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6.xml" ContentType="application/vnd.openxmlformats-officedocument.spreadsheetml.comments+xml"/>
  <Override PartName="/xl/drawings/drawing12.xml" ContentType="application/vnd.openxmlformats-officedocument.drawing+xml"/>
  <Override PartName="/xl/comments7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rique\Documents\00-Outils\"/>
    </mc:Choice>
  </mc:AlternateContent>
  <xr:revisionPtr revIDLastSave="0" documentId="13_ncr:1_{08824B75-00C3-4BB0-BFBF-5D8949136E2A}" xr6:coauthVersionLast="47" xr6:coauthVersionMax="47" xr10:uidLastSave="{00000000-0000-0000-0000-000000000000}"/>
  <workbookProtection workbookAlgorithmName="SHA-512" workbookHashValue="zTt2Q9wJxMpgWrbsoZ/grZdz4/pgzd9xgPZtDDNfsLFdQ3hbcL8JDLVaI5+bU16cgybFejZnXXh8LbDJomdOWA==" workbookSaltValue="FOuEJDj4hl0h94xE6oSvcw==" workbookSpinCount="100000" lockStructure="1"/>
  <bookViews>
    <workbookView xWindow="-120" yWindow="-120" windowWidth="29040" windowHeight="17520" tabRatio="916" firstSheet="2" activeTab="2" xr2:uid="{2205A7F2-EE8B-42BB-94F6-F8098E3D5C85}"/>
  </bookViews>
  <sheets>
    <sheet name="Données d'Entrées" sheetId="8" state="hidden" r:id="rId1"/>
    <sheet name="NdC Détaillée" sheetId="14" state="hidden" r:id="rId2"/>
    <sheet name="Informations" sheetId="17" r:id="rId3"/>
    <sheet name="Configuration" sheetId="31" r:id="rId4"/>
    <sheet name="Boulons" sheetId="24" r:id="rId5"/>
    <sheet name="Soudures" sheetId="25" r:id="rId6"/>
    <sheet name="Ancrages" sheetId="26" r:id="rId7"/>
    <sheet name="EN1992-4" sheetId="27" r:id="rId8"/>
    <sheet name="T Tendus" sheetId="15" r:id="rId9"/>
    <sheet name="Composants" sheetId="29" r:id="rId10"/>
    <sheet name="Rigidité" sheetId="28" r:id="rId11"/>
    <sheet name="Efforts" sheetId="30" r:id="rId12"/>
    <sheet name="Divers" sheetId="22" r:id="rId13"/>
    <sheet name="PRS" sheetId="16" r:id="rId14"/>
    <sheet name="Data" sheetId="7" r:id="rId15"/>
    <sheet name="Profilés" sheetId="2" r:id="rId16"/>
    <sheet name="Cornières" sheetId="3" r:id="rId17"/>
    <sheet name="Tubes_SHS" sheetId="4" r:id="rId18"/>
    <sheet name="Tubes_RHS" sheetId="5" r:id="rId19"/>
    <sheet name="Tubes_CHS" sheetId="6" r:id="rId20"/>
  </sheets>
  <definedNames>
    <definedName name="_xlnm._FilterDatabase" localSheetId="16" hidden="1">Cornières!$A$2:$Z$153</definedName>
    <definedName name="G_M0">Configuration!$H$8</definedName>
    <definedName name="G_M1">Configuration!$H$10</definedName>
    <definedName name="G_M2">Configuration!$H$12</definedName>
    <definedName name="G_M3">Configuration!$H$14</definedName>
    <definedName name="G_M3ser">Configuration!$H$16</definedName>
    <definedName name="G_M4">Configuration!$H$18</definedName>
    <definedName name="G_M5">Configuration!$H$20</definedName>
    <definedName name="G_M6ser">Configuration!$H$22</definedName>
    <definedName name="G_M7">Configuration!$H$24</definedName>
    <definedName name="_xlnm.Print_Area" localSheetId="6">Ancrages!$B$2:$K$269</definedName>
    <definedName name="_xlnm.Print_Area" localSheetId="4">Boulons!$B$2:$K$178</definedName>
    <definedName name="_xlnm.Print_Area" localSheetId="9">Composants!$B$2:$K$190</definedName>
    <definedName name="_xlnm.Print_Area" localSheetId="3">Configuration!$B$2:$AB$26</definedName>
    <definedName name="_xlnm.Print_Area" localSheetId="12">Divers!$B$2:$K$50</definedName>
    <definedName name="_xlnm.Print_Area" localSheetId="0">'Données d''Entrées'!$B$2:$AC$59</definedName>
    <definedName name="_xlnm.Print_Area" localSheetId="11">Efforts!$B$2:$K$106</definedName>
    <definedName name="_xlnm.Print_Area" localSheetId="7">'EN1992-4'!$B$2:$K$305</definedName>
    <definedName name="_xlnm.Print_Area" localSheetId="2">Informations!$B$2:$AB$134</definedName>
    <definedName name="_xlnm.Print_Area" localSheetId="1">'NdC Détaillée'!$B$2:$AC$793</definedName>
    <definedName name="_xlnm.Print_Area" localSheetId="13">PRS!$B$2:$M$79</definedName>
    <definedName name="_xlnm.Print_Area" localSheetId="10">Rigidité!$B$2:$M$140</definedName>
    <definedName name="_xlnm.Print_Area" localSheetId="5">Soudures!$B$3:$K$362</definedName>
    <definedName name="_xlnm.Print_Area" localSheetId="8">'T Tendus'!$B$2:$AC$259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6" i="26" l="1"/>
  <c r="C179" i="26"/>
  <c r="C202" i="26"/>
  <c r="D154" i="26"/>
  <c r="C264" i="26"/>
  <c r="C263" i="26"/>
  <c r="C257" i="26"/>
  <c r="C252" i="26"/>
  <c r="C251" i="26"/>
  <c r="C247" i="26"/>
  <c r="C242" i="26"/>
  <c r="C241" i="26"/>
  <c r="C237" i="26"/>
  <c r="H213" i="26"/>
  <c r="C211" i="26"/>
  <c r="C200" i="26"/>
  <c r="C191" i="26"/>
  <c r="C188" i="26"/>
  <c r="C177" i="26"/>
  <c r="C172" i="26"/>
  <c r="C167" i="26"/>
  <c r="C164" i="26"/>
  <c r="C161" i="26"/>
  <c r="C160" i="26"/>
  <c r="C156" i="26"/>
  <c r="C152" i="26"/>
  <c r="C147" i="26"/>
  <c r="C143" i="26"/>
  <c r="C140" i="26"/>
  <c r="C137" i="26"/>
  <c r="C136" i="26"/>
  <c r="C132" i="26"/>
  <c r="C129" i="26"/>
  <c r="C126" i="26"/>
  <c r="C125" i="26"/>
  <c r="C120" i="26"/>
  <c r="C116" i="26"/>
  <c r="C111" i="26"/>
  <c r="C100" i="26"/>
  <c r="D113" i="26"/>
  <c r="C98" i="26"/>
  <c r="C97" i="26"/>
  <c r="C96" i="26"/>
  <c r="C95" i="26"/>
  <c r="C91" i="26"/>
  <c r="C87" i="26"/>
  <c r="G45" i="22"/>
  <c r="I48" i="22"/>
  <c r="G37" i="22"/>
  <c r="G33" i="22"/>
  <c r="D15" i="22"/>
  <c r="G21" i="22"/>
  <c r="G25" i="22"/>
  <c r="E15" i="29"/>
  <c r="I116" i="29"/>
  <c r="I112" i="29"/>
  <c r="I30" i="29"/>
  <c r="I9" i="29"/>
  <c r="N250" i="15"/>
  <c r="N249" i="15"/>
  <c r="N235" i="15"/>
  <c r="N234" i="15"/>
  <c r="N223" i="15"/>
  <c r="N222" i="15"/>
  <c r="N210" i="15"/>
  <c r="N209" i="15"/>
  <c r="N197" i="15"/>
  <c r="N196" i="15"/>
  <c r="N184" i="15"/>
  <c r="N183" i="15"/>
  <c r="N171" i="15"/>
  <c r="N170" i="15"/>
  <c r="N158" i="15"/>
  <c r="N157" i="15"/>
  <c r="N145" i="15"/>
  <c r="N144" i="15"/>
  <c r="N131" i="15"/>
  <c r="N130" i="15"/>
  <c r="N119" i="15"/>
  <c r="N118" i="15"/>
  <c r="N95" i="15"/>
  <c r="N94" i="15"/>
  <c r="N82" i="15"/>
  <c r="N81" i="15"/>
  <c r="N69" i="15"/>
  <c r="N68" i="15"/>
  <c r="N56" i="15"/>
  <c r="N55" i="15"/>
  <c r="N37" i="15"/>
  <c r="N36" i="15"/>
  <c r="N15" i="15"/>
  <c r="N14" i="15"/>
  <c r="H265" i="26"/>
  <c r="G253" i="26"/>
  <c r="G243" i="26"/>
  <c r="F170" i="26"/>
  <c r="F165" i="26"/>
  <c r="F145" i="26"/>
  <c r="F141" i="26"/>
  <c r="F134" i="26"/>
  <c r="F130" i="26"/>
  <c r="E75" i="26"/>
  <c r="E69" i="26"/>
  <c r="E51" i="26"/>
  <c r="E41" i="26"/>
  <c r="E23" i="26"/>
  <c r="E12" i="26"/>
  <c r="H465" i="25"/>
  <c r="H464" i="25"/>
  <c r="H461" i="25"/>
  <c r="H460" i="25"/>
  <c r="H457" i="25"/>
  <c r="H456" i="25"/>
  <c r="H418" i="25"/>
  <c r="H417" i="25"/>
  <c r="H404" i="25"/>
  <c r="H392" i="25"/>
  <c r="H390" i="25"/>
  <c r="H372" i="25"/>
  <c r="H371" i="25"/>
  <c r="H362" i="25"/>
  <c r="H361" i="25"/>
  <c r="H360" i="25"/>
  <c r="H359" i="25"/>
  <c r="H349" i="25"/>
  <c r="H346" i="25"/>
  <c r="H321" i="25"/>
  <c r="H320" i="25"/>
  <c r="H317" i="25"/>
  <c r="H316" i="25"/>
  <c r="H302" i="25"/>
  <c r="H301" i="25"/>
  <c r="H297" i="25"/>
  <c r="H296" i="25"/>
  <c r="H292" i="25"/>
  <c r="H291" i="25"/>
  <c r="H287" i="25"/>
  <c r="H286" i="25"/>
  <c r="H252" i="25"/>
  <c r="H251" i="25"/>
  <c r="H247" i="25"/>
  <c r="H246" i="25"/>
  <c r="H242" i="25"/>
  <c r="H241" i="25"/>
  <c r="H237" i="25"/>
  <c r="H236" i="25"/>
  <c r="H197" i="25"/>
  <c r="H196" i="25"/>
  <c r="H193" i="25"/>
  <c r="H192" i="25"/>
  <c r="H189" i="25"/>
  <c r="H188" i="25"/>
  <c r="H167" i="25"/>
  <c r="H166" i="25"/>
  <c r="H163" i="25"/>
  <c r="H162" i="25"/>
  <c r="H159" i="25"/>
  <c r="H158" i="25"/>
  <c r="H155" i="25"/>
  <c r="H154" i="25"/>
  <c r="H112" i="25"/>
  <c r="H111" i="25"/>
  <c r="H108" i="25"/>
  <c r="H107" i="25"/>
  <c r="H104" i="25"/>
  <c r="H103" i="25"/>
  <c r="H73" i="25"/>
  <c r="H72" i="25"/>
  <c r="H69" i="25"/>
  <c r="H57" i="25"/>
  <c r="H56" i="25"/>
  <c r="H53" i="25"/>
  <c r="H41" i="25"/>
  <c r="H40" i="25"/>
  <c r="H37" i="25"/>
  <c r="H25" i="25"/>
  <c r="H24" i="25"/>
  <c r="H16" i="25"/>
  <c r="H9" i="25"/>
  <c r="H8" i="25"/>
  <c r="F163" i="24"/>
  <c r="J145" i="24"/>
  <c r="F152" i="24"/>
  <c r="F149" i="24"/>
  <c r="H106" i="24"/>
  <c r="H103" i="24"/>
  <c r="D99" i="24"/>
  <c r="G90" i="24"/>
  <c r="G89" i="24"/>
  <c r="G88" i="24"/>
  <c r="G86" i="24"/>
  <c r="G85" i="24"/>
  <c r="G84" i="24"/>
  <c r="G82" i="24"/>
  <c r="G81" i="24"/>
  <c r="G80" i="24"/>
  <c r="G68" i="24"/>
  <c r="G67" i="24"/>
  <c r="G66" i="24"/>
  <c r="G64" i="24"/>
  <c r="G63" i="24"/>
  <c r="G62" i="24"/>
  <c r="G60" i="24"/>
  <c r="G59" i="24"/>
  <c r="G58" i="24"/>
  <c r="E31" i="24"/>
  <c r="E24" i="24"/>
  <c r="E11" i="24"/>
  <c r="E9" i="24"/>
  <c r="J117" i="24"/>
  <c r="G10" i="27"/>
  <c r="G9" i="27"/>
  <c r="G145" i="27"/>
  <c r="H290" i="27"/>
  <c r="H288" i="27"/>
  <c r="H143" i="27"/>
  <c r="G141" i="27"/>
  <c r="C301" i="27"/>
  <c r="C296" i="27"/>
  <c r="C295" i="27"/>
  <c r="C259" i="27"/>
  <c r="C252" i="27"/>
  <c r="C239" i="27"/>
  <c r="C230" i="27"/>
  <c r="C229" i="27"/>
  <c r="C201" i="27"/>
  <c r="C175" i="27"/>
  <c r="C166" i="27"/>
  <c r="C128" i="27"/>
  <c r="C121" i="27"/>
  <c r="C113" i="27"/>
  <c r="C89" i="27"/>
  <c r="H86" i="27"/>
  <c r="C83" i="27"/>
  <c r="C82" i="27"/>
  <c r="C79" i="27"/>
  <c r="C78" i="27"/>
  <c r="C76" i="27"/>
  <c r="C75" i="27"/>
  <c r="C74" i="27"/>
  <c r="C72" i="27"/>
  <c r="C71" i="27"/>
  <c r="C69" i="27"/>
  <c r="C68" i="27"/>
  <c r="C67" i="27"/>
  <c r="C64" i="27"/>
  <c r="C48" i="27"/>
  <c r="C42" i="27"/>
  <c r="C31" i="27"/>
  <c r="C29" i="27"/>
  <c r="E27" i="27"/>
  <c r="E26" i="27"/>
  <c r="E25" i="27"/>
  <c r="E24" i="27"/>
  <c r="C24" i="27"/>
  <c r="C20" i="27"/>
  <c r="I18" i="27"/>
  <c r="D17" i="27"/>
  <c r="C15" i="27"/>
  <c r="F13" i="27"/>
  <c r="C13" i="27"/>
  <c r="C12" i="27"/>
  <c r="C6" i="27"/>
  <c r="C5" i="27"/>
  <c r="C3" i="27"/>
  <c r="C47" i="22"/>
  <c r="C41" i="22"/>
  <c r="C36" i="22"/>
  <c r="C29" i="22"/>
  <c r="C24" i="22"/>
  <c r="C17" i="22"/>
  <c r="C13" i="22"/>
  <c r="C10" i="22"/>
  <c r="C6" i="22"/>
  <c r="D5" i="22"/>
  <c r="C4" i="22"/>
  <c r="C3" i="22"/>
  <c r="D138" i="28"/>
  <c r="C133" i="28"/>
  <c r="C128" i="28"/>
  <c r="C123" i="28"/>
  <c r="C118" i="28"/>
  <c r="C117" i="28"/>
  <c r="C112" i="28"/>
  <c r="C111" i="28"/>
  <c r="C106" i="28"/>
  <c r="C97" i="28"/>
  <c r="C92" i="28"/>
  <c r="C87" i="28"/>
  <c r="C82" i="28"/>
  <c r="C77" i="28"/>
  <c r="C72" i="28"/>
  <c r="C67" i="28"/>
  <c r="C62" i="28"/>
  <c r="C57" i="28"/>
  <c r="C37" i="28"/>
  <c r="H35" i="28"/>
  <c r="G35" i="28"/>
  <c r="I31" i="28"/>
  <c r="I30" i="28"/>
  <c r="E31" i="28"/>
  <c r="E30" i="28"/>
  <c r="D29" i="28"/>
  <c r="C28" i="28"/>
  <c r="G10" i="28"/>
  <c r="C9" i="28"/>
  <c r="D5" i="28"/>
  <c r="D4" i="28"/>
  <c r="C3" i="28"/>
  <c r="D115" i="29"/>
  <c r="D114" i="29"/>
  <c r="C114" i="29"/>
  <c r="D111" i="29"/>
  <c r="D110" i="29"/>
  <c r="C110" i="29"/>
  <c r="G105" i="29"/>
  <c r="G103" i="29"/>
  <c r="D103" i="29"/>
  <c r="C102" i="29"/>
  <c r="C101" i="29"/>
  <c r="D97" i="29"/>
  <c r="G95" i="29"/>
  <c r="D95" i="29"/>
  <c r="C94" i="29"/>
  <c r="C91" i="29"/>
  <c r="C88" i="29"/>
  <c r="G81" i="29"/>
  <c r="D81" i="29"/>
  <c r="G79" i="29"/>
  <c r="D79" i="29"/>
  <c r="C78" i="29"/>
  <c r="C77" i="29"/>
  <c r="D67" i="29"/>
  <c r="G65" i="29"/>
  <c r="D65" i="29"/>
  <c r="C64" i="29"/>
  <c r="C63" i="29"/>
  <c r="D52" i="29"/>
  <c r="G50" i="29"/>
  <c r="D50" i="29"/>
  <c r="C49" i="29"/>
  <c r="C48" i="29"/>
  <c r="D37" i="29"/>
  <c r="G34" i="29"/>
  <c r="D34" i="29"/>
  <c r="C33" i="29"/>
  <c r="C32" i="29"/>
  <c r="C8" i="29"/>
  <c r="C29" i="29"/>
  <c r="D23" i="29"/>
  <c r="C22" i="29"/>
  <c r="C21" i="29"/>
  <c r="D16" i="29"/>
  <c r="C16" i="29"/>
  <c r="D13" i="29"/>
  <c r="C13" i="29"/>
  <c r="C12" i="29"/>
  <c r="C11" i="29"/>
  <c r="D4" i="29"/>
  <c r="C3" i="29"/>
  <c r="Q252" i="15"/>
  <c r="C252" i="15"/>
  <c r="F251" i="15"/>
  <c r="F250" i="15"/>
  <c r="F249" i="15"/>
  <c r="C246" i="15"/>
  <c r="Q237" i="15"/>
  <c r="C237" i="15"/>
  <c r="F236" i="15"/>
  <c r="F235" i="15"/>
  <c r="F234" i="15"/>
  <c r="C231" i="15"/>
  <c r="Q225" i="15"/>
  <c r="C225" i="15"/>
  <c r="F224" i="15"/>
  <c r="F223" i="15"/>
  <c r="F222" i="15"/>
  <c r="C219" i="15"/>
  <c r="Q212" i="15"/>
  <c r="C212" i="15"/>
  <c r="F211" i="15"/>
  <c r="F210" i="15"/>
  <c r="F209" i="15"/>
  <c r="C206" i="15"/>
  <c r="Q199" i="15"/>
  <c r="C199" i="15"/>
  <c r="F198" i="15"/>
  <c r="F197" i="15"/>
  <c r="F196" i="15"/>
  <c r="C193" i="15"/>
  <c r="Q186" i="15"/>
  <c r="C186" i="15"/>
  <c r="F185" i="15"/>
  <c r="F184" i="15"/>
  <c r="F183" i="15"/>
  <c r="C180" i="15"/>
  <c r="Q173" i="15"/>
  <c r="C173" i="15"/>
  <c r="F172" i="15"/>
  <c r="F171" i="15"/>
  <c r="F170" i="15"/>
  <c r="C167" i="15"/>
  <c r="Q160" i="15"/>
  <c r="C160" i="15"/>
  <c r="F159" i="15"/>
  <c r="F158" i="15"/>
  <c r="F157" i="15"/>
  <c r="C154" i="15"/>
  <c r="Q147" i="15"/>
  <c r="C147" i="15"/>
  <c r="F146" i="15"/>
  <c r="F145" i="15"/>
  <c r="F144" i="15"/>
  <c r="C141" i="15"/>
  <c r="C139" i="15"/>
  <c r="Q133" i="15"/>
  <c r="C133" i="15"/>
  <c r="F132" i="15"/>
  <c r="F131" i="15"/>
  <c r="F130" i="15"/>
  <c r="C127" i="15"/>
  <c r="Q121" i="15"/>
  <c r="C121" i="15"/>
  <c r="F120" i="15"/>
  <c r="F119" i="15"/>
  <c r="F118" i="15"/>
  <c r="C115" i="15"/>
  <c r="Q97" i="15"/>
  <c r="C97" i="15"/>
  <c r="F96" i="15"/>
  <c r="F95" i="15"/>
  <c r="F94" i="15"/>
  <c r="C91" i="15"/>
  <c r="Q84" i="15"/>
  <c r="C84" i="15"/>
  <c r="F83" i="15"/>
  <c r="F82" i="15"/>
  <c r="F81" i="15"/>
  <c r="C78" i="15"/>
  <c r="Q71" i="15"/>
  <c r="C71" i="15"/>
  <c r="F70" i="15"/>
  <c r="F69" i="15"/>
  <c r="F68" i="15"/>
  <c r="C65" i="15"/>
  <c r="Q39" i="15"/>
  <c r="C39" i="15"/>
  <c r="F38" i="15"/>
  <c r="F37" i="15"/>
  <c r="F36" i="15"/>
  <c r="C33" i="15"/>
  <c r="Q17" i="15"/>
  <c r="C17" i="15"/>
  <c r="F16" i="15"/>
  <c r="F15" i="15"/>
  <c r="F14" i="15"/>
  <c r="C11" i="15"/>
  <c r="C9" i="15"/>
  <c r="AN5" i="15"/>
  <c r="AM4" i="15"/>
  <c r="AJ5" i="15"/>
  <c r="AI4" i="15"/>
  <c r="AH3" i="15"/>
  <c r="V5" i="15"/>
  <c r="R5" i="15"/>
  <c r="M5" i="15"/>
  <c r="G5" i="15"/>
  <c r="C3" i="15"/>
  <c r="C453" i="25"/>
  <c r="C415" i="25"/>
  <c r="C403" i="25"/>
  <c r="C388" i="25"/>
  <c r="C343" i="25"/>
  <c r="C313" i="25"/>
  <c r="C282" i="25"/>
  <c r="C232" i="25"/>
  <c r="C185" i="25"/>
  <c r="C151" i="25"/>
  <c r="C100" i="25"/>
  <c r="C83" i="26"/>
  <c r="C79" i="26"/>
  <c r="C74" i="26"/>
  <c r="C71" i="26"/>
  <c r="C68" i="26"/>
  <c r="C59" i="26"/>
  <c r="C55" i="26"/>
  <c r="C50" i="26"/>
  <c r="C43" i="26"/>
  <c r="C40" i="26"/>
  <c r="C31" i="26"/>
  <c r="C27" i="26"/>
  <c r="C22" i="26"/>
  <c r="C19" i="26"/>
  <c r="C14" i="26"/>
  <c r="C11" i="26"/>
  <c r="C66" i="26"/>
  <c r="C65" i="26"/>
  <c r="C63" i="26"/>
  <c r="C38" i="26"/>
  <c r="C37" i="26"/>
  <c r="C35" i="26"/>
  <c r="C7" i="26"/>
  <c r="C6" i="26"/>
  <c r="C5" i="26"/>
  <c r="C3" i="26"/>
  <c r="C462" i="25"/>
  <c r="C458" i="25"/>
  <c r="C454" i="25"/>
  <c r="C450" i="25"/>
  <c r="E447" i="25"/>
  <c r="E446" i="25"/>
  <c r="E445" i="25"/>
  <c r="C444" i="25"/>
  <c r="E442" i="25"/>
  <c r="C441" i="25"/>
  <c r="C430" i="25"/>
  <c r="C428" i="25"/>
  <c r="C423" i="25"/>
  <c r="C420" i="25"/>
  <c r="C413" i="25"/>
  <c r="F406" i="25"/>
  <c r="C406" i="25"/>
  <c r="C400" i="25"/>
  <c r="E395" i="25"/>
  <c r="C394" i="25"/>
  <c r="C391" i="25"/>
  <c r="C389" i="25"/>
  <c r="C385" i="25"/>
  <c r="C383" i="25"/>
  <c r="F374" i="25"/>
  <c r="C374" i="25"/>
  <c r="C366" i="25"/>
  <c r="C364" i="25"/>
  <c r="C353" i="25"/>
  <c r="C351" i="25"/>
  <c r="C347" i="25"/>
  <c r="C344" i="25"/>
  <c r="C340" i="25"/>
  <c r="C338" i="25"/>
  <c r="C335" i="25"/>
  <c r="C333" i="25"/>
  <c r="C330" i="25"/>
  <c r="C329" i="25"/>
  <c r="C325" i="25"/>
  <c r="C323" i="25"/>
  <c r="C318" i="25"/>
  <c r="C314" i="25"/>
  <c r="C305" i="25"/>
  <c r="C304" i="25"/>
  <c r="C279" i="25"/>
  <c r="C277" i="25"/>
  <c r="C275" i="25"/>
  <c r="C273" i="25"/>
  <c r="C271" i="25"/>
  <c r="C269" i="25"/>
  <c r="G266" i="25"/>
  <c r="C266" i="25"/>
  <c r="C264" i="25"/>
  <c r="C263" i="25"/>
  <c r="C255" i="25"/>
  <c r="C254" i="25"/>
  <c r="C248" i="25"/>
  <c r="C243" i="25"/>
  <c r="C238" i="25"/>
  <c r="C233" i="25"/>
  <c r="C229" i="25"/>
  <c r="C227" i="25"/>
  <c r="C225" i="25"/>
  <c r="C223" i="25"/>
  <c r="C222" i="25"/>
  <c r="C220" i="25"/>
  <c r="C218" i="25"/>
  <c r="C216" i="25"/>
  <c r="C213" i="25"/>
  <c r="C211" i="25"/>
  <c r="C210" i="25"/>
  <c r="C202" i="25"/>
  <c r="C201" i="25"/>
  <c r="C194" i="25"/>
  <c r="C190" i="25"/>
  <c r="C186" i="25"/>
  <c r="C182" i="25"/>
  <c r="C178" i="25"/>
  <c r="C176" i="25"/>
  <c r="C169" i="25"/>
  <c r="E94" i="25"/>
  <c r="C116" i="25"/>
  <c r="C77" i="25"/>
  <c r="C60" i="25"/>
  <c r="E138" i="25"/>
  <c r="E93" i="25"/>
  <c r="E92" i="25"/>
  <c r="E89" i="25"/>
  <c r="C164" i="25"/>
  <c r="C160" i="25"/>
  <c r="C156" i="25"/>
  <c r="C152" i="25"/>
  <c r="C145" i="25"/>
  <c r="C140" i="25"/>
  <c r="C137" i="25"/>
  <c r="C133" i="25"/>
  <c r="C130" i="25"/>
  <c r="C125" i="25"/>
  <c r="C114" i="25"/>
  <c r="C109" i="25"/>
  <c r="C105" i="25"/>
  <c r="C101" i="25"/>
  <c r="C97" i="25"/>
  <c r="C91" i="25"/>
  <c r="C88" i="25"/>
  <c r="C75" i="25"/>
  <c r="C44" i="25"/>
  <c r="C28" i="25"/>
  <c r="C19" i="25"/>
  <c r="C12" i="25"/>
  <c r="C5" i="25"/>
  <c r="C71" i="25"/>
  <c r="C67" i="25"/>
  <c r="C65" i="25"/>
  <c r="C59" i="25"/>
  <c r="C55" i="25"/>
  <c r="C51" i="25"/>
  <c r="C49" i="25"/>
  <c r="C43" i="25"/>
  <c r="C39" i="25"/>
  <c r="C35" i="25"/>
  <c r="C33" i="25"/>
  <c r="C27" i="25"/>
  <c r="C18" i="25"/>
  <c r="C11" i="25"/>
  <c r="C4" i="25"/>
  <c r="G132" i="24"/>
  <c r="G129" i="24"/>
  <c r="F99" i="24"/>
  <c r="E90" i="24"/>
  <c r="E89" i="24"/>
  <c r="E88" i="24"/>
  <c r="E86" i="24"/>
  <c r="E85" i="24"/>
  <c r="E84" i="24"/>
  <c r="E82" i="24"/>
  <c r="E81" i="24"/>
  <c r="E80" i="24"/>
  <c r="E68" i="24"/>
  <c r="E67" i="24"/>
  <c r="E66" i="24"/>
  <c r="E64" i="24"/>
  <c r="E63" i="24"/>
  <c r="E62" i="24"/>
  <c r="E60" i="24"/>
  <c r="E59" i="24"/>
  <c r="E58" i="24"/>
  <c r="C171" i="24"/>
  <c r="C166" i="24"/>
  <c r="C155" i="24"/>
  <c r="C151" i="24"/>
  <c r="C148" i="24"/>
  <c r="C142" i="24"/>
  <c r="C135" i="24"/>
  <c r="C130" i="24"/>
  <c r="C126" i="24"/>
  <c r="C122" i="24"/>
  <c r="C115" i="24"/>
  <c r="C114" i="24"/>
  <c r="C109" i="24"/>
  <c r="C105" i="24"/>
  <c r="C101" i="24"/>
  <c r="C97" i="24"/>
  <c r="C93" i="24"/>
  <c r="C91" i="24"/>
  <c r="C87" i="24"/>
  <c r="C83" i="24"/>
  <c r="C79" i="24"/>
  <c r="C76" i="24"/>
  <c r="C72" i="24"/>
  <c r="C71" i="24"/>
  <c r="C69" i="24"/>
  <c r="C65" i="24"/>
  <c r="C61" i="24"/>
  <c r="C57" i="24"/>
  <c r="C54" i="24"/>
  <c r="C50" i="24"/>
  <c r="C49" i="24"/>
  <c r="C36" i="24"/>
  <c r="C35" i="24"/>
  <c r="C33" i="24"/>
  <c r="C26" i="24"/>
  <c r="C19" i="24"/>
  <c r="C16" i="24"/>
  <c r="E5" i="24"/>
  <c r="C12" i="24"/>
  <c r="C10" i="24"/>
  <c r="C8" i="24"/>
  <c r="G5" i="24"/>
  <c r="I4" i="24"/>
  <c r="G4" i="24"/>
  <c r="C3" i="24"/>
  <c r="AO7" i="15"/>
  <c r="AK7" i="15"/>
  <c r="G89" i="26"/>
  <c r="F264" i="26"/>
  <c r="F263" i="26"/>
  <c r="H266" i="26" l="1"/>
  <c r="H267" i="26" s="1"/>
  <c r="J257" i="26" s="1"/>
  <c r="F252" i="26"/>
  <c r="F251" i="26"/>
  <c r="F242" i="26"/>
  <c r="F241" i="26"/>
  <c r="C94" i="26"/>
  <c r="F109" i="26"/>
  <c r="G60" i="26" l="1"/>
  <c r="I59" i="26" s="1"/>
  <c r="H218" i="26"/>
  <c r="J218" i="26" s="1"/>
  <c r="G32" i="26"/>
  <c r="I31" i="26" s="1"/>
  <c r="J216" i="26"/>
  <c r="D216" i="26"/>
  <c r="I218" i="26"/>
  <c r="I217" i="26"/>
  <c r="D218" i="26"/>
  <c r="H217" i="26"/>
  <c r="J217" i="26" s="1"/>
  <c r="D217" i="26"/>
  <c r="G254" i="26" l="1"/>
  <c r="G255" i="26" s="1"/>
  <c r="J247" i="26" s="1"/>
  <c r="J212" i="26"/>
  <c r="G26" i="24"/>
  <c r="G19" i="24"/>
  <c r="Q42" i="28"/>
  <c r="L7" i="28"/>
  <c r="I27" i="28" s="1"/>
  <c r="Q41" i="28" s="1"/>
  <c r="H116" i="24" l="1"/>
  <c r="E116" i="24"/>
  <c r="I43" i="22"/>
  <c r="M42" i="22"/>
  <c r="I44" i="22" s="1" a="1"/>
  <c r="I44" i="22" s="1"/>
  <c r="J41" i="22" s="1"/>
  <c r="N42" i="22"/>
  <c r="D49" i="22"/>
  <c r="X17" i="22"/>
  <c r="O19" i="22"/>
  <c r="X18" i="22" s="1" a="1"/>
  <c r="X18" i="22" s="1"/>
  <c r="T51" i="28"/>
  <c r="Q40" i="28"/>
  <c r="T19" i="22"/>
  <c r="D19" i="22" s="1"/>
  <c r="H451" i="25"/>
  <c r="H463" i="25" s="1"/>
  <c r="H439" i="25"/>
  <c r="D439" i="25"/>
  <c r="H438" i="25"/>
  <c r="D438" i="25"/>
  <c r="H437" i="25"/>
  <c r="D437" i="25"/>
  <c r="Q434" i="25"/>
  <c r="D434" i="25"/>
  <c r="T433" i="25"/>
  <c r="D433" i="25"/>
  <c r="T432" i="25"/>
  <c r="D432" i="25"/>
  <c r="Q431" i="25"/>
  <c r="X430" i="25"/>
  <c r="W430" i="25"/>
  <c r="V430" i="25"/>
  <c r="N270" i="27"/>
  <c r="N269" i="27"/>
  <c r="N256" i="27"/>
  <c r="N255" i="27"/>
  <c r="N203" i="27"/>
  <c r="N202" i="27"/>
  <c r="O177" i="27"/>
  <c r="O176" i="27"/>
  <c r="N152" i="27"/>
  <c r="N151" i="27"/>
  <c r="F147" i="27"/>
  <c r="F146" i="27"/>
  <c r="N125" i="27"/>
  <c r="N124" i="27"/>
  <c r="O96" i="27"/>
  <c r="O95" i="27"/>
  <c r="G305" i="25"/>
  <c r="G307" i="25"/>
  <c r="G306" i="25"/>
  <c r="H16" i="30"/>
  <c r="H17" i="30"/>
  <c r="H18" i="30"/>
  <c r="H19" i="30"/>
  <c r="H20" i="30"/>
  <c r="H21" i="30"/>
  <c r="H22" i="30"/>
  <c r="H14" i="30"/>
  <c r="H15" i="30" s="1"/>
  <c r="D11" i="27"/>
  <c r="G124" i="24"/>
  <c r="F123" i="24"/>
  <c r="R122" i="24" s="1"/>
  <c r="E17" i="24"/>
  <c r="D37" i="24"/>
  <c r="H37" i="24"/>
  <c r="I85" i="24"/>
  <c r="F78" i="24"/>
  <c r="I63" i="24"/>
  <c r="I43" i="24"/>
  <c r="G48" i="24"/>
  <c r="D45" i="24"/>
  <c r="Q50" i="24"/>
  <c r="F37" i="24"/>
  <c r="D42" i="24"/>
  <c r="D39" i="24"/>
  <c r="E37" i="24"/>
  <c r="G37" i="24"/>
  <c r="Q47" i="24"/>
  <c r="Q42" i="24"/>
  <c r="Q49" i="24"/>
  <c r="Q48" i="24"/>
  <c r="Q46" i="24"/>
  <c r="Q45" i="24"/>
  <c r="Q41" i="24"/>
  <c r="Q40" i="24"/>
  <c r="P48" i="24" s="1"/>
  <c r="Q39" i="24"/>
  <c r="Q27" i="24"/>
  <c r="Q26" i="24"/>
  <c r="Q25" i="24"/>
  <c r="Q24" i="24"/>
  <c r="E18" i="24"/>
  <c r="D172" i="24"/>
  <c r="Q173" i="24"/>
  <c r="R173" i="24"/>
  <c r="E119" i="7"/>
  <c r="F119" i="7"/>
  <c r="G119" i="7"/>
  <c r="H119" i="7"/>
  <c r="E120" i="7"/>
  <c r="F120" i="7"/>
  <c r="G120" i="7"/>
  <c r="H120" i="7"/>
  <c r="E121" i="7"/>
  <c r="F121" i="7"/>
  <c r="G121" i="7"/>
  <c r="H121" i="7"/>
  <c r="E122" i="7"/>
  <c r="F122" i="7"/>
  <c r="G122" i="7"/>
  <c r="H122" i="7"/>
  <c r="E123" i="7"/>
  <c r="F123" i="7"/>
  <c r="G123" i="7"/>
  <c r="H123" i="7"/>
  <c r="E124" i="7"/>
  <c r="F124" i="7"/>
  <c r="G124" i="7"/>
  <c r="H124" i="7"/>
  <c r="E125" i="7"/>
  <c r="F125" i="7"/>
  <c r="G125" i="7"/>
  <c r="H125" i="7"/>
  <c r="E126" i="7"/>
  <c r="F126" i="7"/>
  <c r="G126" i="7"/>
  <c r="H126" i="7"/>
  <c r="E127" i="7"/>
  <c r="F127" i="7"/>
  <c r="G127" i="7"/>
  <c r="H127" i="7"/>
  <c r="H118" i="7"/>
  <c r="G118" i="7"/>
  <c r="F118" i="7"/>
  <c r="E118" i="7"/>
  <c r="E106" i="7"/>
  <c r="F106" i="7"/>
  <c r="G106" i="7"/>
  <c r="H106" i="7"/>
  <c r="E107" i="7"/>
  <c r="F107" i="7"/>
  <c r="G107" i="7"/>
  <c r="H107" i="7"/>
  <c r="E108" i="7"/>
  <c r="F108" i="7"/>
  <c r="G108" i="7"/>
  <c r="H108" i="7"/>
  <c r="E109" i="7"/>
  <c r="F109" i="7"/>
  <c r="G109" i="7"/>
  <c r="H109" i="7"/>
  <c r="E110" i="7"/>
  <c r="F110" i="7"/>
  <c r="G110" i="7"/>
  <c r="H110" i="7"/>
  <c r="E111" i="7"/>
  <c r="F111" i="7"/>
  <c r="G111" i="7"/>
  <c r="H111" i="7"/>
  <c r="E112" i="7"/>
  <c r="F112" i="7"/>
  <c r="G112" i="7"/>
  <c r="H112" i="7"/>
  <c r="E113" i="7"/>
  <c r="F113" i="7"/>
  <c r="G113" i="7"/>
  <c r="H113" i="7"/>
  <c r="E114" i="7"/>
  <c r="F114" i="7"/>
  <c r="G114" i="7"/>
  <c r="H114" i="7"/>
  <c r="H105" i="7"/>
  <c r="G105" i="7"/>
  <c r="F105" i="7"/>
  <c r="E105" i="7"/>
  <c r="E93" i="7"/>
  <c r="F93" i="7"/>
  <c r="G93" i="7"/>
  <c r="H93" i="7"/>
  <c r="E94" i="7"/>
  <c r="F94" i="7"/>
  <c r="G94" i="7"/>
  <c r="H94" i="7"/>
  <c r="E95" i="7"/>
  <c r="F95" i="7"/>
  <c r="G95" i="7"/>
  <c r="H95" i="7"/>
  <c r="E96" i="7"/>
  <c r="F96" i="7"/>
  <c r="G96" i="7"/>
  <c r="H96" i="7"/>
  <c r="E97" i="7"/>
  <c r="F97" i="7"/>
  <c r="G97" i="7"/>
  <c r="H97" i="7"/>
  <c r="E98" i="7"/>
  <c r="F98" i="7"/>
  <c r="G98" i="7"/>
  <c r="H98" i="7"/>
  <c r="E99" i="7"/>
  <c r="F99" i="7"/>
  <c r="G99" i="7"/>
  <c r="H99" i="7"/>
  <c r="E100" i="7"/>
  <c r="F100" i="7"/>
  <c r="G100" i="7"/>
  <c r="H100" i="7"/>
  <c r="E101" i="7"/>
  <c r="F101" i="7"/>
  <c r="G101" i="7"/>
  <c r="H101" i="7"/>
  <c r="H92" i="7"/>
  <c r="G92" i="7"/>
  <c r="F92" i="7"/>
  <c r="E92" i="7"/>
  <c r="E80" i="7"/>
  <c r="F80" i="7"/>
  <c r="G80" i="7"/>
  <c r="H80" i="7"/>
  <c r="E81" i="7"/>
  <c r="F81" i="7"/>
  <c r="G81" i="7"/>
  <c r="H81" i="7"/>
  <c r="E82" i="7"/>
  <c r="F82" i="7"/>
  <c r="G82" i="7"/>
  <c r="H82" i="7"/>
  <c r="E83" i="7"/>
  <c r="F83" i="7"/>
  <c r="G83" i="7"/>
  <c r="H83" i="7"/>
  <c r="E84" i="7"/>
  <c r="F84" i="7"/>
  <c r="G84" i="7"/>
  <c r="H84" i="7"/>
  <c r="E85" i="7"/>
  <c r="F85" i="7"/>
  <c r="G85" i="7"/>
  <c r="H85" i="7"/>
  <c r="E86" i="7"/>
  <c r="F86" i="7"/>
  <c r="G86" i="7"/>
  <c r="H86" i="7"/>
  <c r="E87" i="7"/>
  <c r="F87" i="7"/>
  <c r="G87" i="7"/>
  <c r="H87" i="7"/>
  <c r="E88" i="7"/>
  <c r="F88" i="7"/>
  <c r="G88" i="7"/>
  <c r="H88" i="7"/>
  <c r="H79" i="7"/>
  <c r="G79" i="7"/>
  <c r="F79" i="7"/>
  <c r="E79" i="7"/>
  <c r="J128" i="7"/>
  <c r="J127" i="7"/>
  <c r="J126" i="7"/>
  <c r="J125" i="7"/>
  <c r="J124" i="7"/>
  <c r="J123" i="7"/>
  <c r="J122" i="7"/>
  <c r="J121" i="7"/>
  <c r="J120" i="7"/>
  <c r="J119" i="7"/>
  <c r="J110" i="7"/>
  <c r="J112" i="7"/>
  <c r="J97" i="7"/>
  <c r="J98" i="7"/>
  <c r="J81" i="7"/>
  <c r="J84" i="7"/>
  <c r="J86" i="7"/>
  <c r="J88" i="7"/>
  <c r="J117" i="7"/>
  <c r="J104" i="7"/>
  <c r="J111" i="7" s="1"/>
  <c r="J91" i="7"/>
  <c r="J99" i="7" s="1"/>
  <c r="J78" i="7"/>
  <c r="J83" i="7" s="1"/>
  <c r="J67" i="7"/>
  <c r="J68" i="7"/>
  <c r="J65" i="7"/>
  <c r="J69" i="7" s="1"/>
  <c r="J55" i="7"/>
  <c r="J52" i="7"/>
  <c r="J56" i="7" s="1"/>
  <c r="I122" i="7"/>
  <c r="I88" i="7"/>
  <c r="I117" i="7"/>
  <c r="I125" i="7" s="1"/>
  <c r="I104" i="7"/>
  <c r="I113" i="7" s="1"/>
  <c r="I91" i="7"/>
  <c r="I101" i="7" s="1"/>
  <c r="I78" i="7"/>
  <c r="I89" i="7" s="1"/>
  <c r="I65" i="7"/>
  <c r="I66" i="7" s="1"/>
  <c r="I52" i="7"/>
  <c r="I54" i="7" s="1"/>
  <c r="A68" i="7"/>
  <c r="D68" i="7"/>
  <c r="D128" i="7"/>
  <c r="A128" i="7"/>
  <c r="A118" i="7"/>
  <c r="A119" i="7"/>
  <c r="A120" i="7"/>
  <c r="A121" i="7"/>
  <c r="A122" i="7"/>
  <c r="A123" i="7"/>
  <c r="A124" i="7"/>
  <c r="A125" i="7"/>
  <c r="A126" i="7"/>
  <c r="A127" i="7"/>
  <c r="A117" i="7"/>
  <c r="A105" i="7"/>
  <c r="A106" i="7"/>
  <c r="A107" i="7"/>
  <c r="A108" i="7"/>
  <c r="A109" i="7"/>
  <c r="A110" i="7"/>
  <c r="A111" i="7"/>
  <c r="A112" i="7"/>
  <c r="A113" i="7"/>
  <c r="A114" i="7"/>
  <c r="A115" i="7"/>
  <c r="A104" i="7"/>
  <c r="A92" i="7"/>
  <c r="A93" i="7"/>
  <c r="A94" i="7"/>
  <c r="A95" i="7"/>
  <c r="A96" i="7"/>
  <c r="A97" i="7"/>
  <c r="A98" i="7"/>
  <c r="A99" i="7"/>
  <c r="A100" i="7"/>
  <c r="A101" i="7"/>
  <c r="A102" i="7"/>
  <c r="A91" i="7"/>
  <c r="A79" i="7"/>
  <c r="A80" i="7"/>
  <c r="A81" i="7"/>
  <c r="A82" i="7"/>
  <c r="A83" i="7"/>
  <c r="A84" i="7"/>
  <c r="A85" i="7"/>
  <c r="A86" i="7"/>
  <c r="A87" i="7"/>
  <c r="A88" i="7"/>
  <c r="A89" i="7"/>
  <c r="A78" i="7"/>
  <c r="A66" i="7"/>
  <c r="A67" i="7"/>
  <c r="A69" i="7"/>
  <c r="A70" i="7"/>
  <c r="A71" i="7"/>
  <c r="A72" i="7"/>
  <c r="A73" i="7"/>
  <c r="A74" i="7"/>
  <c r="A75" i="7"/>
  <c r="A76" i="7"/>
  <c r="A65" i="7"/>
  <c r="A53" i="7"/>
  <c r="A54" i="7"/>
  <c r="A55" i="7"/>
  <c r="A56" i="7"/>
  <c r="A57" i="7"/>
  <c r="A58" i="7"/>
  <c r="A59" i="7"/>
  <c r="A60" i="7"/>
  <c r="A61" i="7"/>
  <c r="A62" i="7"/>
  <c r="A63" i="7"/>
  <c r="A52" i="7"/>
  <c r="D127" i="7"/>
  <c r="D126" i="7"/>
  <c r="D125" i="7"/>
  <c r="D124" i="7"/>
  <c r="D123" i="7"/>
  <c r="D122" i="7"/>
  <c r="D121" i="7"/>
  <c r="D120" i="7"/>
  <c r="D119" i="7"/>
  <c r="D118" i="7"/>
  <c r="D117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2" i="7"/>
  <c r="D101" i="7"/>
  <c r="D100" i="7"/>
  <c r="D99" i="7"/>
  <c r="D98" i="7"/>
  <c r="D97" i="7"/>
  <c r="D96" i="7"/>
  <c r="D95" i="7"/>
  <c r="D94" i="7"/>
  <c r="D93" i="7"/>
  <c r="D92" i="7"/>
  <c r="D91" i="7"/>
  <c r="D89" i="7"/>
  <c r="D88" i="7"/>
  <c r="D87" i="7"/>
  <c r="D86" i="7"/>
  <c r="D85" i="7"/>
  <c r="D84" i="7"/>
  <c r="D83" i="7"/>
  <c r="D82" i="7"/>
  <c r="D81" i="7"/>
  <c r="D80" i="7"/>
  <c r="D79" i="7"/>
  <c r="D78" i="7"/>
  <c r="D76" i="7"/>
  <c r="D75" i="7"/>
  <c r="D74" i="7"/>
  <c r="D73" i="7"/>
  <c r="D72" i="7"/>
  <c r="D71" i="7"/>
  <c r="D70" i="7"/>
  <c r="D69" i="7"/>
  <c r="D67" i="7"/>
  <c r="D66" i="7"/>
  <c r="D65" i="7"/>
  <c r="D53" i="7"/>
  <c r="D54" i="7"/>
  <c r="D55" i="7"/>
  <c r="D56" i="7"/>
  <c r="D57" i="7"/>
  <c r="D58" i="7"/>
  <c r="D59" i="7"/>
  <c r="D60" i="7"/>
  <c r="D61" i="7"/>
  <c r="D62" i="7"/>
  <c r="D63" i="7"/>
  <c r="D52" i="7"/>
  <c r="F161" i="24"/>
  <c r="F164" i="24"/>
  <c r="D157" i="24"/>
  <c r="D131" i="24"/>
  <c r="H133" i="24"/>
  <c r="F153" i="24"/>
  <c r="D133" i="24"/>
  <c r="I146" i="24"/>
  <c r="J142" i="24"/>
  <c r="G144" i="24"/>
  <c r="D132" i="24"/>
  <c r="H130" i="24"/>
  <c r="E139" i="24" s="1"/>
  <c r="I45" i="30"/>
  <c r="O44" i="30"/>
  <c r="P44" i="30"/>
  <c r="Q44" i="30"/>
  <c r="R44" i="30"/>
  <c r="S44" i="30"/>
  <c r="N44" i="30"/>
  <c r="O43" i="30"/>
  <c r="P43" i="30"/>
  <c r="Q43" i="30"/>
  <c r="R43" i="30"/>
  <c r="S43" i="30"/>
  <c r="N43" i="30"/>
  <c r="J44" i="30"/>
  <c r="J43" i="30"/>
  <c r="O48" i="24" l="1"/>
  <c r="U18" i="22" a="1"/>
  <c r="U18" i="22" s="1"/>
  <c r="V18" i="22" a="1"/>
  <c r="V18" i="22" s="1"/>
  <c r="F447" i="25"/>
  <c r="F442" i="25"/>
  <c r="I438" i="25"/>
  <c r="E437" i="25"/>
  <c r="E438" i="25"/>
  <c r="I439" i="25"/>
  <c r="F445" i="25"/>
  <c r="E443" i="25"/>
  <c r="I437" i="25"/>
  <c r="F446" i="25"/>
  <c r="E439" i="25"/>
  <c r="U125" i="24"/>
  <c r="R125" i="24" s="1"/>
  <c r="U124" i="24"/>
  <c r="R124" i="24" s="1"/>
  <c r="O123" i="24"/>
  <c r="Q123" i="24" s="1"/>
  <c r="U123" i="24"/>
  <c r="R123" i="24" s="1"/>
  <c r="O124" i="24"/>
  <c r="Q124" i="24" s="1"/>
  <c r="F74" i="24"/>
  <c r="F76" i="24"/>
  <c r="F50" i="24"/>
  <c r="F56" i="24"/>
  <c r="F77" i="24"/>
  <c r="F51" i="24"/>
  <c r="F55" i="24"/>
  <c r="I55" i="24" s="1"/>
  <c r="F52" i="24"/>
  <c r="F73" i="24"/>
  <c r="F53" i="24"/>
  <c r="F72" i="24"/>
  <c r="I78" i="24" a="1"/>
  <c r="I78" i="24" s="1"/>
  <c r="F54" i="24"/>
  <c r="F75" i="24"/>
  <c r="I77" i="24"/>
  <c r="P50" i="24"/>
  <c r="O50" i="24" s="1"/>
  <c r="P47" i="24"/>
  <c r="O47" i="24" s="1"/>
  <c r="P46" i="24"/>
  <c r="O46" i="24" s="1"/>
  <c r="P45" i="24"/>
  <c r="O45" i="24" s="1"/>
  <c r="P49" i="24"/>
  <c r="O49" i="24" s="1"/>
  <c r="G172" i="24"/>
  <c r="E172" i="24" s="1"/>
  <c r="I76" i="7"/>
  <c r="I75" i="7"/>
  <c r="I74" i="7"/>
  <c r="J109" i="7"/>
  <c r="I98" i="7"/>
  <c r="J108" i="7"/>
  <c r="I97" i="7"/>
  <c r="J118" i="7"/>
  <c r="I110" i="7"/>
  <c r="I120" i="7"/>
  <c r="J85" i="7"/>
  <c r="I96" i="7"/>
  <c r="I53" i="7"/>
  <c r="J96" i="7"/>
  <c r="I73" i="7"/>
  <c r="I112" i="7"/>
  <c r="J53" i="7"/>
  <c r="J66" i="7"/>
  <c r="J95" i="7"/>
  <c r="J107" i="7"/>
  <c r="I72" i="7"/>
  <c r="I111" i="7"/>
  <c r="J63" i="7"/>
  <c r="J76" i="7"/>
  <c r="J82" i="7"/>
  <c r="J94" i="7"/>
  <c r="J106" i="7"/>
  <c r="J62" i="7"/>
  <c r="J75" i="7"/>
  <c r="J93" i="7"/>
  <c r="I87" i="7"/>
  <c r="I109" i="7"/>
  <c r="J61" i="7"/>
  <c r="J74" i="7"/>
  <c r="J80" i="7"/>
  <c r="J105" i="7"/>
  <c r="I86" i="7"/>
  <c r="I108" i="7"/>
  <c r="J60" i="7"/>
  <c r="J73" i="7"/>
  <c r="J92" i="7"/>
  <c r="J115" i="7"/>
  <c r="I63" i="7"/>
  <c r="I85" i="7"/>
  <c r="I124" i="7"/>
  <c r="J59" i="7"/>
  <c r="J72" i="7"/>
  <c r="J79" i="7"/>
  <c r="J102" i="7"/>
  <c r="J114" i="7"/>
  <c r="I62" i="7"/>
  <c r="I84" i="7"/>
  <c r="I123" i="7"/>
  <c r="J58" i="7"/>
  <c r="J71" i="7"/>
  <c r="J89" i="7"/>
  <c r="J101" i="7"/>
  <c r="J113" i="7"/>
  <c r="I61" i="7"/>
  <c r="I100" i="7"/>
  <c r="J57" i="7"/>
  <c r="J70" i="7"/>
  <c r="J100" i="7"/>
  <c r="J54" i="7"/>
  <c r="I60" i="7"/>
  <c r="I99" i="7"/>
  <c r="I121" i="7"/>
  <c r="J87" i="7"/>
  <c r="I59" i="7"/>
  <c r="I71" i="7"/>
  <c r="I83" i="7"/>
  <c r="I95" i="7"/>
  <c r="I107" i="7"/>
  <c r="I119" i="7"/>
  <c r="I58" i="7"/>
  <c r="I70" i="7"/>
  <c r="I82" i="7"/>
  <c r="I94" i="7"/>
  <c r="I106" i="7"/>
  <c r="I57" i="7"/>
  <c r="I69" i="7"/>
  <c r="I81" i="7"/>
  <c r="I93" i="7"/>
  <c r="I118" i="7"/>
  <c r="I56" i="7"/>
  <c r="I68" i="7"/>
  <c r="I80" i="7"/>
  <c r="I105" i="7"/>
  <c r="I128" i="7"/>
  <c r="I55" i="7"/>
  <c r="I67" i="7"/>
  <c r="I92" i="7"/>
  <c r="I115" i="7"/>
  <c r="I127" i="7"/>
  <c r="I79" i="7"/>
  <c r="I102" i="7"/>
  <c r="I114" i="7"/>
  <c r="I126" i="7"/>
  <c r="F160" i="24"/>
  <c r="J148" i="24"/>
  <c r="J151" i="24"/>
  <c r="G145" i="24"/>
  <c r="G146" i="24" s="1"/>
  <c r="E137" i="24"/>
  <c r="S49" i="30"/>
  <c r="T58" i="30"/>
  <c r="S58" i="30"/>
  <c r="T67" i="30"/>
  <c r="Q67" i="30"/>
  <c r="T44" i="30"/>
  <c r="O56" i="30" s="1"/>
  <c r="T43" i="30"/>
  <c r="S64" i="30" s="1"/>
  <c r="I73" i="24" l="1"/>
  <c r="I51" i="24"/>
  <c r="E448" i="25"/>
  <c r="E449" i="25"/>
  <c r="H459" i="25" s="1"/>
  <c r="E463" i="25"/>
  <c r="H124" i="24"/>
  <c r="I52" i="24"/>
  <c r="I50" i="24" a="1"/>
  <c r="I50" i="24" s="1"/>
  <c r="I74" i="24"/>
  <c r="I54" i="24" a="1"/>
  <c r="I54" i="24" s="1"/>
  <c r="I56" i="24" a="1"/>
  <c r="I56" i="24" s="1"/>
  <c r="I76" i="24" a="1"/>
  <c r="I76" i="24" s="1"/>
  <c r="I72" i="24" a="1"/>
  <c r="I72" i="24" s="1"/>
  <c r="I172" i="24"/>
  <c r="J155" i="24"/>
  <c r="F168" i="24" s="1"/>
  <c r="J166" i="24" s="1"/>
  <c r="J126" i="24" s="1"/>
  <c r="T52" i="30"/>
  <c r="S55" i="30"/>
  <c r="T55" i="30"/>
  <c r="S67" i="30"/>
  <c r="T61" i="30"/>
  <c r="T49" i="30"/>
  <c r="S52" i="30"/>
  <c r="S61" i="30"/>
  <c r="R67" i="30"/>
  <c r="T64" i="30"/>
  <c r="S68" i="30"/>
  <c r="S62" i="30"/>
  <c r="T62" i="30"/>
  <c r="T68" i="30"/>
  <c r="T69" i="30" s="1"/>
  <c r="T65" i="30"/>
  <c r="S65" i="30"/>
  <c r="T56" i="30"/>
  <c r="S53" i="30"/>
  <c r="T53" i="30"/>
  <c r="S56" i="30"/>
  <c r="S59" i="30"/>
  <c r="I59" i="30" s="1"/>
  <c r="S50" i="30"/>
  <c r="T59" i="30"/>
  <c r="T50" i="30"/>
  <c r="N55" i="30"/>
  <c r="R49" i="30"/>
  <c r="R61" i="30"/>
  <c r="Q58" i="30"/>
  <c r="R64" i="30"/>
  <c r="R58" i="30"/>
  <c r="Q55" i="30"/>
  <c r="Q52" i="30"/>
  <c r="Q64" i="30"/>
  <c r="R55" i="30"/>
  <c r="Q49" i="30"/>
  <c r="Q61" i="30"/>
  <c r="R52" i="30"/>
  <c r="N62" i="30"/>
  <c r="O68" i="30"/>
  <c r="R65" i="30"/>
  <c r="O65" i="30"/>
  <c r="Q56" i="30"/>
  <c r="P68" i="30"/>
  <c r="Q68" i="30"/>
  <c r="N68" i="30"/>
  <c r="N65" i="30"/>
  <c r="R68" i="30"/>
  <c r="Q59" i="30"/>
  <c r="O62" i="30"/>
  <c r="R53" i="30"/>
  <c r="R62" i="30"/>
  <c r="R59" i="30"/>
  <c r="P65" i="30"/>
  <c r="Q65" i="30"/>
  <c r="P62" i="30"/>
  <c r="Q62" i="30"/>
  <c r="R56" i="30"/>
  <c r="O64" i="30"/>
  <c r="P67" i="30"/>
  <c r="O58" i="30"/>
  <c r="P52" i="30"/>
  <c r="P58" i="30"/>
  <c r="O49" i="30"/>
  <c r="P61" i="30"/>
  <c r="P64" i="30"/>
  <c r="O52" i="30"/>
  <c r="O67" i="30"/>
  <c r="N64" i="30"/>
  <c r="P49" i="30"/>
  <c r="N67" i="30"/>
  <c r="O61" i="30"/>
  <c r="N58" i="30"/>
  <c r="P55" i="30"/>
  <c r="O55" i="30"/>
  <c r="N61" i="30"/>
  <c r="N52" i="30"/>
  <c r="N56" i="30"/>
  <c r="P59" i="30"/>
  <c r="P56" i="30"/>
  <c r="O59" i="30"/>
  <c r="N59" i="30"/>
  <c r="N53" i="30"/>
  <c r="P53" i="30"/>
  <c r="O50" i="30"/>
  <c r="N50" i="30"/>
  <c r="P50" i="30"/>
  <c r="Q50" i="30"/>
  <c r="R50" i="30"/>
  <c r="O53" i="30"/>
  <c r="Q53" i="30"/>
  <c r="N49" i="30"/>
  <c r="H455" i="25" l="1"/>
  <c r="E455" i="25"/>
  <c r="I82" i="24"/>
  <c r="E465" i="25"/>
  <c r="E464" i="25"/>
  <c r="E459" i="25"/>
  <c r="I65" i="30"/>
  <c r="I67" i="24"/>
  <c r="I66" i="24"/>
  <c r="I59" i="24"/>
  <c r="J59" i="30"/>
  <c r="I56" i="30"/>
  <c r="I53" i="30"/>
  <c r="J50" i="30"/>
  <c r="I68" i="30"/>
  <c r="T63" i="30"/>
  <c r="J62" i="30"/>
  <c r="J56" i="30"/>
  <c r="S66" i="30"/>
  <c r="J53" i="30"/>
  <c r="S69" i="30"/>
  <c r="J65" i="30"/>
  <c r="I50" i="30"/>
  <c r="I62" i="30"/>
  <c r="J68" i="30"/>
  <c r="S63" i="30"/>
  <c r="T66" i="30"/>
  <c r="S54" i="30"/>
  <c r="T51" i="30"/>
  <c r="T60" i="30"/>
  <c r="T54" i="30"/>
  <c r="S60" i="30"/>
  <c r="Q69" i="30"/>
  <c r="T57" i="30"/>
  <c r="R69" i="30"/>
  <c r="S57" i="30"/>
  <c r="N51" i="30"/>
  <c r="S51" i="30"/>
  <c r="Q60" i="30"/>
  <c r="P60" i="30"/>
  <c r="P57" i="30"/>
  <c r="P54" i="30"/>
  <c r="O60" i="30"/>
  <c r="Q63" i="30"/>
  <c r="O51" i="30"/>
  <c r="P69" i="30"/>
  <c r="Q66" i="30"/>
  <c r="P66" i="30"/>
  <c r="P63" i="30"/>
  <c r="O57" i="30"/>
  <c r="N63" i="30"/>
  <c r="N66" i="30"/>
  <c r="R54" i="30"/>
  <c r="N69" i="30"/>
  <c r="Q54" i="30"/>
  <c r="N60" i="30"/>
  <c r="Q57" i="30"/>
  <c r="N54" i="30"/>
  <c r="N57" i="30"/>
  <c r="R66" i="30"/>
  <c r="R63" i="30"/>
  <c r="R51" i="30"/>
  <c r="Q51" i="30"/>
  <c r="O66" i="30"/>
  <c r="R57" i="30"/>
  <c r="O63" i="30"/>
  <c r="P51" i="30"/>
  <c r="O69" i="30"/>
  <c r="O54" i="30"/>
  <c r="R60" i="30"/>
  <c r="E456" i="25" l="1"/>
  <c r="E457" i="25"/>
  <c r="I90" i="24"/>
  <c r="I81" i="24"/>
  <c r="I80" i="24"/>
  <c r="J464" i="25"/>
  <c r="F464" i="25"/>
  <c r="E461" i="25"/>
  <c r="E460" i="25"/>
  <c r="J465" i="25"/>
  <c r="F465" i="25"/>
  <c r="I58" i="24"/>
  <c r="I60" i="24"/>
  <c r="I68" i="24"/>
  <c r="I89" i="24"/>
  <c r="I88" i="24"/>
  <c r="I84" i="24"/>
  <c r="I86" i="24"/>
  <c r="I64" i="24"/>
  <c r="I62" i="24"/>
  <c r="N45" i="30"/>
  <c r="J456" i="25" l="1"/>
  <c r="F456" i="25"/>
  <c r="J457" i="25"/>
  <c r="F457" i="25"/>
  <c r="J460" i="25"/>
  <c r="F460" i="25"/>
  <c r="F461" i="25"/>
  <c r="J461" i="25"/>
  <c r="M80" i="24"/>
  <c r="I69" i="24"/>
  <c r="J49" i="24" s="1"/>
  <c r="I91" i="24"/>
  <c r="J71" i="24" s="1"/>
  <c r="M58" i="24"/>
  <c r="E59" i="30"/>
  <c r="D59" i="30"/>
  <c r="G59" i="30"/>
  <c r="H59" i="30"/>
  <c r="F59" i="30"/>
  <c r="D65" i="30"/>
  <c r="D53" i="30"/>
  <c r="D62" i="30"/>
  <c r="D56" i="30"/>
  <c r="D50" i="30"/>
  <c r="D68" i="30"/>
  <c r="G68" i="30"/>
  <c r="G49" i="30"/>
  <c r="E62" i="30"/>
  <c r="E50" i="30"/>
  <c r="F68" i="30"/>
  <c r="G58" i="30"/>
  <c r="G56" i="30"/>
  <c r="G64" i="30"/>
  <c r="E56" i="30"/>
  <c r="H56" i="30"/>
  <c r="G53" i="30"/>
  <c r="H62" i="30"/>
  <c r="G50" i="30"/>
  <c r="E68" i="30"/>
  <c r="F50" i="30"/>
  <c r="F62" i="30"/>
  <c r="E53" i="30"/>
  <c r="H49" i="30"/>
  <c r="H68" i="30"/>
  <c r="G61" i="30"/>
  <c r="G67" i="30"/>
  <c r="H65" i="30"/>
  <c r="H50" i="30"/>
  <c r="F65" i="30"/>
  <c r="G65" i="30"/>
  <c r="H53" i="30"/>
  <c r="F53" i="30"/>
  <c r="G55" i="30"/>
  <c r="E65" i="30"/>
  <c r="F56" i="30"/>
  <c r="G62" i="30"/>
  <c r="E55" i="30"/>
  <c r="J67" i="30"/>
  <c r="J69" i="30" s="1"/>
  <c r="I64" i="30"/>
  <c r="I61" i="30"/>
  <c r="I63" i="30" s="1"/>
  <c r="J55" i="30"/>
  <c r="F58" i="30"/>
  <c r="E64" i="30"/>
  <c r="J49" i="30"/>
  <c r="F52" i="30"/>
  <c r="J61" i="30"/>
  <c r="J63" i="30" s="1"/>
  <c r="H67" i="30"/>
  <c r="H64" i="30"/>
  <c r="E67" i="30"/>
  <c r="E69" i="30" s="1"/>
  <c r="F67" i="30"/>
  <c r="E58" i="30"/>
  <c r="J64" i="30"/>
  <c r="J66" i="30" s="1"/>
  <c r="E61" i="30"/>
  <c r="I52" i="30"/>
  <c r="I54" i="30" s="1"/>
  <c r="I49" i="30"/>
  <c r="I51" i="30" s="1"/>
  <c r="F55" i="30"/>
  <c r="F49" i="30"/>
  <c r="I67" i="30"/>
  <c r="I69" i="30" s="1"/>
  <c r="D58" i="30"/>
  <c r="J58" i="30"/>
  <c r="D61" i="30"/>
  <c r="J52" i="30"/>
  <c r="H58" i="30"/>
  <c r="D55" i="30"/>
  <c r="H61" i="30"/>
  <c r="F61" i="30"/>
  <c r="I58" i="30"/>
  <c r="I60" i="30" s="1"/>
  <c r="D67" i="30"/>
  <c r="H55" i="30"/>
  <c r="D64" i="30"/>
  <c r="I55" i="30"/>
  <c r="I57" i="30" s="1"/>
  <c r="F64" i="30"/>
  <c r="D49" i="30"/>
  <c r="E49" i="30"/>
  <c r="E52" i="30"/>
  <c r="D52" i="30"/>
  <c r="G52" i="30"/>
  <c r="H52" i="30"/>
  <c r="J94" i="24" l="1"/>
  <c r="J35" i="24" s="1"/>
  <c r="G63" i="30"/>
  <c r="G66" i="30"/>
  <c r="F66" i="30"/>
  <c r="H66" i="30"/>
  <c r="F69" i="30"/>
  <c r="D69" i="30"/>
  <c r="G69" i="30"/>
  <c r="F63" i="30"/>
  <c r="D66" i="30"/>
  <c r="E63" i="30"/>
  <c r="E66" i="30"/>
  <c r="G54" i="30"/>
  <c r="H60" i="30"/>
  <c r="E57" i="30"/>
  <c r="H57" i="30"/>
  <c r="F54" i="30"/>
  <c r="G57" i="30"/>
  <c r="H51" i="30"/>
  <c r="G51" i="30"/>
  <c r="F51" i="30"/>
  <c r="D60" i="30"/>
  <c r="E60" i="30"/>
  <c r="J51" i="30"/>
  <c r="H63" i="30"/>
  <c r="J60" i="30"/>
  <c r="D57" i="30"/>
  <c r="D63" i="30"/>
  <c r="D54" i="30"/>
  <c r="G60" i="30"/>
  <c r="F60" i="30"/>
  <c r="I66" i="30"/>
  <c r="H69" i="30"/>
  <c r="E51" i="30"/>
  <c r="J57" i="30"/>
  <c r="F57" i="30"/>
  <c r="E54" i="30"/>
  <c r="H54" i="30"/>
  <c r="J54" i="30"/>
  <c r="D51" i="30"/>
  <c r="H115" i="29" l="1"/>
  <c r="H111" i="29"/>
  <c r="E96" i="29" l="1"/>
  <c r="E98" i="29" s="1" a="1"/>
  <c r="E98" i="29" s="1"/>
  <c r="L95" i="29"/>
  <c r="E104" i="29"/>
  <c r="G107" i="29" s="1"/>
  <c r="L103" i="29"/>
  <c r="H104" i="29" s="1" a="1"/>
  <c r="H104" i="29" s="1"/>
  <c r="E80" i="29"/>
  <c r="I85" i="29" s="1"/>
  <c r="L79" i="29"/>
  <c r="H83" i="29" s="1" a="1"/>
  <c r="H83" i="29" s="1"/>
  <c r="E66" i="29"/>
  <c r="I74" i="29" s="1"/>
  <c r="L65" i="29"/>
  <c r="E69" i="29" s="1" a="1"/>
  <c r="E69" i="29" s="1"/>
  <c r="E51" i="29"/>
  <c r="H58" i="29" s="1"/>
  <c r="L50" i="29"/>
  <c r="E54" i="29" s="1" a="1"/>
  <c r="E54" i="29" s="1"/>
  <c r="I413" i="25"/>
  <c r="F413" i="25"/>
  <c r="F414" i="25"/>
  <c r="D410" i="25"/>
  <c r="D412" i="25" s="1"/>
  <c r="G376" i="25"/>
  <c r="G396" i="25"/>
  <c r="J424" i="25"/>
  <c r="J421" i="25"/>
  <c r="H398" i="25"/>
  <c r="D398" i="25"/>
  <c r="U396" i="25"/>
  <c r="T396" i="25"/>
  <c r="S396" i="25"/>
  <c r="D396" i="25"/>
  <c r="H381" i="25"/>
  <c r="D381" i="25"/>
  <c r="H380" i="25"/>
  <c r="D380" i="25"/>
  <c r="U376" i="25"/>
  <c r="T376" i="25"/>
  <c r="S376" i="25"/>
  <c r="D376" i="25"/>
  <c r="D375" i="25"/>
  <c r="L34" i="29"/>
  <c r="E39" i="29" s="1" a="1"/>
  <c r="E39" i="29" s="1"/>
  <c r="E35" i="29"/>
  <c r="H43" i="29" s="1"/>
  <c r="J26" i="29"/>
  <c r="H26" i="29"/>
  <c r="E27" i="29"/>
  <c r="H28" i="29" s="1"/>
  <c r="E24" i="29"/>
  <c r="E17" i="29"/>
  <c r="E18" i="29" s="1"/>
  <c r="E14" i="29"/>
  <c r="E5" i="29"/>
  <c r="H401" i="25" l="1"/>
  <c r="E404" i="25" s="1"/>
  <c r="E416" i="25"/>
  <c r="E418" i="25" s="1"/>
  <c r="H412" i="25"/>
  <c r="F412" i="25" s="1"/>
  <c r="H97" i="29" a="1"/>
  <c r="H97" i="29" s="1"/>
  <c r="H96" i="29" a="1"/>
  <c r="H96" i="29" s="1"/>
  <c r="E83" i="29" a="1"/>
  <c r="E83" i="29" s="1"/>
  <c r="E84" i="29" s="1"/>
  <c r="H69" i="29" a="1"/>
  <c r="H69" i="29" s="1"/>
  <c r="H68" i="29" a="1"/>
  <c r="H68" i="29" s="1"/>
  <c r="H71" i="29" a="1"/>
  <c r="H71" i="29" s="1"/>
  <c r="H41" i="29" a="1"/>
  <c r="H41" i="29" s="1"/>
  <c r="H56" i="29" a="1"/>
  <c r="H56" i="29" s="1"/>
  <c r="H53" i="29" a="1"/>
  <c r="H53" i="29" s="1"/>
  <c r="H54" i="29" a="1"/>
  <c r="H54" i="29" s="1"/>
  <c r="I380" i="25"/>
  <c r="I398" i="25"/>
  <c r="E398" i="25"/>
  <c r="H39" i="29" a="1"/>
  <c r="H39" i="29" s="1"/>
  <c r="H38" i="29" a="1"/>
  <c r="H38" i="29" s="1"/>
  <c r="H25" i="29"/>
  <c r="D377" i="25"/>
  <c r="H384" i="25" s="1"/>
  <c r="D378" i="25"/>
  <c r="H386" i="25" s="1"/>
  <c r="E380" i="25"/>
  <c r="I381" i="25"/>
  <c r="E381" i="25"/>
  <c r="J28" i="29"/>
  <c r="E25" i="29"/>
  <c r="H19" i="29"/>
  <c r="G244" i="26"/>
  <c r="G245" i="26" s="1"/>
  <c r="J237" i="26" s="1"/>
  <c r="E417" i="25" l="1"/>
  <c r="F418" i="25"/>
  <c r="J412" i="25"/>
  <c r="G99" i="29"/>
  <c r="H70" i="29" a="1"/>
  <c r="H70" i="29" s="1"/>
  <c r="H72" i="29"/>
  <c r="E70" i="29" s="1"/>
  <c r="H57" i="29"/>
  <c r="E55" i="29" s="1"/>
  <c r="H40" i="29" a="1"/>
  <c r="H40" i="29" s="1"/>
  <c r="H55" i="29" a="1"/>
  <c r="H55" i="29" s="1"/>
  <c r="J418" i="25"/>
  <c r="F417" i="25"/>
  <c r="J417" i="25"/>
  <c r="E390" i="25"/>
  <c r="J404" i="25"/>
  <c r="F404" i="25"/>
  <c r="H42" i="29"/>
  <c r="E392" i="25"/>
  <c r="F392" i="25" s="1"/>
  <c r="H27" i="29"/>
  <c r="J27" i="29" s="1"/>
  <c r="E232" i="26"/>
  <c r="E231" i="26"/>
  <c r="E230" i="26"/>
  <c r="E229" i="26"/>
  <c r="E233" i="26"/>
  <c r="E224" i="26"/>
  <c r="E223" i="26"/>
  <c r="E222" i="26"/>
  <c r="E221" i="26"/>
  <c r="E225" i="26"/>
  <c r="E7" i="29"/>
  <c r="H6" i="29"/>
  <c r="I29" i="30"/>
  <c r="I30" i="30"/>
  <c r="I31" i="30"/>
  <c r="I32" i="30"/>
  <c r="I33" i="30"/>
  <c r="I34" i="30"/>
  <c r="I35" i="30"/>
  <c r="I36" i="30"/>
  <c r="I37" i="30"/>
  <c r="F29" i="30"/>
  <c r="F30" i="30"/>
  <c r="F31" i="30"/>
  <c r="F32" i="30"/>
  <c r="F33" i="30"/>
  <c r="F34" i="30"/>
  <c r="F35" i="30"/>
  <c r="F36" i="30"/>
  <c r="F37" i="30"/>
  <c r="I28" i="30"/>
  <c r="F28" i="30"/>
  <c r="J8" i="30"/>
  <c r="H24" i="30" s="1"/>
  <c r="I51" i="27"/>
  <c r="F13" i="30"/>
  <c r="I9" i="30" s="1"/>
  <c r="F14" i="30"/>
  <c r="F15" i="30"/>
  <c r="F17" i="30"/>
  <c r="F18" i="30"/>
  <c r="F19" i="30"/>
  <c r="F20" i="30"/>
  <c r="F21" i="30"/>
  <c r="F22" i="30"/>
  <c r="F16" i="30"/>
  <c r="F55" i="27"/>
  <c r="F56" i="27"/>
  <c r="F57" i="27"/>
  <c r="F58" i="27"/>
  <c r="F59" i="27"/>
  <c r="F60" i="27"/>
  <c r="F51" i="27"/>
  <c r="F52" i="27"/>
  <c r="F53" i="27"/>
  <c r="F54" i="27"/>
  <c r="H13" i="30"/>
  <c r="D9" i="30"/>
  <c r="I126" i="28"/>
  <c r="I131" i="28"/>
  <c r="D134" i="28"/>
  <c r="E119" i="28"/>
  <c r="E113" i="28"/>
  <c r="E103" i="28"/>
  <c r="E102" i="28"/>
  <c r="E101" i="28"/>
  <c r="E100" i="28" s="1"/>
  <c r="J104" i="28"/>
  <c r="I95" i="28"/>
  <c r="F93" i="28" s="1"/>
  <c r="E83" i="28"/>
  <c r="E78" i="28"/>
  <c r="E73" i="28"/>
  <c r="E68" i="28"/>
  <c r="E63" i="28"/>
  <c r="E58" i="28"/>
  <c r="E226" i="26" l="1"/>
  <c r="I226" i="26" s="1"/>
  <c r="E56" i="29"/>
  <c r="E57" i="29" s="1"/>
  <c r="I60" i="29" s="1"/>
  <c r="E41" i="29"/>
  <c r="E42" i="29" s="1"/>
  <c r="I45" i="29" s="1"/>
  <c r="E40" i="29"/>
  <c r="J392" i="25"/>
  <c r="J390" i="25"/>
  <c r="F390" i="25"/>
  <c r="F27" i="29"/>
  <c r="E234" i="26"/>
  <c r="I234" i="26" s="1"/>
  <c r="I225" i="26"/>
  <c r="I233" i="26"/>
  <c r="E6" i="29"/>
  <c r="H7" i="29" s="1"/>
  <c r="I7" i="29" s="1"/>
  <c r="I10" i="30"/>
  <c r="I13" i="30" s="1"/>
  <c r="Q51" i="28"/>
  <c r="J33" i="28"/>
  <c r="P48" i="28"/>
  <c r="Q48" i="28" s="1"/>
  <c r="Q38" i="28"/>
  <c r="R38" i="28"/>
  <c r="T27" i="28"/>
  <c r="U31" i="28" s="1"/>
  <c r="R51" i="28"/>
  <c r="P44" i="28"/>
  <c r="P46" i="28"/>
  <c r="Q46" i="28" s="1"/>
  <c r="L15" i="28" a="1"/>
  <c r="L15" i="28" s="1"/>
  <c r="L16" i="28" a="1"/>
  <c r="L16" i="28" s="1"/>
  <c r="L17" i="28" a="1"/>
  <c r="L17" i="28" s="1"/>
  <c r="L18" i="28" a="1"/>
  <c r="L18" i="28" s="1"/>
  <c r="L19" i="28" a="1"/>
  <c r="L19" i="28" s="1"/>
  <c r="L20" i="28" a="1"/>
  <c r="L20" i="28" s="1"/>
  <c r="L21" i="28" a="1"/>
  <c r="L21" i="28" s="1"/>
  <c r="L22" i="28" a="1"/>
  <c r="L22" i="28" s="1"/>
  <c r="L23" i="28" a="1"/>
  <c r="L23" i="28" s="1"/>
  <c r="L14" i="28" a="1"/>
  <c r="L14" i="28" s="1"/>
  <c r="Q44" i="28" l="1"/>
  <c r="J220" i="26"/>
  <c r="J228" i="26"/>
  <c r="F7" i="29"/>
  <c r="G28" i="30"/>
  <c r="H28" i="30"/>
  <c r="I22" i="30"/>
  <c r="I21" i="30"/>
  <c r="I19" i="30"/>
  <c r="I18" i="30"/>
  <c r="I17" i="30"/>
  <c r="I16" i="30"/>
  <c r="I20" i="30"/>
  <c r="I15" i="30"/>
  <c r="I14" i="30"/>
  <c r="U30" i="28"/>
  <c r="F32" i="28" s="1"/>
  <c r="E33" i="28" s="1"/>
  <c r="E25" i="28" a="1"/>
  <c r="E25" i="28" s="1"/>
  <c r="H10" i="28"/>
  <c r="W3" i="28"/>
  <c r="S10" i="28"/>
  <c r="K10" i="28" s="1"/>
  <c r="J37" i="27"/>
  <c r="H203" i="27" s="1"/>
  <c r="K4" i="28"/>
  <c r="S46" i="28" s="1"/>
  <c r="F98" i="28"/>
  <c r="J259" i="27"/>
  <c r="J201" i="27"/>
  <c r="J121" i="27"/>
  <c r="G259" i="27"/>
  <c r="A258" i="27" s="1"/>
  <c r="D261" i="27"/>
  <c r="H261" i="27"/>
  <c r="D260" i="27"/>
  <c r="Q277" i="27" s="1"/>
  <c r="F255" i="27"/>
  <c r="I248" i="27"/>
  <c r="F15" i="27"/>
  <c r="U68" i="27" s="1"/>
  <c r="F41" i="27"/>
  <c r="E41" i="27"/>
  <c r="I25" i="27"/>
  <c r="I27" i="27" s="1"/>
  <c r="P207" i="27"/>
  <c r="P208" i="27" s="1"/>
  <c r="Q213" i="27" s="1"/>
  <c r="D202" i="27"/>
  <c r="D91" i="27"/>
  <c r="D90" i="27"/>
  <c r="D177" i="27"/>
  <c r="F190" i="27" s="1"/>
  <c r="D130" i="27"/>
  <c r="G201" i="27"/>
  <c r="A200" i="27" s="1"/>
  <c r="G175" i="27"/>
  <c r="A174" i="27" s="1"/>
  <c r="I128" i="27"/>
  <c r="A127" i="27" s="1"/>
  <c r="G121" i="27"/>
  <c r="A120" i="27" s="1"/>
  <c r="G270" i="27"/>
  <c r="F270" i="27"/>
  <c r="H256" i="27"/>
  <c r="G256" i="27"/>
  <c r="E214" i="27"/>
  <c r="F214" i="27"/>
  <c r="P175" i="27"/>
  <c r="W183" i="27" s="1"/>
  <c r="E8" i="27"/>
  <c r="V97" i="27"/>
  <c r="E126" i="27"/>
  <c r="E213" i="27" s="1"/>
  <c r="E125" i="27"/>
  <c r="F125" i="27"/>
  <c r="N67" i="27"/>
  <c r="H76" i="27" s="1"/>
  <c r="S39" i="28" l="1"/>
  <c r="R37" i="28"/>
  <c r="D35" i="28"/>
  <c r="Q50" i="28"/>
  <c r="T50" i="28"/>
  <c r="G29" i="30"/>
  <c r="H29" i="30"/>
  <c r="G34" i="30"/>
  <c r="H34" i="30"/>
  <c r="G30" i="30"/>
  <c r="H30" i="30"/>
  <c r="G31" i="30"/>
  <c r="H31" i="30"/>
  <c r="G33" i="30"/>
  <c r="H33" i="30"/>
  <c r="G37" i="30"/>
  <c r="H37" i="30"/>
  <c r="G35" i="30"/>
  <c r="H35" i="30"/>
  <c r="G32" i="30"/>
  <c r="H32" i="30"/>
  <c r="G36" i="30"/>
  <c r="H36" i="30"/>
  <c r="J7" i="28"/>
  <c r="E26" i="28"/>
  <c r="I25" i="28" s="1" a="1"/>
  <c r="I25" i="28" s="1"/>
  <c r="J239" i="27"/>
  <c r="F261" i="27"/>
  <c r="G286" i="27"/>
  <c r="G284" i="27"/>
  <c r="E278" i="27"/>
  <c r="G262" i="27"/>
  <c r="M277" i="27"/>
  <c r="O277" i="27"/>
  <c r="M260" i="27"/>
  <c r="N277" i="27"/>
  <c r="G272" i="27"/>
  <c r="G275" i="27"/>
  <c r="F247" i="27"/>
  <c r="I247" i="27"/>
  <c r="C240" i="27"/>
  <c r="A238" i="27" s="1"/>
  <c r="P216" i="27"/>
  <c r="N216" i="27"/>
  <c r="O216" i="27"/>
  <c r="Q211" i="27"/>
  <c r="H176" i="27"/>
  <c r="E185" i="27" s="1"/>
  <c r="D176" i="27"/>
  <c r="V183" i="27"/>
  <c r="H72" i="27"/>
  <c r="H77" i="27"/>
  <c r="H75" i="27" s="1"/>
  <c r="H80" i="27" s="1"/>
  <c r="E22" i="27"/>
  <c r="G22" i="27"/>
  <c r="H45" i="27"/>
  <c r="H54" i="27"/>
  <c r="H55" i="27"/>
  <c r="H56" i="27"/>
  <c r="H57" i="27"/>
  <c r="H58" i="27"/>
  <c r="H59" i="27"/>
  <c r="H60" i="27"/>
  <c r="H53" i="27"/>
  <c r="H52" i="27"/>
  <c r="H51" i="27"/>
  <c r="Q37" i="28" l="1"/>
  <c r="R50" i="28"/>
  <c r="I26" i="28"/>
  <c r="Q39" i="28" s="1"/>
  <c r="D262" i="27"/>
  <c r="G281" i="27" s="1"/>
  <c r="H260" i="27"/>
  <c r="E260" i="27" s="1"/>
  <c r="G260" i="27"/>
  <c r="P277" i="27"/>
  <c r="E279" i="27" s="1"/>
  <c r="H278" i="27" s="1"/>
  <c r="D203" i="27"/>
  <c r="Q216" i="27"/>
  <c r="D204" i="27"/>
  <c r="H177" i="27"/>
  <c r="R187" i="27" s="1"/>
  <c r="D62" i="27"/>
  <c r="F111" i="27" s="1"/>
  <c r="U97" i="27" a="1"/>
  <c r="U97" i="27" s="1"/>
  <c r="W97" i="27" s="1"/>
  <c r="J33" i="27" a="1"/>
  <c r="J33" i="27" s="1"/>
  <c r="H78" i="27"/>
  <c r="H62" i="27"/>
  <c r="Q53" i="28" l="1"/>
  <c r="Q54" i="28" s="1"/>
  <c r="Q45" i="28"/>
  <c r="Q43" i="28"/>
  <c r="Q47" i="28"/>
  <c r="J260" i="27"/>
  <c r="J261" i="27" s="1"/>
  <c r="Q212" i="27"/>
  <c r="H202" i="27" s="1"/>
  <c r="F221" i="27" s="1"/>
  <c r="J34" i="27"/>
  <c r="N220" i="27"/>
  <c r="R219" i="27" s="1"/>
  <c r="N219" i="27"/>
  <c r="F219" i="27"/>
  <c r="E216" i="27"/>
  <c r="O190" i="27"/>
  <c r="P191" i="27"/>
  <c r="Q186" i="27"/>
  <c r="Q185" i="27"/>
  <c r="P190" i="27"/>
  <c r="N190" i="27"/>
  <c r="Q187" i="27"/>
  <c r="N191" i="27"/>
  <c r="R185" i="27"/>
  <c r="I56" i="27"/>
  <c r="I52" i="27"/>
  <c r="I54" i="27"/>
  <c r="I55" i="27"/>
  <c r="I57" i="27"/>
  <c r="I60" i="27"/>
  <c r="I59" i="27"/>
  <c r="I53" i="27"/>
  <c r="I58" i="27"/>
  <c r="S40" i="28" l="1"/>
  <c r="T40" i="28"/>
  <c r="R221" i="27"/>
  <c r="F248" i="27"/>
  <c r="Q210" i="27"/>
  <c r="N221" i="27"/>
  <c r="N193" i="27"/>
  <c r="F188" i="27" s="1"/>
  <c r="F197" i="27"/>
  <c r="Q190" i="27"/>
  <c r="R191" i="27"/>
  <c r="Q184" i="27"/>
  <c r="V98" i="27"/>
  <c r="V99" i="27" s="1"/>
  <c r="U98" i="27"/>
  <c r="H44" i="27"/>
  <c r="E217" i="27" l="1"/>
  <c r="H216" i="27" s="1"/>
  <c r="W98" i="27"/>
  <c r="W99" i="27" s="1"/>
  <c r="W101" i="27" s="1"/>
  <c r="F226" i="27" s="1"/>
  <c r="F224" i="27" s="1"/>
  <c r="E186" i="27"/>
  <c r="H185" i="27" s="1"/>
  <c r="F145" i="27"/>
  <c r="I99" i="27"/>
  <c r="H99" i="27"/>
  <c r="D92" i="27"/>
  <c r="R102" i="27" s="1"/>
  <c r="I15" i="27"/>
  <c r="E17" i="27"/>
  <c r="G7" i="27"/>
  <c r="Q68" i="26"/>
  <c r="F164" i="27" l="1"/>
  <c r="E84" i="27"/>
  <c r="G268" i="27"/>
  <c r="H266" i="27" s="1"/>
  <c r="T68" i="27"/>
  <c r="R68" i="27" s="1"/>
  <c r="E236" i="27"/>
  <c r="F162" i="27"/>
  <c r="F110" i="27"/>
  <c r="F194" i="27"/>
  <c r="F192" i="27" s="1"/>
  <c r="F124" i="27"/>
  <c r="F122" i="27" s="1"/>
  <c r="N106" i="27"/>
  <c r="P106" i="27"/>
  <c r="R100" i="27"/>
  <c r="G115" i="27"/>
  <c r="M208" i="26"/>
  <c r="F208" i="26" s="1"/>
  <c r="F205" i="26"/>
  <c r="F204" i="26"/>
  <c r="P182" i="26"/>
  <c r="F194" i="26" s="1" a="1"/>
  <c r="F194" i="26" s="1"/>
  <c r="F186" i="26"/>
  <c r="F185" i="26"/>
  <c r="F184" i="26"/>
  <c r="G182" i="26"/>
  <c r="F182" i="26"/>
  <c r="G181" i="26"/>
  <c r="F181" i="26"/>
  <c r="F143" i="27" l="1"/>
  <c r="G155" i="27" s="1"/>
  <c r="N35" i="27"/>
  <c r="H264" i="27"/>
  <c r="S68" i="27"/>
  <c r="P69" i="27" s="1"/>
  <c r="N27" i="27"/>
  <c r="Q68" i="27"/>
  <c r="O68" i="27"/>
  <c r="P68" i="27"/>
  <c r="R106" i="27"/>
  <c r="F195" i="26"/>
  <c r="J208" i="26"/>
  <c r="G208" i="26"/>
  <c r="J201" i="26"/>
  <c r="F206" i="26"/>
  <c r="F139" i="27" l="1"/>
  <c r="R140" i="27"/>
  <c r="Q69" i="27"/>
  <c r="O69" i="27"/>
  <c r="H69" i="27" s="1"/>
  <c r="H68" i="27"/>
  <c r="R138" i="27"/>
  <c r="G92" i="27"/>
  <c r="I113" i="27"/>
  <c r="G91" i="27"/>
  <c r="G90" i="27"/>
  <c r="N33" i="27" l="1"/>
  <c r="E41" i="7" l="1"/>
  <c r="E42" i="7"/>
  <c r="E43" i="7"/>
  <c r="E44" i="7"/>
  <c r="E45" i="7"/>
  <c r="E46" i="7"/>
  <c r="E47" i="7"/>
  <c r="E40" i="7"/>
  <c r="F47" i="7" l="1"/>
  <c r="E72" i="7"/>
  <c r="E60" i="7"/>
  <c r="F44" i="7"/>
  <c r="E69" i="7"/>
  <c r="E57" i="7"/>
  <c r="F45" i="7"/>
  <c r="E70" i="7"/>
  <c r="E58" i="7"/>
  <c r="F42" i="7"/>
  <c r="E67" i="7"/>
  <c r="E55" i="7"/>
  <c r="G40" i="7"/>
  <c r="G53" i="7" s="1"/>
  <c r="E53" i="7"/>
  <c r="G47" i="7"/>
  <c r="F46" i="7"/>
  <c r="E71" i="7"/>
  <c r="E59" i="7"/>
  <c r="G44" i="7"/>
  <c r="G43" i="7"/>
  <c r="E68" i="7"/>
  <c r="E56" i="7"/>
  <c r="F41" i="7"/>
  <c r="E66" i="7"/>
  <c r="E54" i="7"/>
  <c r="G42" i="7"/>
  <c r="F43" i="7"/>
  <c r="G46" i="7"/>
  <c r="N30" i="27"/>
  <c r="G45" i="7"/>
  <c r="G41" i="7"/>
  <c r="F40" i="7"/>
  <c r="F53" i="7" s="1"/>
  <c r="G66" i="7" l="1"/>
  <c r="G54" i="7"/>
  <c r="G71" i="7"/>
  <c r="G59" i="7"/>
  <c r="G70" i="7"/>
  <c r="G58" i="7"/>
  <c r="F69" i="7"/>
  <c r="F57" i="7"/>
  <c r="F70" i="7"/>
  <c r="F58" i="7"/>
  <c r="G69" i="7"/>
  <c r="G57" i="7"/>
  <c r="F71" i="7"/>
  <c r="F59" i="7"/>
  <c r="F66" i="7"/>
  <c r="F54" i="7"/>
  <c r="G68" i="7"/>
  <c r="G56" i="7"/>
  <c r="F67" i="7"/>
  <c r="F55" i="7"/>
  <c r="G72" i="7"/>
  <c r="G60" i="7"/>
  <c r="Q179" i="26"/>
  <c r="F180" i="26" s="1"/>
  <c r="F183" i="26" s="1"/>
  <c r="F189" i="26" s="1"/>
  <c r="F192" i="26" s="1"/>
  <c r="F68" i="7"/>
  <c r="F56" i="7"/>
  <c r="G67" i="7"/>
  <c r="G55" i="7"/>
  <c r="F72" i="7"/>
  <c r="F60" i="7"/>
  <c r="O329" i="25"/>
  <c r="N329" i="25"/>
  <c r="P96" i="26"/>
  <c r="F196" i="26" l="1"/>
  <c r="J196" i="26" s="1"/>
  <c r="H331" i="25"/>
  <c r="E332" i="25"/>
  <c r="E331" i="25"/>
  <c r="D311" i="25"/>
  <c r="D310" i="25"/>
  <c r="D257" i="25"/>
  <c r="D258" i="25"/>
  <c r="E265" i="25"/>
  <c r="H212" i="25"/>
  <c r="E214" i="25" s="1"/>
  <c r="E212" i="25"/>
  <c r="H214" i="25" s="1"/>
  <c r="O327" i="25"/>
  <c r="D327" i="25"/>
  <c r="U325" i="25"/>
  <c r="T325" i="25"/>
  <c r="S325" i="25"/>
  <c r="H311" i="25"/>
  <c r="H310" i="25"/>
  <c r="U306" i="25"/>
  <c r="T306" i="25"/>
  <c r="S306" i="25"/>
  <c r="D307" i="25"/>
  <c r="D259" i="25"/>
  <c r="D261" i="25"/>
  <c r="D260" i="25"/>
  <c r="D256" i="25"/>
  <c r="X256" i="25"/>
  <c r="W256" i="25"/>
  <c r="V256" i="25"/>
  <c r="D206" i="25"/>
  <c r="D208" i="25"/>
  <c r="D205" i="25"/>
  <c r="H221" i="25" s="1"/>
  <c r="D207" i="25"/>
  <c r="D204" i="25"/>
  <c r="H219" i="25" s="1"/>
  <c r="D203" i="25"/>
  <c r="E217" i="25" s="1"/>
  <c r="X203" i="25"/>
  <c r="W203" i="25"/>
  <c r="V203" i="25"/>
  <c r="E127" i="25"/>
  <c r="E126" i="25"/>
  <c r="H128" i="25"/>
  <c r="H126" i="25"/>
  <c r="F138" i="25"/>
  <c r="H123" i="25"/>
  <c r="D123" i="25"/>
  <c r="H122" i="25"/>
  <c r="D122" i="25"/>
  <c r="H121" i="25"/>
  <c r="D121" i="25"/>
  <c r="D119" i="25"/>
  <c r="D118" i="25"/>
  <c r="D117" i="25"/>
  <c r="X116" i="25"/>
  <c r="W116" i="25"/>
  <c r="V116" i="25"/>
  <c r="H98" i="25"/>
  <c r="H110" i="25" s="1"/>
  <c r="D7" i="25"/>
  <c r="D174" i="25"/>
  <c r="H174" i="25"/>
  <c r="D172" i="25"/>
  <c r="D171" i="25"/>
  <c r="D170" i="25"/>
  <c r="U171" i="25"/>
  <c r="F169" i="25" s="1"/>
  <c r="T171" i="25"/>
  <c r="S171" i="25"/>
  <c r="Q37" i="26"/>
  <c r="G44" i="26" s="1"/>
  <c r="E72" i="26"/>
  <c r="Q66" i="26"/>
  <c r="O68" i="26"/>
  <c r="N68" i="26"/>
  <c r="G77" i="26" s="1"/>
  <c r="P68" i="26"/>
  <c r="G84" i="26" s="1"/>
  <c r="I83" i="26" s="1"/>
  <c r="E111" i="24"/>
  <c r="J111" i="24" s="1"/>
  <c r="Q17" i="7"/>
  <c r="Q18" i="7"/>
  <c r="Q19" i="7"/>
  <c r="Q20" i="7"/>
  <c r="Q16" i="7"/>
  <c r="Q7" i="7"/>
  <c r="Q8" i="7"/>
  <c r="Q9" i="7"/>
  <c r="Q6" i="7"/>
  <c r="Q4" i="7"/>
  <c r="Q5" i="7"/>
  <c r="Q3" i="7"/>
  <c r="P6" i="7"/>
  <c r="N6" i="7"/>
  <c r="O6" i="7" s="1"/>
  <c r="M6" i="7"/>
  <c r="P5" i="7"/>
  <c r="N5" i="7"/>
  <c r="O5" i="7" s="1"/>
  <c r="M5" i="7"/>
  <c r="P4" i="7"/>
  <c r="N4" i="7"/>
  <c r="O4" i="7" s="1"/>
  <c r="M4" i="7"/>
  <c r="P7" i="7"/>
  <c r="N7" i="7"/>
  <c r="O7" i="7" s="1"/>
  <c r="M7" i="7"/>
  <c r="D365" i="25"/>
  <c r="D352" i="25"/>
  <c r="H355" i="25"/>
  <c r="D355" i="25"/>
  <c r="E358" i="25" s="1"/>
  <c r="D354" i="25"/>
  <c r="U353" i="25"/>
  <c r="T353" i="25"/>
  <c r="S353" i="25"/>
  <c r="H368" i="25"/>
  <c r="D368" i="25"/>
  <c r="E369" i="25" s="1"/>
  <c r="U366" i="25"/>
  <c r="T366" i="25"/>
  <c r="S366" i="25"/>
  <c r="D367" i="25"/>
  <c r="D6" i="25"/>
  <c r="D13" i="25"/>
  <c r="D20" i="25"/>
  <c r="D29" i="25"/>
  <c r="D45" i="25"/>
  <c r="D61" i="25"/>
  <c r="H48" i="25"/>
  <c r="D32" i="25"/>
  <c r="H31" i="25"/>
  <c r="Q78" i="25"/>
  <c r="F93" i="25" s="1"/>
  <c r="H86" i="25"/>
  <c r="H85" i="25"/>
  <c r="H84" i="25"/>
  <c r="D84" i="25"/>
  <c r="D85" i="25"/>
  <c r="D86" i="25"/>
  <c r="D81" i="25"/>
  <c r="D80" i="25"/>
  <c r="D79" i="25"/>
  <c r="H64" i="25"/>
  <c r="H32" i="25"/>
  <c r="I21" i="25"/>
  <c r="G21" i="25"/>
  <c r="P158" i="26"/>
  <c r="Q158" i="26"/>
  <c r="F158" i="26"/>
  <c r="I158" i="26" s="1"/>
  <c r="I157" i="26"/>
  <c r="F157" i="26"/>
  <c r="D157" i="26"/>
  <c r="H157" i="26"/>
  <c r="D121" i="26"/>
  <c r="O124" i="26"/>
  <c r="M124" i="26"/>
  <c r="P124" i="26"/>
  <c r="N124" i="26"/>
  <c r="P122" i="26"/>
  <c r="F122" i="26" s="1"/>
  <c r="O122" i="26"/>
  <c r="F123" i="26" s="1"/>
  <c r="N122" i="26"/>
  <c r="M122" i="26"/>
  <c r="I121" i="26" s="1"/>
  <c r="F168" i="26"/>
  <c r="F169" i="26"/>
  <c r="H181" i="25" l="1"/>
  <c r="F197" i="26"/>
  <c r="H197" i="26" s="1"/>
  <c r="H196" i="26"/>
  <c r="E334" i="25"/>
  <c r="H336" i="25" s="1"/>
  <c r="H319" i="25"/>
  <c r="E315" i="25"/>
  <c r="E317" i="25" s="1"/>
  <c r="D308" i="25"/>
  <c r="H315" i="25" s="1"/>
  <c r="E267" i="25"/>
  <c r="H267" i="25" s="1"/>
  <c r="H272" i="25"/>
  <c r="H274" i="25"/>
  <c r="H276" i="25"/>
  <c r="E270" i="25"/>
  <c r="H224" i="25"/>
  <c r="H226" i="25"/>
  <c r="H249" i="25" s="1"/>
  <c r="E230" i="25"/>
  <c r="E245" i="25" s="1"/>
  <c r="E228" i="25"/>
  <c r="I311" i="25"/>
  <c r="E121" i="25"/>
  <c r="I310" i="25"/>
  <c r="E311" i="25"/>
  <c r="E310" i="25"/>
  <c r="E129" i="25"/>
  <c r="H131" i="25" s="1"/>
  <c r="E123" i="25"/>
  <c r="E139" i="25"/>
  <c r="I123" i="25"/>
  <c r="I121" i="25"/>
  <c r="I122" i="25"/>
  <c r="E122" i="25"/>
  <c r="E177" i="25"/>
  <c r="E195" i="25" s="1"/>
  <c r="E197" i="25" s="1"/>
  <c r="E183" i="25"/>
  <c r="I174" i="25"/>
  <c r="E174" i="25"/>
  <c r="I71" i="26"/>
  <c r="E370" i="25"/>
  <c r="E356" i="25"/>
  <c r="E362" i="25" s="1"/>
  <c r="H356" i="25"/>
  <c r="H358" i="25" s="1"/>
  <c r="E357" i="25"/>
  <c r="H369" i="25"/>
  <c r="E371" i="25" s="1"/>
  <c r="I368" i="25"/>
  <c r="I355" i="25"/>
  <c r="E368" i="25"/>
  <c r="E355" i="25"/>
  <c r="I86" i="25"/>
  <c r="E84" i="25"/>
  <c r="E85" i="25"/>
  <c r="I85" i="25"/>
  <c r="I84" i="25"/>
  <c r="E86" i="25"/>
  <c r="D158" i="26"/>
  <c r="I122" i="26"/>
  <c r="D123" i="26"/>
  <c r="H121" i="26"/>
  <c r="F121" i="26"/>
  <c r="D122" i="26"/>
  <c r="I123" i="26"/>
  <c r="D118" i="26"/>
  <c r="F144" i="26"/>
  <c r="F133" i="26"/>
  <c r="M158" i="26"/>
  <c r="F162" i="26" s="1"/>
  <c r="I162" i="26" s="1"/>
  <c r="M120" i="26"/>
  <c r="F127" i="26" s="1"/>
  <c r="I126" i="26" s="1"/>
  <c r="Q39" i="26"/>
  <c r="O158" i="26"/>
  <c r="N158" i="26"/>
  <c r="O120" i="26"/>
  <c r="N120" i="26"/>
  <c r="I98" i="26"/>
  <c r="I97" i="26"/>
  <c r="I96" i="26"/>
  <c r="O96" i="26"/>
  <c r="H105" i="26"/>
  <c r="F104" i="26" s="1"/>
  <c r="Q94" i="26"/>
  <c r="N96" i="26"/>
  <c r="M96" i="26"/>
  <c r="E102" i="26"/>
  <c r="J178" i="26" l="1"/>
  <c r="J197" i="26"/>
  <c r="E337" i="25"/>
  <c r="E336" i="25"/>
  <c r="E316" i="25"/>
  <c r="J316" i="25" s="1"/>
  <c r="E319" i="25"/>
  <c r="E321" i="25" s="1"/>
  <c r="J317" i="25"/>
  <c r="F317" i="25"/>
  <c r="E278" i="25"/>
  <c r="E284" i="25" s="1"/>
  <c r="E280" i="25"/>
  <c r="E294" i="25" s="1"/>
  <c r="E297" i="25" s="1"/>
  <c r="H294" i="25"/>
  <c r="H299" i="25"/>
  <c r="H289" i="25"/>
  <c r="H284" i="25"/>
  <c r="E244" i="25"/>
  <c r="E247" i="25" s="1"/>
  <c r="J247" i="25" s="1"/>
  <c r="H244" i="25"/>
  <c r="E249" i="25"/>
  <c r="E252" i="25" s="1"/>
  <c r="E250" i="25"/>
  <c r="E234" i="25"/>
  <c r="E237" i="25" s="1"/>
  <c r="E240" i="25"/>
  <c r="E239" i="25"/>
  <c r="E242" i="25" s="1"/>
  <c r="E235" i="25"/>
  <c r="H239" i="25"/>
  <c r="H234" i="25"/>
  <c r="E132" i="25"/>
  <c r="H134" i="25"/>
  <c r="H132" i="25"/>
  <c r="H161" i="25"/>
  <c r="E161" i="25"/>
  <c r="H127" i="25"/>
  <c r="E135" i="25"/>
  <c r="F197" i="25"/>
  <c r="H195" i="25"/>
  <c r="E196" i="25" s="1"/>
  <c r="J196" i="25" s="1"/>
  <c r="J197" i="25"/>
  <c r="E191" i="25"/>
  <c r="E193" i="25" s="1"/>
  <c r="J193" i="25" s="1"/>
  <c r="E187" i="25"/>
  <c r="E189" i="25" s="1"/>
  <c r="J189" i="25" s="1"/>
  <c r="H187" i="25"/>
  <c r="H191" i="25"/>
  <c r="E361" i="25"/>
  <c r="E360" i="25"/>
  <c r="H357" i="25"/>
  <c r="F362" i="25"/>
  <c r="J371" i="25"/>
  <c r="F371" i="25"/>
  <c r="E372" i="25"/>
  <c r="J372" i="25" s="1"/>
  <c r="I165" i="26"/>
  <c r="J165" i="26"/>
  <c r="J162" i="26"/>
  <c r="F138" i="26"/>
  <c r="I137" i="26" s="1"/>
  <c r="I140" i="26"/>
  <c r="I132" i="26"/>
  <c r="I129" i="26"/>
  <c r="I143" i="26"/>
  <c r="C93" i="26"/>
  <c r="H104" i="26"/>
  <c r="E339" i="25" l="1"/>
  <c r="H341" i="25" s="1"/>
  <c r="H348" i="25" s="1"/>
  <c r="E349" i="25" s="1"/>
  <c r="J349" i="25" s="1"/>
  <c r="F316" i="25"/>
  <c r="J321" i="25"/>
  <c r="F321" i="25"/>
  <c r="E320" i="25"/>
  <c r="E290" i="25"/>
  <c r="E299" i="25"/>
  <c r="E302" i="25" s="1"/>
  <c r="J302" i="25" s="1"/>
  <c r="E295" i="25"/>
  <c r="E296" i="25" s="1"/>
  <c r="J296" i="25" s="1"/>
  <c r="E289" i="25"/>
  <c r="E292" i="25" s="1"/>
  <c r="E300" i="25"/>
  <c r="E285" i="25"/>
  <c r="E286" i="25" s="1"/>
  <c r="F247" i="25"/>
  <c r="E246" i="25"/>
  <c r="F246" i="25" s="1"/>
  <c r="E241" i="25"/>
  <c r="J241" i="25" s="1"/>
  <c r="E287" i="25"/>
  <c r="J297" i="25"/>
  <c r="F297" i="25"/>
  <c r="E236" i="25"/>
  <c r="J236" i="25" s="1"/>
  <c r="F252" i="25"/>
  <c r="J252" i="25"/>
  <c r="E251" i="25"/>
  <c r="J242" i="25"/>
  <c r="F242" i="25"/>
  <c r="F237" i="25"/>
  <c r="J237" i="25"/>
  <c r="E163" i="25"/>
  <c r="E131" i="25"/>
  <c r="F196" i="25"/>
  <c r="E192" i="25"/>
  <c r="J192" i="25" s="1"/>
  <c r="E188" i="25"/>
  <c r="J188" i="25" s="1"/>
  <c r="F193" i="25"/>
  <c r="F189" i="25"/>
  <c r="J120" i="26"/>
  <c r="J136" i="26"/>
  <c r="E359" i="25"/>
  <c r="J359" i="25" s="1"/>
  <c r="J360" i="25"/>
  <c r="F360" i="25"/>
  <c r="J362" i="25"/>
  <c r="F372" i="25"/>
  <c r="F174" i="26"/>
  <c r="I170" i="26"/>
  <c r="J170" i="26"/>
  <c r="F349" i="25" l="1"/>
  <c r="E341" i="25"/>
  <c r="H345" i="25" s="1"/>
  <c r="E346" i="25" s="1"/>
  <c r="J346" i="25" s="1"/>
  <c r="J320" i="25"/>
  <c r="F320" i="25"/>
  <c r="F302" i="25"/>
  <c r="E301" i="25"/>
  <c r="J301" i="25" s="1"/>
  <c r="J246" i="25"/>
  <c r="E291" i="25"/>
  <c r="J291" i="25" s="1"/>
  <c r="F241" i="25"/>
  <c r="F296" i="25"/>
  <c r="J286" i="25"/>
  <c r="F286" i="25"/>
  <c r="J287" i="25"/>
  <c r="F287" i="25"/>
  <c r="F292" i="25"/>
  <c r="J292" i="25"/>
  <c r="F236" i="25"/>
  <c r="F251" i="25"/>
  <c r="J251" i="25"/>
  <c r="E149" i="25"/>
  <c r="H165" i="25" s="1"/>
  <c r="H144" i="25"/>
  <c r="H141" i="25"/>
  <c r="H142" i="25"/>
  <c r="H143" i="25"/>
  <c r="E162" i="25" s="1"/>
  <c r="E146" i="25"/>
  <c r="E153" i="25" s="1"/>
  <c r="J163" i="25"/>
  <c r="F163" i="25"/>
  <c r="E147" i="25"/>
  <c r="F192" i="25"/>
  <c r="F188" i="25"/>
  <c r="F149" i="26"/>
  <c r="I147" i="26" s="1"/>
  <c r="J116" i="26" s="1"/>
  <c r="F359" i="25"/>
  <c r="F361" i="25"/>
  <c r="J361" i="25"/>
  <c r="I172" i="26"/>
  <c r="J152" i="26" s="1"/>
  <c r="F346" i="25" l="1"/>
  <c r="F301" i="25"/>
  <c r="F291" i="25"/>
  <c r="E165" i="25"/>
  <c r="E166" i="25" s="1"/>
  <c r="H153" i="25"/>
  <c r="H157" i="25"/>
  <c r="E157" i="25"/>
  <c r="J162" i="25"/>
  <c r="F162" i="25"/>
  <c r="C8" i="26"/>
  <c r="C9" i="26"/>
  <c r="I48" i="26"/>
  <c r="I47" i="26"/>
  <c r="Q7" i="26"/>
  <c r="Q41" i="26"/>
  <c r="P41" i="26"/>
  <c r="O41" i="26"/>
  <c r="G53" i="26" s="1"/>
  <c r="N18" i="26"/>
  <c r="N17" i="26"/>
  <c r="N16" i="26"/>
  <c r="N15" i="26"/>
  <c r="N14" i="26"/>
  <c r="E167" i="25" l="1"/>
  <c r="J167" i="25" s="1"/>
  <c r="E159" i="25"/>
  <c r="E158" i="25"/>
  <c r="E155" i="25"/>
  <c r="E154" i="25"/>
  <c r="F166" i="25"/>
  <c r="J166" i="25"/>
  <c r="G17" i="26" a="1"/>
  <c r="G17" i="26" s="1"/>
  <c r="I43" i="26"/>
  <c r="F167" i="25" l="1"/>
  <c r="J158" i="25"/>
  <c r="F158" i="25"/>
  <c r="J159" i="25"/>
  <c r="F159" i="25"/>
  <c r="J154" i="25"/>
  <c r="F154" i="25"/>
  <c r="J155" i="25"/>
  <c r="F155" i="25"/>
  <c r="G15" i="26"/>
  <c r="I14" i="26" s="1"/>
  <c r="F20" i="26"/>
  <c r="I19" i="26" s="1"/>
  <c r="G20" i="26" l="1"/>
  <c r="Q11" i="26"/>
  <c r="P11" i="26"/>
  <c r="O11" i="26"/>
  <c r="G25" i="26" s="1"/>
  <c r="G98" i="24"/>
  <c r="T80" i="25"/>
  <c r="T79" i="25"/>
  <c r="Q81" i="25"/>
  <c r="F92" i="25" s="1"/>
  <c r="X77" i="25"/>
  <c r="W77" i="25"/>
  <c r="V77" i="25"/>
  <c r="D63" i="25"/>
  <c r="D64" i="25"/>
  <c r="U61" i="25"/>
  <c r="T61" i="25"/>
  <c r="S61" i="25"/>
  <c r="H63" i="25"/>
  <c r="D48" i="25"/>
  <c r="U45" i="25"/>
  <c r="T45" i="25"/>
  <c r="S45" i="25"/>
  <c r="H47" i="25"/>
  <c r="D47" i="25"/>
  <c r="D31" i="25"/>
  <c r="U29" i="25"/>
  <c r="T29" i="25"/>
  <c r="S29" i="25"/>
  <c r="D22" i="25"/>
  <c r="E25" i="25" s="1"/>
  <c r="U20" i="25"/>
  <c r="T20" i="25"/>
  <c r="S20" i="25"/>
  <c r="H22" i="25"/>
  <c r="U13" i="25"/>
  <c r="T13" i="25"/>
  <c r="S13" i="25"/>
  <c r="H14" i="25"/>
  <c r="D14" i="25"/>
  <c r="E16" i="25" s="1"/>
  <c r="H7" i="25"/>
  <c r="E9" i="25"/>
  <c r="E8" i="25" s="1"/>
  <c r="U6" i="25"/>
  <c r="T6" i="25"/>
  <c r="S6" i="25"/>
  <c r="F94" i="25" l="1"/>
  <c r="E95" i="25" s="1"/>
  <c r="F89" i="25"/>
  <c r="E90" i="25" s="1"/>
  <c r="E110" i="25" s="1"/>
  <c r="I63" i="25"/>
  <c r="E66" i="25"/>
  <c r="I47" i="25"/>
  <c r="I31" i="25"/>
  <c r="G33" i="25"/>
  <c r="H39" i="25" s="1"/>
  <c r="I48" i="25"/>
  <c r="G49" i="25"/>
  <c r="G50" i="25" s="1"/>
  <c r="H51" i="25" s="1"/>
  <c r="E53" i="25" s="1"/>
  <c r="E64" i="25"/>
  <c r="I64" i="25"/>
  <c r="E63" i="25"/>
  <c r="E48" i="25"/>
  <c r="E47" i="25"/>
  <c r="I32" i="25"/>
  <c r="E32" i="25"/>
  <c r="E31" i="25"/>
  <c r="E15" i="25"/>
  <c r="E23" i="25"/>
  <c r="E24" i="25" s="1"/>
  <c r="J25" i="25"/>
  <c r="F25" i="25"/>
  <c r="E22" i="25"/>
  <c r="I22" i="25"/>
  <c r="J9" i="25"/>
  <c r="E7" i="25"/>
  <c r="I7" i="25"/>
  <c r="E14" i="25"/>
  <c r="I14" i="25"/>
  <c r="F16" i="25"/>
  <c r="F9" i="25"/>
  <c r="Z254" i="15"/>
  <c r="L257" i="15"/>
  <c r="L254" i="15"/>
  <c r="I249" i="15" s="1"/>
  <c r="L242" i="15"/>
  <c r="L239" i="15"/>
  <c r="I250" i="15"/>
  <c r="T247" i="15"/>
  <c r="T248" i="15" s="1"/>
  <c r="V240" i="15"/>
  <c r="AK239" i="15" s="1"/>
  <c r="AR239" i="15" s="1"/>
  <c r="T240" i="15"/>
  <c r="AH240" i="15" s="1"/>
  <c r="T232" i="15"/>
  <c r="T233" i="15" s="1"/>
  <c r="V124" i="15"/>
  <c r="AK124" i="15" s="1" a="1"/>
  <c r="AK124" i="15" s="1"/>
  <c r="T124" i="15"/>
  <c r="AH124" i="15" s="1"/>
  <c r="L123" i="15"/>
  <c r="T116" i="15"/>
  <c r="T117" i="15" s="1"/>
  <c r="Z135" i="15"/>
  <c r="I131" i="15" s="1"/>
  <c r="L135" i="15"/>
  <c r="T128" i="15"/>
  <c r="T129" i="15" s="1"/>
  <c r="T92" i="15"/>
  <c r="T93" i="15" s="1"/>
  <c r="Z111" i="15"/>
  <c r="Z108" i="15"/>
  <c r="Z105" i="15"/>
  <c r="Z102" i="15"/>
  <c r="Z99" i="15"/>
  <c r="L108" i="15"/>
  <c r="L105" i="15"/>
  <c r="L102" i="15"/>
  <c r="L99" i="15"/>
  <c r="D98" i="24"/>
  <c r="R98" i="24"/>
  <c r="Q98" i="24"/>
  <c r="H19" i="22"/>
  <c r="D119" i="24"/>
  <c r="I117" i="24"/>
  <c r="I118" i="24"/>
  <c r="H118" i="24"/>
  <c r="E120" i="24"/>
  <c r="H117" i="24"/>
  <c r="C119" i="24"/>
  <c r="F117" i="24"/>
  <c r="D117" i="24"/>
  <c r="E96" i="25" l="1"/>
  <c r="H106" i="25" s="1"/>
  <c r="E112" i="25"/>
  <c r="E111" i="25"/>
  <c r="E102" i="25"/>
  <c r="H102" i="25"/>
  <c r="J97" i="24"/>
  <c r="G66" i="25"/>
  <c r="H67" i="25" s="1"/>
  <c r="E68" i="25" s="1"/>
  <c r="H71" i="25"/>
  <c r="E73" i="25" s="1"/>
  <c r="E41" i="25"/>
  <c r="E40" i="25" s="1"/>
  <c r="G34" i="25"/>
  <c r="H35" i="25" s="1"/>
  <c r="E37" i="25" s="1"/>
  <c r="E52" i="25"/>
  <c r="H55" i="25"/>
  <c r="F53" i="25"/>
  <c r="J53" i="25"/>
  <c r="J24" i="25"/>
  <c r="F24" i="25"/>
  <c r="J16" i="25"/>
  <c r="J8" i="25"/>
  <c r="F8" i="25"/>
  <c r="I130" i="15"/>
  <c r="AK240" i="15" a="1"/>
  <c r="AK240" i="15" s="1"/>
  <c r="AV240" i="15" s="1"/>
  <c r="AF238" i="15"/>
  <c r="AT239" i="15"/>
  <c r="AU239" i="15"/>
  <c r="AF237" i="15"/>
  <c r="AL239" i="15"/>
  <c r="AS239" i="15"/>
  <c r="AV239" i="15"/>
  <c r="AH237" i="15"/>
  <c r="AM239" i="15"/>
  <c r="AN239" i="15"/>
  <c r="AO239" i="15"/>
  <c r="AP239" i="15"/>
  <c r="AQ239" i="15"/>
  <c r="AH121" i="15"/>
  <c r="AK123" i="15"/>
  <c r="AP123" i="15" s="1"/>
  <c r="AF122" i="15"/>
  <c r="AU124" i="15"/>
  <c r="AT124" i="15"/>
  <c r="AS124" i="15"/>
  <c r="AR124" i="15"/>
  <c r="AQ124" i="15"/>
  <c r="AF124" i="15"/>
  <c r="AP124" i="15"/>
  <c r="AO124" i="15"/>
  <c r="AN124" i="15"/>
  <c r="AM124" i="15"/>
  <c r="AL124" i="15"/>
  <c r="AV124" i="15"/>
  <c r="I94" i="15"/>
  <c r="I95" i="15"/>
  <c r="U5" i="22"/>
  <c r="E106" i="25" l="1"/>
  <c r="E108" i="25" s="1"/>
  <c r="F111" i="25"/>
  <c r="J111" i="25"/>
  <c r="J112" i="25"/>
  <c r="F112" i="25"/>
  <c r="E104" i="25"/>
  <c r="J104" i="25" s="1"/>
  <c r="E103" i="25"/>
  <c r="E69" i="25"/>
  <c r="F69" i="25" s="1"/>
  <c r="J41" i="25"/>
  <c r="E57" i="25"/>
  <c r="J57" i="25" s="1"/>
  <c r="F41" i="25"/>
  <c r="J73" i="25"/>
  <c r="F40" i="25"/>
  <c r="J40" i="25"/>
  <c r="E36" i="25"/>
  <c r="J37" i="25"/>
  <c r="F37" i="25"/>
  <c r="AI237" i="15" a="1"/>
  <c r="AI237" i="15" s="1"/>
  <c r="AI236" i="15" s="1"/>
  <c r="AS240" i="15"/>
  <c r="AM240" i="15"/>
  <c r="AN240" i="15"/>
  <c r="AO240" i="15"/>
  <c r="AU240" i="15"/>
  <c r="AL240" i="15"/>
  <c r="AP240" i="15"/>
  <c r="AF240" i="15"/>
  <c r="AG237" i="15"/>
  <c r="AG236" i="15" s="1"/>
  <c r="AR240" i="15"/>
  <c r="AQ240" i="15"/>
  <c r="AT240" i="15"/>
  <c r="AO123" i="15"/>
  <c r="AV123" i="15"/>
  <c r="AT123" i="15"/>
  <c r="AF121" i="15"/>
  <c r="AN123" i="15"/>
  <c r="AM123" i="15"/>
  <c r="AS123" i="15"/>
  <c r="AR123" i="15"/>
  <c r="AU123" i="15"/>
  <c r="AL123" i="15"/>
  <c r="AQ123" i="15"/>
  <c r="AI124" i="15" a="1"/>
  <c r="AI124" i="15" s="1"/>
  <c r="AI123" i="15" s="1"/>
  <c r="AG124" i="15"/>
  <c r="AG123" i="15" s="1"/>
  <c r="G18" i="22"/>
  <c r="V30" i="22"/>
  <c r="U30" i="22"/>
  <c r="E107" i="25" l="1"/>
  <c r="F107" i="25" s="1"/>
  <c r="F104" i="25"/>
  <c r="J108" i="25"/>
  <c r="F108" i="25"/>
  <c r="J103" i="25"/>
  <c r="F103" i="25"/>
  <c r="J69" i="25"/>
  <c r="F57" i="25"/>
  <c r="E56" i="25"/>
  <c r="F56" i="25" s="1"/>
  <c r="E72" i="25"/>
  <c r="F72" i="25" s="1"/>
  <c r="F73" i="25"/>
  <c r="AH236" i="15"/>
  <c r="AI240" i="15" a="1"/>
  <c r="AI240" i="15" s="1"/>
  <c r="AI239" i="15" s="1"/>
  <c r="AG240" i="15"/>
  <c r="AG239" i="15" s="1"/>
  <c r="AG121" i="15"/>
  <c r="AG120" i="15" s="1"/>
  <c r="AI121" i="15" a="1"/>
  <c r="AI121" i="15" s="1"/>
  <c r="AI120" i="15" s="1"/>
  <c r="AH123" i="15"/>
  <c r="L227" i="15"/>
  <c r="L214" i="15"/>
  <c r="Z214" i="15"/>
  <c r="Z201" i="15"/>
  <c r="L201" i="15"/>
  <c r="Z188" i="15"/>
  <c r="L188" i="15"/>
  <c r="L175" i="15"/>
  <c r="T220" i="15"/>
  <c r="T207" i="15"/>
  <c r="T194" i="15"/>
  <c r="T181" i="15"/>
  <c r="T168" i="15"/>
  <c r="T155" i="15"/>
  <c r="T142" i="15"/>
  <c r="T79" i="15"/>
  <c r="T12" i="15"/>
  <c r="T34" i="15"/>
  <c r="T53" i="15"/>
  <c r="T66" i="15"/>
  <c r="Z162" i="15"/>
  <c r="L162" i="15"/>
  <c r="V228" i="15"/>
  <c r="AK227" i="15" s="1"/>
  <c r="AS227" i="15" s="1"/>
  <c r="T228" i="15"/>
  <c r="AH228" i="15" s="1"/>
  <c r="V176" i="15"/>
  <c r="AF174" i="15" s="1"/>
  <c r="T176" i="15"/>
  <c r="AH176" i="15" s="1"/>
  <c r="Z149" i="15"/>
  <c r="I197" i="15"/>
  <c r="L149" i="15"/>
  <c r="T7" i="22"/>
  <c r="S7" i="22"/>
  <c r="R7" i="22"/>
  <c r="Q7" i="22"/>
  <c r="V61" i="15"/>
  <c r="AK61" i="15" s="1" a="1"/>
  <c r="AK61" i="15" s="1"/>
  <c r="T61" i="15"/>
  <c r="AH61" i="15" s="1"/>
  <c r="V74" i="15"/>
  <c r="AK74" i="15" s="1" a="1"/>
  <c r="AK74" i="15" s="1"/>
  <c r="AV74" i="15" s="1"/>
  <c r="V73" i="15"/>
  <c r="AF67" i="15" s="1"/>
  <c r="T73" i="15"/>
  <c r="AH66" i="15" s="1"/>
  <c r="T74" i="15"/>
  <c r="AH75" i="15" s="1"/>
  <c r="V42" i="15"/>
  <c r="AF40" i="15" s="1"/>
  <c r="T42" i="15"/>
  <c r="AH42" i="15" s="1"/>
  <c r="AC3" i="7"/>
  <c r="J107" i="25" l="1"/>
  <c r="J56" i="25"/>
  <c r="J72" i="25"/>
  <c r="AH239" i="15"/>
  <c r="AH238" i="15" s="1"/>
  <c r="X240" i="15" s="1"/>
  <c r="AH120" i="15"/>
  <c r="AH122" i="15" s="1"/>
  <c r="X124" i="15" s="1"/>
  <c r="Z123" i="15" s="1"/>
  <c r="I196" i="15"/>
  <c r="AK176" i="15" a="1"/>
  <c r="AK176" i="15" s="1"/>
  <c r="AN176" i="15" s="1"/>
  <c r="AH225" i="15"/>
  <c r="AH72" i="15"/>
  <c r="AH39" i="15"/>
  <c r="AH58" i="15"/>
  <c r="AH69" i="15"/>
  <c r="AH173" i="15"/>
  <c r="AK175" i="15"/>
  <c r="AS175" i="15" s="1"/>
  <c r="AK228" i="15" a="1"/>
  <c r="AK228" i="15" s="1"/>
  <c r="AV228" i="15" s="1"/>
  <c r="AF226" i="15"/>
  <c r="AK60" i="15"/>
  <c r="AS60" i="15" s="1"/>
  <c r="AF59" i="15"/>
  <c r="AK41" i="15"/>
  <c r="AR41" i="15" s="1"/>
  <c r="AK42" i="15" a="1"/>
  <c r="AK42" i="15" s="1"/>
  <c r="AR42" i="15" s="1"/>
  <c r="AK73" i="15"/>
  <c r="AV73" i="15" s="1"/>
  <c r="AF73" i="15"/>
  <c r="AK68" i="15"/>
  <c r="AP68" i="15" s="1"/>
  <c r="AK69" i="15" a="1"/>
  <c r="AK69" i="15" s="1"/>
  <c r="AV69" i="15" s="1"/>
  <c r="AP227" i="15"/>
  <c r="AQ227" i="15"/>
  <c r="AF225" i="15"/>
  <c r="AL227" i="15"/>
  <c r="AT227" i="15"/>
  <c r="AM227" i="15"/>
  <c r="AU227" i="15"/>
  <c r="AN227" i="15"/>
  <c r="AR227" i="15"/>
  <c r="AV227" i="15"/>
  <c r="AO227" i="15"/>
  <c r="AS74" i="15"/>
  <c r="AL74" i="15"/>
  <c r="AP74" i="15"/>
  <c r="AT74" i="15"/>
  <c r="AO74" i="15"/>
  <c r="AF75" i="15"/>
  <c r="AM74" i="15"/>
  <c r="AQ74" i="15"/>
  <c r="AU74" i="15"/>
  <c r="AN74" i="15"/>
  <c r="AR74" i="15"/>
  <c r="AV61" i="15"/>
  <c r="AR61" i="15"/>
  <c r="AN61" i="15"/>
  <c r="AU61" i="15"/>
  <c r="AQ61" i="15"/>
  <c r="AM61" i="15"/>
  <c r="AF61" i="15"/>
  <c r="AO61" i="15"/>
  <c r="AT61" i="15"/>
  <c r="AP61" i="15"/>
  <c r="AL61" i="15"/>
  <c r="AS61" i="15"/>
  <c r="Z239" i="15" l="1"/>
  <c r="I235" i="15" s="1"/>
  <c r="I119" i="15"/>
  <c r="I118" i="15"/>
  <c r="AO176" i="15"/>
  <c r="AS176" i="15"/>
  <c r="AL176" i="15"/>
  <c r="AM176" i="15"/>
  <c r="AQ176" i="15"/>
  <c r="AP176" i="15"/>
  <c r="AU176" i="15"/>
  <c r="AR176" i="15"/>
  <c r="AT176" i="15"/>
  <c r="AV176" i="15"/>
  <c r="AF176" i="15"/>
  <c r="AQ228" i="15"/>
  <c r="AU175" i="15"/>
  <c r="AP175" i="15"/>
  <c r="AR175" i="15"/>
  <c r="AM175" i="15"/>
  <c r="AV175" i="15"/>
  <c r="AQ175" i="15"/>
  <c r="AL175" i="15"/>
  <c r="AN175" i="15"/>
  <c r="AF173" i="15"/>
  <c r="AN228" i="15"/>
  <c r="AU228" i="15"/>
  <c r="AM228" i="15"/>
  <c r="AT228" i="15"/>
  <c r="AP228" i="15"/>
  <c r="AL41" i="15"/>
  <c r="AU41" i="15"/>
  <c r="AO175" i="15"/>
  <c r="AT175" i="15"/>
  <c r="AR228" i="15"/>
  <c r="AL228" i="15"/>
  <c r="AS228" i="15"/>
  <c r="AF228" i="15"/>
  <c r="AO228" i="15"/>
  <c r="AM60" i="15"/>
  <c r="AL60" i="15"/>
  <c r="AO60" i="15"/>
  <c r="AF58" i="15"/>
  <c r="AR60" i="15"/>
  <c r="AT60" i="15"/>
  <c r="AN60" i="15"/>
  <c r="AU60" i="15"/>
  <c r="AQ60" i="15"/>
  <c r="AV60" i="15"/>
  <c r="AP60" i="15"/>
  <c r="AF42" i="15"/>
  <c r="AN42" i="15"/>
  <c r="AL42" i="15"/>
  <c r="AT42" i="15"/>
  <c r="AS41" i="15"/>
  <c r="AO41" i="15"/>
  <c r="AQ42" i="15"/>
  <c r="AS42" i="15"/>
  <c r="AT41" i="15"/>
  <c r="AV42" i="15"/>
  <c r="AP42" i="15"/>
  <c r="AU42" i="15"/>
  <c r="AP41" i="15"/>
  <c r="AO42" i="15"/>
  <c r="AM41" i="15"/>
  <c r="AN41" i="15"/>
  <c r="AV41" i="15"/>
  <c r="AF39" i="15"/>
  <c r="AQ41" i="15"/>
  <c r="AM42" i="15"/>
  <c r="AR73" i="15"/>
  <c r="AN73" i="15"/>
  <c r="AO73" i="15"/>
  <c r="AI225" i="15" a="1"/>
  <c r="AI225" i="15" s="1"/>
  <c r="AI224" i="15" s="1"/>
  <c r="AS73" i="15"/>
  <c r="AQ73" i="15"/>
  <c r="AP73" i="15"/>
  <c r="AT73" i="15"/>
  <c r="AL73" i="15"/>
  <c r="AF72" i="15"/>
  <c r="AU73" i="15"/>
  <c r="AM73" i="15"/>
  <c r="AR69" i="15"/>
  <c r="AT69" i="15"/>
  <c r="AQ68" i="15"/>
  <c r="AQ69" i="15"/>
  <c r="AV68" i="15"/>
  <c r="AS68" i="15"/>
  <c r="AM69" i="15"/>
  <c r="AR68" i="15"/>
  <c r="AM68" i="15"/>
  <c r="AO69" i="15"/>
  <c r="AT68" i="15"/>
  <c r="AN69" i="15"/>
  <c r="AF69" i="15"/>
  <c r="AP69" i="15"/>
  <c r="AN68" i="15"/>
  <c r="AL68" i="15"/>
  <c r="AU69" i="15"/>
  <c r="AO68" i="15"/>
  <c r="AL69" i="15"/>
  <c r="AS69" i="15"/>
  <c r="AU68" i="15"/>
  <c r="AF66" i="15"/>
  <c r="AG225" i="15"/>
  <c r="AG224" i="15" s="1"/>
  <c r="AG75" i="15"/>
  <c r="AG74" i="15" s="1"/>
  <c r="AI75" i="15" a="1"/>
  <c r="AI75" i="15" s="1"/>
  <c r="AI74" i="15" s="1"/>
  <c r="AG61" i="15"/>
  <c r="AG60" i="15" s="1"/>
  <c r="AI61" i="15" a="1"/>
  <c r="AI61" i="15" s="1"/>
  <c r="AI60" i="15" s="1"/>
  <c r="I234" i="15" l="1"/>
  <c r="AI176" i="15" a="1"/>
  <c r="AI176" i="15" s="1"/>
  <c r="AI175" i="15" s="1"/>
  <c r="AG176" i="15"/>
  <c r="AG175" i="15" s="1"/>
  <c r="AG228" i="15"/>
  <c r="AG227" i="15" s="1"/>
  <c r="AI39" i="15" a="1"/>
  <c r="AI39" i="15" s="1"/>
  <c r="AI38" i="15" s="1"/>
  <c r="AI173" i="15" a="1"/>
  <c r="AI173" i="15" s="1"/>
  <c r="AI172" i="15" s="1"/>
  <c r="AG173" i="15"/>
  <c r="AG172" i="15" s="1"/>
  <c r="AI228" i="15" a="1"/>
  <c r="AI228" i="15" s="1"/>
  <c r="AI227" i="15" s="1"/>
  <c r="AG39" i="15"/>
  <c r="AG38" i="15" s="1"/>
  <c r="AI58" i="15" a="1"/>
  <c r="AI58" i="15" s="1"/>
  <c r="AI57" i="15" s="1"/>
  <c r="AG42" i="15"/>
  <c r="AG41" i="15" s="1"/>
  <c r="AG58" i="15"/>
  <c r="AG57" i="15" s="1"/>
  <c r="AI42" i="15" a="1"/>
  <c r="AI42" i="15" s="1"/>
  <c r="AI41" i="15" s="1"/>
  <c r="AG69" i="15"/>
  <c r="AG68" i="15" s="1"/>
  <c r="AI66" i="15" a="1"/>
  <c r="AI66" i="15" s="1"/>
  <c r="AI65" i="15" s="1"/>
  <c r="AH224" i="15"/>
  <c r="AG66" i="15"/>
  <c r="AG65" i="15" s="1"/>
  <c r="AI72" i="15" a="1"/>
  <c r="AI72" i="15" s="1"/>
  <c r="AI71" i="15" s="1"/>
  <c r="AG72" i="15"/>
  <c r="AG71" i="15" s="1"/>
  <c r="AI69" i="15" a="1"/>
  <c r="AI69" i="15" s="1"/>
  <c r="AI68" i="15" s="1"/>
  <c r="AH74" i="15"/>
  <c r="AH60" i="15"/>
  <c r="E37" i="22"/>
  <c r="H31" i="22"/>
  <c r="T31" i="22"/>
  <c r="Q31" i="22"/>
  <c r="G30" i="22" s="1"/>
  <c r="D33" i="22"/>
  <c r="W30" i="22"/>
  <c r="F31" i="22"/>
  <c r="D31" i="22"/>
  <c r="D30" i="22"/>
  <c r="Q118" i="24"/>
  <c r="R107" i="24"/>
  <c r="Q107" i="24"/>
  <c r="D106" i="24"/>
  <c r="P103" i="24"/>
  <c r="R102" i="24"/>
  <c r="Q102" i="24"/>
  <c r="G103" i="24"/>
  <c r="G102" i="24"/>
  <c r="D102" i="24"/>
  <c r="I6" i="24"/>
  <c r="G7" i="24"/>
  <c r="G6" i="24"/>
  <c r="Q21" i="24"/>
  <c r="Q19" i="24"/>
  <c r="S48" i="22"/>
  <c r="W18" i="22"/>
  <c r="H5" i="22"/>
  <c r="Q8" i="22"/>
  <c r="S8" i="22" s="1"/>
  <c r="D11" i="22"/>
  <c r="P7" i="22"/>
  <c r="G50" i="22"/>
  <c r="G49" i="22"/>
  <c r="G48" i="22"/>
  <c r="D48" i="22"/>
  <c r="I50" i="22" s="1"/>
  <c r="E25" i="22"/>
  <c r="D21" i="22"/>
  <c r="F19" i="22"/>
  <c r="D18" i="22"/>
  <c r="H4" i="22"/>
  <c r="G11" i="22"/>
  <c r="G7" i="22"/>
  <c r="Z47" i="15"/>
  <c r="Z44" i="15"/>
  <c r="Z86" i="15"/>
  <c r="L86" i="15"/>
  <c r="L73" i="15"/>
  <c r="L60" i="15"/>
  <c r="I209" i="15"/>
  <c r="I210" i="15"/>
  <c r="I183" i="15"/>
  <c r="I184" i="15"/>
  <c r="I158" i="15"/>
  <c r="I157" i="15"/>
  <c r="I145" i="15"/>
  <c r="I144" i="15"/>
  <c r="L44" i="15"/>
  <c r="L41" i="15"/>
  <c r="E20" i="24" l="1"/>
  <c r="J101" i="24"/>
  <c r="AH175" i="15"/>
  <c r="AH172" i="15"/>
  <c r="AH227" i="15"/>
  <c r="AH226" i="15" s="1"/>
  <c r="X228" i="15" s="1"/>
  <c r="Z227" i="15" s="1"/>
  <c r="I222" i="15" s="1"/>
  <c r="AH38" i="15"/>
  <c r="AH57" i="15"/>
  <c r="AH59" i="15" s="1"/>
  <c r="X61" i="15" s="1"/>
  <c r="Z60" i="15" s="1"/>
  <c r="AH65" i="15"/>
  <c r="AH41" i="15"/>
  <c r="AH71" i="15"/>
  <c r="AH73" i="15" s="1"/>
  <c r="X74" i="15" s="1"/>
  <c r="AH68" i="15"/>
  <c r="E27" i="24"/>
  <c r="J105" i="24"/>
  <c r="U7" i="22"/>
  <c r="D7" i="22" s="1"/>
  <c r="D8" i="22" s="1"/>
  <c r="D9" i="22" s="1"/>
  <c r="D12" i="22"/>
  <c r="H12" i="22" s="1"/>
  <c r="E5" i="22"/>
  <c r="F5" i="22" s="1"/>
  <c r="U8" i="22"/>
  <c r="AH174" i="15" l="1"/>
  <c r="X176" i="15" s="1"/>
  <c r="Z175" i="15" s="1"/>
  <c r="I171" i="15" s="1"/>
  <c r="AH40" i="15"/>
  <c r="X42" i="15" s="1"/>
  <c r="Z41" i="15" s="1"/>
  <c r="I36" i="15" s="1"/>
  <c r="AH67" i="15"/>
  <c r="X73" i="15" s="1"/>
  <c r="I223" i="15"/>
  <c r="D32" i="22"/>
  <c r="F32" i="22" s="1"/>
  <c r="H32" i="22" s="1"/>
  <c r="G34" i="22" s="1"/>
  <c r="H38" i="22" s="1"/>
  <c r="J29" i="22" s="1"/>
  <c r="D20" i="22"/>
  <c r="F20" i="22" s="1"/>
  <c r="H20" i="22" s="1"/>
  <c r="X7" i="22"/>
  <c r="W6" i="22"/>
  <c r="X6" i="22"/>
  <c r="W4" i="22"/>
  <c r="W7" i="22"/>
  <c r="X5" i="22"/>
  <c r="E9" i="22"/>
  <c r="W5" i="22"/>
  <c r="X4" i="22"/>
  <c r="I81" i="15"/>
  <c r="I82" i="15"/>
  <c r="I56" i="15"/>
  <c r="X6" i="15"/>
  <c r="N6" i="15"/>
  <c r="Z28" i="15"/>
  <c r="Z25" i="15"/>
  <c r="Z22" i="15"/>
  <c r="L25" i="15"/>
  <c r="L22" i="15"/>
  <c r="L19" i="15"/>
  <c r="Z19" i="15"/>
  <c r="AA3" i="14"/>
  <c r="C3" i="14"/>
  <c r="I69" i="15" l="1"/>
  <c r="Z73" i="15"/>
  <c r="H9" i="22"/>
  <c r="E14" i="22" s="1"/>
  <c r="G14" i="22" s="1"/>
  <c r="I14" i="22" s="1"/>
  <c r="G15" i="22" s="1"/>
  <c r="J3" i="22" s="1"/>
  <c r="T249" i="15"/>
  <c r="T234" i="15"/>
  <c r="I170" i="15"/>
  <c r="T170" i="15" s="1"/>
  <c r="T130" i="15"/>
  <c r="T118" i="15"/>
  <c r="T144" i="15"/>
  <c r="T209" i="15"/>
  <c r="T157" i="15"/>
  <c r="T196" i="15"/>
  <c r="T81" i="15"/>
  <c r="T183" i="15"/>
  <c r="T222" i="15"/>
  <c r="T36" i="15"/>
  <c r="I68" i="15"/>
  <c r="G22" i="22"/>
  <c r="I55" i="15"/>
  <c r="I37" i="15"/>
  <c r="I15" i="15"/>
  <c r="I14" i="15"/>
  <c r="T14" i="15" s="1"/>
  <c r="G10" i="16"/>
  <c r="K35" i="16"/>
  <c r="G35" i="16"/>
  <c r="K58" i="16"/>
  <c r="G58" i="16"/>
  <c r="F182" i="2"/>
  <c r="E182" i="2"/>
  <c r="D182" i="2"/>
  <c r="C182" i="2"/>
  <c r="T94" i="15" l="1"/>
  <c r="T55" i="15"/>
  <c r="T68" i="15"/>
  <c r="H26" i="22"/>
  <c r="J17" i="22" s="1"/>
  <c r="A182" i="2"/>
  <c r="O59" i="16"/>
  <c r="O36" i="16"/>
  <c r="O11" i="16"/>
  <c r="P5" i="16"/>
  <c r="F181" i="2" l="1"/>
  <c r="E181" i="2"/>
  <c r="D181" i="2"/>
  <c r="C181" i="2"/>
  <c r="F180" i="2"/>
  <c r="E180" i="2"/>
  <c r="D180" i="2"/>
  <c r="C180" i="2"/>
  <c r="A180" i="2" s="1"/>
  <c r="A181" i="2" l="1"/>
  <c r="C68" i="16"/>
  <c r="C67" i="16"/>
  <c r="G77" i="16" s="1"/>
  <c r="S182" i="2" s="1"/>
  <c r="G66" i="16"/>
  <c r="M182" i="2" s="1"/>
  <c r="O65" i="16"/>
  <c r="N65" i="16"/>
  <c r="R60" i="16"/>
  <c r="R59" i="16"/>
  <c r="O60" i="16"/>
  <c r="C45" i="16"/>
  <c r="C44" i="16"/>
  <c r="G43" i="16"/>
  <c r="M181" i="2" s="1"/>
  <c r="O42" i="16"/>
  <c r="N42" i="16"/>
  <c r="R37" i="16"/>
  <c r="R36" i="16"/>
  <c r="O37" i="16"/>
  <c r="O46" i="16" s="1"/>
  <c r="O47" i="16" s="1"/>
  <c r="G29" i="16"/>
  <c r="S180" i="2" s="1"/>
  <c r="G26" i="16"/>
  <c r="R180" i="2" s="1"/>
  <c r="D25" i="16"/>
  <c r="G30" i="16" s="1"/>
  <c r="T180" i="2" s="1"/>
  <c r="D24" i="16"/>
  <c r="G23" i="16"/>
  <c r="N180" i="2" s="1"/>
  <c r="G18" i="16"/>
  <c r="M180" i="2" s="1"/>
  <c r="P17" i="16"/>
  <c r="O17" i="16"/>
  <c r="N17" i="16"/>
  <c r="R15" i="16"/>
  <c r="R12" i="16"/>
  <c r="R11" i="16"/>
  <c r="O12" i="16"/>
  <c r="G11" i="16"/>
  <c r="G8" i="16"/>
  <c r="G7" i="16"/>
  <c r="G5" i="16"/>
  <c r="D4" i="16"/>
  <c r="L51" i="16" l="1"/>
  <c r="R40" i="16"/>
  <c r="G54" i="16"/>
  <c r="S181" i="2" s="1"/>
  <c r="R14" i="16"/>
  <c r="R18" i="16" s="1"/>
  <c r="G24" i="16"/>
  <c r="O180" i="2" s="1"/>
  <c r="G74" i="16"/>
  <c r="R182" i="2" s="1"/>
  <c r="G20" i="16"/>
  <c r="H180" i="2"/>
  <c r="G13" i="16"/>
  <c r="B180" i="2" s="1"/>
  <c r="G21" i="16"/>
  <c r="G59" i="16"/>
  <c r="H182" i="2" s="1"/>
  <c r="P65" i="16"/>
  <c r="D78" i="16" s="1"/>
  <c r="L74" i="16"/>
  <c r="D73" i="16"/>
  <c r="G78" i="16" s="1"/>
  <c r="T182" i="2" s="1"/>
  <c r="G71" i="16"/>
  <c r="D29" i="16"/>
  <c r="R13" i="16"/>
  <c r="G27" i="16"/>
  <c r="Q180" i="2" s="1"/>
  <c r="D77" i="16"/>
  <c r="D72" i="16"/>
  <c r="O66" i="16"/>
  <c r="L65" i="16" s="1"/>
  <c r="E76" i="16"/>
  <c r="D54" i="16"/>
  <c r="E28" i="16"/>
  <c r="D30" i="16"/>
  <c r="E53" i="16"/>
  <c r="O50" i="16"/>
  <c r="O48" i="16"/>
  <c r="L43" i="16" s="1"/>
  <c r="R17" i="16"/>
  <c r="R19" i="16"/>
  <c r="G25" i="16" s="1"/>
  <c r="P180" i="2" s="1"/>
  <c r="R63" i="16"/>
  <c r="O69" i="16"/>
  <c r="D76" i="16"/>
  <c r="D28" i="16"/>
  <c r="G36" i="16"/>
  <c r="H181" i="2" s="1"/>
  <c r="D49" i="16"/>
  <c r="D50" i="16"/>
  <c r="G51" i="16"/>
  <c r="R181" i="2" s="1"/>
  <c r="D53" i="16"/>
  <c r="L54" i="16"/>
  <c r="G15" i="16"/>
  <c r="I180" i="2" s="1"/>
  <c r="P42" i="16"/>
  <c r="D55" i="16" s="1"/>
  <c r="R44" i="16"/>
  <c r="G50" i="16" s="1"/>
  <c r="P181" i="2" s="1"/>
  <c r="G48" i="16"/>
  <c r="N181" i="2" s="1"/>
  <c r="O70" i="16"/>
  <c r="O71" i="16"/>
  <c r="D50" i="7"/>
  <c r="D49" i="7"/>
  <c r="E49" i="7" s="1"/>
  <c r="D48" i="7"/>
  <c r="D47" i="7"/>
  <c r="H47" i="7" s="1"/>
  <c r="D46" i="7"/>
  <c r="H46" i="7" s="1"/>
  <c r="D45" i="7"/>
  <c r="H45" i="7" s="1"/>
  <c r="D44" i="7"/>
  <c r="H44" i="7" s="1"/>
  <c r="D43" i="7"/>
  <c r="H43" i="7" s="1"/>
  <c r="D42" i="7"/>
  <c r="H42" i="7" s="1"/>
  <c r="D41" i="7"/>
  <c r="H41" i="7" s="1"/>
  <c r="D40" i="7"/>
  <c r="H40" i="7" s="1"/>
  <c r="H53" i="7" s="1"/>
  <c r="P20" i="7"/>
  <c r="N20" i="7"/>
  <c r="O20" i="7" s="1"/>
  <c r="M20" i="7"/>
  <c r="P19" i="7"/>
  <c r="N19" i="7"/>
  <c r="O19" i="7" s="1"/>
  <c r="M19" i="7"/>
  <c r="P18" i="7"/>
  <c r="N18" i="7"/>
  <c r="O18" i="7" s="1"/>
  <c r="M18" i="7"/>
  <c r="P17" i="7"/>
  <c r="N17" i="7"/>
  <c r="O17" i="7" s="1"/>
  <c r="M17" i="7"/>
  <c r="P16" i="7"/>
  <c r="N16" i="7"/>
  <c r="M16" i="7"/>
  <c r="P15" i="7"/>
  <c r="N15" i="7"/>
  <c r="O15" i="7" s="1"/>
  <c r="M15" i="7"/>
  <c r="P14" i="7"/>
  <c r="N14" i="7"/>
  <c r="O14" i="7" s="1"/>
  <c r="M14" i="7"/>
  <c r="P13" i="7"/>
  <c r="N13" i="7"/>
  <c r="O13" i="7" s="1"/>
  <c r="M13" i="7"/>
  <c r="P12" i="7"/>
  <c r="N12" i="7"/>
  <c r="O12" i="7" s="1"/>
  <c r="M12" i="7"/>
  <c r="P11" i="7"/>
  <c r="N11" i="7"/>
  <c r="O11" i="7" s="1"/>
  <c r="F14" i="27" s="1"/>
  <c r="M11" i="7"/>
  <c r="P10" i="7"/>
  <c r="N10" i="7"/>
  <c r="O10" i="7" s="1"/>
  <c r="M10" i="7"/>
  <c r="P9" i="7"/>
  <c r="N9" i="7"/>
  <c r="M9" i="7"/>
  <c r="P8" i="7"/>
  <c r="N8" i="7"/>
  <c r="O8" i="7" s="1"/>
  <c r="M8" i="7"/>
  <c r="P3" i="7"/>
  <c r="N3" i="7"/>
  <c r="M3" i="7"/>
  <c r="I439" i="6"/>
  <c r="H439" i="6"/>
  <c r="B439" i="6" s="1"/>
  <c r="A439" i="6"/>
  <c r="I438" i="6"/>
  <c r="J438" i="6" s="1"/>
  <c r="H438" i="6"/>
  <c r="B438" i="6" s="1"/>
  <c r="A438" i="6"/>
  <c r="I437" i="6"/>
  <c r="H437" i="6"/>
  <c r="B437" i="6" s="1"/>
  <c r="A437" i="6"/>
  <c r="I436" i="6"/>
  <c r="H436" i="6"/>
  <c r="B436" i="6" s="1"/>
  <c r="A436" i="6"/>
  <c r="I435" i="6"/>
  <c r="L435" i="6" s="1"/>
  <c r="H435" i="6"/>
  <c r="B435" i="6" s="1"/>
  <c r="A435" i="6"/>
  <c r="L434" i="6"/>
  <c r="J434" i="6"/>
  <c r="I434" i="6"/>
  <c r="H434" i="6"/>
  <c r="B434" i="6"/>
  <c r="A434" i="6"/>
  <c r="I433" i="6"/>
  <c r="L433" i="6" s="1"/>
  <c r="H433" i="6"/>
  <c r="B433" i="6" s="1"/>
  <c r="A433" i="6"/>
  <c r="L432" i="6"/>
  <c r="J432" i="6"/>
  <c r="I432" i="6"/>
  <c r="H432" i="6"/>
  <c r="B432" i="6"/>
  <c r="A432" i="6"/>
  <c r="I431" i="6"/>
  <c r="H431" i="6"/>
  <c r="B431" i="6" s="1"/>
  <c r="A431" i="6"/>
  <c r="I430" i="6"/>
  <c r="L430" i="6" s="1"/>
  <c r="H430" i="6"/>
  <c r="B430" i="6" s="1"/>
  <c r="A430" i="6"/>
  <c r="I429" i="6"/>
  <c r="H429" i="6"/>
  <c r="B429" i="6" s="1"/>
  <c r="A429" i="6"/>
  <c r="I428" i="6"/>
  <c r="H428" i="6"/>
  <c r="B428" i="6" s="1"/>
  <c r="A428" i="6"/>
  <c r="I427" i="6"/>
  <c r="L427" i="6" s="1"/>
  <c r="H427" i="6"/>
  <c r="B427" i="6" s="1"/>
  <c r="A427" i="6"/>
  <c r="L426" i="6"/>
  <c r="J426" i="6"/>
  <c r="I426" i="6"/>
  <c r="H426" i="6"/>
  <c r="B426" i="6"/>
  <c r="A426" i="6"/>
  <c r="I425" i="6"/>
  <c r="L425" i="6" s="1"/>
  <c r="H425" i="6"/>
  <c r="B425" i="6" s="1"/>
  <c r="A425" i="6"/>
  <c r="L424" i="6"/>
  <c r="J424" i="6"/>
  <c r="I424" i="6"/>
  <c r="H424" i="6"/>
  <c r="B424" i="6"/>
  <c r="A424" i="6"/>
  <c r="I423" i="6"/>
  <c r="H423" i="6"/>
  <c r="B423" i="6" s="1"/>
  <c r="A423" i="6"/>
  <c r="I422" i="6"/>
  <c r="H422" i="6"/>
  <c r="B422" i="6" s="1"/>
  <c r="A422" i="6"/>
  <c r="I421" i="6"/>
  <c r="H421" i="6"/>
  <c r="B421" i="6" s="1"/>
  <c r="A421" i="6"/>
  <c r="I420" i="6"/>
  <c r="H420" i="6"/>
  <c r="B420" i="6" s="1"/>
  <c r="A420" i="6"/>
  <c r="I419" i="6"/>
  <c r="L419" i="6" s="1"/>
  <c r="H419" i="6"/>
  <c r="B419" i="6" s="1"/>
  <c r="A419" i="6"/>
  <c r="L418" i="6"/>
  <c r="J418" i="6"/>
  <c r="I418" i="6"/>
  <c r="H418" i="6"/>
  <c r="B418" i="6"/>
  <c r="A418" i="6"/>
  <c r="I417" i="6"/>
  <c r="H417" i="6"/>
  <c r="B417" i="6" s="1"/>
  <c r="A417" i="6"/>
  <c r="L416" i="6"/>
  <c r="I416" i="6"/>
  <c r="J416" i="6" s="1"/>
  <c r="H416" i="6"/>
  <c r="B416" i="6"/>
  <c r="A416" i="6"/>
  <c r="I415" i="6"/>
  <c r="H415" i="6"/>
  <c r="B415" i="6" s="1"/>
  <c r="A415" i="6"/>
  <c r="I414" i="6"/>
  <c r="H414" i="6"/>
  <c r="B414" i="6" s="1"/>
  <c r="A414" i="6"/>
  <c r="I413" i="6"/>
  <c r="H413" i="6"/>
  <c r="B413" i="6" s="1"/>
  <c r="A413" i="6"/>
  <c r="I412" i="6"/>
  <c r="H412" i="6"/>
  <c r="B412" i="6"/>
  <c r="A412" i="6"/>
  <c r="I411" i="6"/>
  <c r="L411" i="6" s="1"/>
  <c r="H411" i="6"/>
  <c r="B411" i="6" s="1"/>
  <c r="A411" i="6"/>
  <c r="L410" i="6"/>
  <c r="J410" i="6"/>
  <c r="I410" i="6"/>
  <c r="H410" i="6"/>
  <c r="B410" i="6"/>
  <c r="A410" i="6"/>
  <c r="I409" i="6"/>
  <c r="H409" i="6"/>
  <c r="B409" i="6" s="1"/>
  <c r="A409" i="6"/>
  <c r="L408" i="6"/>
  <c r="I408" i="6"/>
  <c r="J408" i="6" s="1"/>
  <c r="H408" i="6"/>
  <c r="B408" i="6"/>
  <c r="A408" i="6"/>
  <c r="I407" i="6"/>
  <c r="H407" i="6"/>
  <c r="B407" i="6" s="1"/>
  <c r="A407" i="6"/>
  <c r="I406" i="6"/>
  <c r="H406" i="6"/>
  <c r="B406" i="6" s="1"/>
  <c r="A406" i="6"/>
  <c r="I405" i="6"/>
  <c r="H405" i="6"/>
  <c r="B405" i="6" s="1"/>
  <c r="A405" i="6"/>
  <c r="I404" i="6"/>
  <c r="H404" i="6"/>
  <c r="B404" i="6"/>
  <c r="A404" i="6"/>
  <c r="I403" i="6"/>
  <c r="L403" i="6" s="1"/>
  <c r="H403" i="6"/>
  <c r="B403" i="6" s="1"/>
  <c r="A403" i="6"/>
  <c r="L402" i="6"/>
  <c r="J402" i="6"/>
  <c r="I402" i="6"/>
  <c r="H402" i="6"/>
  <c r="B402" i="6"/>
  <c r="A402" i="6"/>
  <c r="I401" i="6"/>
  <c r="H401" i="6"/>
  <c r="B401" i="6" s="1"/>
  <c r="A401" i="6"/>
  <c r="L400" i="6"/>
  <c r="I400" i="6"/>
  <c r="J400" i="6" s="1"/>
  <c r="H400" i="6"/>
  <c r="B400" i="6"/>
  <c r="A400" i="6"/>
  <c r="I399" i="6"/>
  <c r="H399" i="6"/>
  <c r="B399" i="6" s="1"/>
  <c r="A399" i="6"/>
  <c r="I398" i="6"/>
  <c r="H398" i="6"/>
  <c r="B398" i="6" s="1"/>
  <c r="A398" i="6"/>
  <c r="I397" i="6"/>
  <c r="H397" i="6"/>
  <c r="B397" i="6" s="1"/>
  <c r="A397" i="6"/>
  <c r="I396" i="6"/>
  <c r="H396" i="6"/>
  <c r="B396" i="6"/>
  <c r="A396" i="6"/>
  <c r="I395" i="6"/>
  <c r="L395" i="6" s="1"/>
  <c r="H395" i="6"/>
  <c r="B395" i="6" s="1"/>
  <c r="A395" i="6"/>
  <c r="L394" i="6"/>
  <c r="J394" i="6"/>
  <c r="I394" i="6"/>
  <c r="H394" i="6"/>
  <c r="B394" i="6"/>
  <c r="A394" i="6"/>
  <c r="I393" i="6"/>
  <c r="H393" i="6"/>
  <c r="B393" i="6" s="1"/>
  <c r="A393" i="6"/>
  <c r="L392" i="6"/>
  <c r="I392" i="6"/>
  <c r="J392" i="6" s="1"/>
  <c r="H392" i="6"/>
  <c r="B392" i="6"/>
  <c r="A392" i="6"/>
  <c r="I391" i="6"/>
  <c r="H391" i="6"/>
  <c r="B391" i="6" s="1"/>
  <c r="A391" i="6"/>
  <c r="I390" i="6"/>
  <c r="H390" i="6"/>
  <c r="B390" i="6" s="1"/>
  <c r="A390" i="6"/>
  <c r="I389" i="6"/>
  <c r="H389" i="6"/>
  <c r="B389" i="6" s="1"/>
  <c r="A389" i="6"/>
  <c r="I388" i="6"/>
  <c r="H388" i="6"/>
  <c r="B388" i="6"/>
  <c r="A388" i="6"/>
  <c r="I387" i="6"/>
  <c r="H387" i="6"/>
  <c r="B387" i="6" s="1"/>
  <c r="A387" i="6"/>
  <c r="L386" i="6"/>
  <c r="J386" i="6"/>
  <c r="I386" i="6"/>
  <c r="H386" i="6"/>
  <c r="B386" i="6"/>
  <c r="A386" i="6"/>
  <c r="I385" i="6"/>
  <c r="H385" i="6"/>
  <c r="B385" i="6" s="1"/>
  <c r="A385" i="6"/>
  <c r="L384" i="6"/>
  <c r="I384" i="6"/>
  <c r="J384" i="6" s="1"/>
  <c r="H384" i="6"/>
  <c r="B384" i="6"/>
  <c r="A384" i="6"/>
  <c r="I383" i="6"/>
  <c r="H383" i="6"/>
  <c r="B383" i="6" s="1"/>
  <c r="A383" i="6"/>
  <c r="I382" i="6"/>
  <c r="H382" i="6"/>
  <c r="B382" i="6" s="1"/>
  <c r="A382" i="6"/>
  <c r="I381" i="6"/>
  <c r="H381" i="6"/>
  <c r="B381" i="6" s="1"/>
  <c r="A381" i="6"/>
  <c r="I380" i="6"/>
  <c r="J380" i="6" s="1"/>
  <c r="H380" i="6"/>
  <c r="A380" i="6"/>
  <c r="I379" i="6"/>
  <c r="H379" i="6"/>
  <c r="B379" i="6" s="1"/>
  <c r="A379" i="6"/>
  <c r="I378" i="6"/>
  <c r="J378" i="6" s="1"/>
  <c r="H378" i="6"/>
  <c r="L378" i="6" s="1"/>
  <c r="A378" i="6"/>
  <c r="I377" i="6"/>
  <c r="H377" i="6"/>
  <c r="B377" i="6" s="1"/>
  <c r="A377" i="6"/>
  <c r="I376" i="6"/>
  <c r="J376" i="6" s="1"/>
  <c r="H376" i="6"/>
  <c r="L376" i="6" s="1"/>
  <c r="A376" i="6"/>
  <c r="I375" i="6"/>
  <c r="H375" i="6"/>
  <c r="B375" i="6" s="1"/>
  <c r="A375" i="6"/>
  <c r="J374" i="6"/>
  <c r="I374" i="6"/>
  <c r="H374" i="6"/>
  <c r="L374" i="6" s="1"/>
  <c r="A374" i="6"/>
  <c r="I373" i="6"/>
  <c r="L373" i="6" s="1"/>
  <c r="H373" i="6"/>
  <c r="B373" i="6" s="1"/>
  <c r="A373" i="6"/>
  <c r="I372" i="6"/>
  <c r="J372" i="6" s="1"/>
  <c r="H372" i="6"/>
  <c r="A372" i="6"/>
  <c r="I371" i="6"/>
  <c r="H371" i="6"/>
  <c r="B371" i="6" s="1"/>
  <c r="A371" i="6"/>
  <c r="I370" i="6"/>
  <c r="J370" i="6" s="1"/>
  <c r="H370" i="6"/>
  <c r="L370" i="6" s="1"/>
  <c r="A370" i="6"/>
  <c r="I369" i="6"/>
  <c r="H369" i="6"/>
  <c r="B369" i="6" s="1"/>
  <c r="A369" i="6"/>
  <c r="I368" i="6"/>
  <c r="J368" i="6" s="1"/>
  <c r="H368" i="6"/>
  <c r="L368" i="6" s="1"/>
  <c r="A368" i="6"/>
  <c r="I367" i="6"/>
  <c r="H367" i="6"/>
  <c r="B367" i="6" s="1"/>
  <c r="A367" i="6"/>
  <c r="J366" i="6"/>
  <c r="I366" i="6"/>
  <c r="H366" i="6"/>
  <c r="L366" i="6" s="1"/>
  <c r="A366" i="6"/>
  <c r="I365" i="6"/>
  <c r="L365" i="6" s="1"/>
  <c r="H365" i="6"/>
  <c r="B365" i="6" s="1"/>
  <c r="A365" i="6"/>
  <c r="I364" i="6"/>
  <c r="J364" i="6" s="1"/>
  <c r="H364" i="6"/>
  <c r="A364" i="6"/>
  <c r="I363" i="6"/>
  <c r="H363" i="6"/>
  <c r="B363" i="6" s="1"/>
  <c r="A363" i="6"/>
  <c r="I362" i="6"/>
  <c r="J362" i="6" s="1"/>
  <c r="H362" i="6"/>
  <c r="L362" i="6" s="1"/>
  <c r="A362" i="6"/>
  <c r="I361" i="6"/>
  <c r="H361" i="6"/>
  <c r="B361" i="6" s="1"/>
  <c r="A361" i="6"/>
  <c r="I360" i="6"/>
  <c r="J360" i="6" s="1"/>
  <c r="H360" i="6"/>
  <c r="L360" i="6" s="1"/>
  <c r="A360" i="6"/>
  <c r="I359" i="6"/>
  <c r="H359" i="6"/>
  <c r="B359" i="6" s="1"/>
  <c r="A359" i="6"/>
  <c r="J358" i="6"/>
  <c r="I358" i="6"/>
  <c r="H358" i="6"/>
  <c r="L358" i="6" s="1"/>
  <c r="A358" i="6"/>
  <c r="I357" i="6"/>
  <c r="L357" i="6" s="1"/>
  <c r="H357" i="6"/>
  <c r="B357" i="6" s="1"/>
  <c r="A357" i="6"/>
  <c r="I356" i="6"/>
  <c r="J356" i="6" s="1"/>
  <c r="H356" i="6"/>
  <c r="A356" i="6"/>
  <c r="I355" i="6"/>
  <c r="H355" i="6"/>
  <c r="B355" i="6" s="1"/>
  <c r="A355" i="6"/>
  <c r="I354" i="6"/>
  <c r="H354" i="6"/>
  <c r="B354" i="6"/>
  <c r="A354" i="6"/>
  <c r="I353" i="6"/>
  <c r="H353" i="6"/>
  <c r="B353" i="6"/>
  <c r="A353" i="6"/>
  <c r="L352" i="6"/>
  <c r="I352" i="6"/>
  <c r="J352" i="6" s="1"/>
  <c r="H352" i="6"/>
  <c r="B352" i="6"/>
  <c r="A352" i="6"/>
  <c r="I351" i="6"/>
  <c r="H351" i="6"/>
  <c r="B351" i="6"/>
  <c r="A351" i="6"/>
  <c r="I350" i="6"/>
  <c r="J350" i="6" s="1"/>
  <c r="H350" i="6"/>
  <c r="B350" i="6"/>
  <c r="A350" i="6"/>
  <c r="I349" i="6"/>
  <c r="H349" i="6"/>
  <c r="B349" i="6"/>
  <c r="A349" i="6"/>
  <c r="I348" i="6"/>
  <c r="J348" i="6" s="1"/>
  <c r="H348" i="6"/>
  <c r="B348" i="6" s="1"/>
  <c r="A348" i="6"/>
  <c r="I347" i="6"/>
  <c r="H347" i="6"/>
  <c r="B347" i="6" s="1"/>
  <c r="A347" i="6"/>
  <c r="I346" i="6"/>
  <c r="H346" i="6"/>
  <c r="B346" i="6"/>
  <c r="A346" i="6"/>
  <c r="I345" i="6"/>
  <c r="H345" i="6"/>
  <c r="B345" i="6"/>
  <c r="A345" i="6"/>
  <c r="L344" i="6"/>
  <c r="I344" i="6"/>
  <c r="J344" i="6" s="1"/>
  <c r="H344" i="6"/>
  <c r="B344" i="6"/>
  <c r="A344" i="6"/>
  <c r="I343" i="6"/>
  <c r="H343" i="6"/>
  <c r="B343" i="6"/>
  <c r="A343" i="6"/>
  <c r="I342" i="6"/>
  <c r="J342" i="6" s="1"/>
  <c r="H342" i="6"/>
  <c r="B342" i="6"/>
  <c r="A342" i="6"/>
  <c r="I341" i="6"/>
  <c r="H341" i="6"/>
  <c r="B341" i="6"/>
  <c r="A341" i="6"/>
  <c r="I340" i="6"/>
  <c r="J340" i="6" s="1"/>
  <c r="H340" i="6"/>
  <c r="B340" i="6" s="1"/>
  <c r="A340" i="6"/>
  <c r="I339" i="6"/>
  <c r="H339" i="6"/>
  <c r="B339" i="6" s="1"/>
  <c r="A339" i="6"/>
  <c r="I338" i="6"/>
  <c r="H338" i="6"/>
  <c r="B338" i="6"/>
  <c r="A338" i="6"/>
  <c r="I337" i="6"/>
  <c r="H337" i="6"/>
  <c r="B337" i="6"/>
  <c r="A337" i="6"/>
  <c r="L336" i="6"/>
  <c r="I336" i="6"/>
  <c r="J336" i="6" s="1"/>
  <c r="H336" i="6"/>
  <c r="B336" i="6"/>
  <c r="A336" i="6"/>
  <c r="I335" i="6"/>
  <c r="H335" i="6"/>
  <c r="B335" i="6"/>
  <c r="A335" i="6"/>
  <c r="I334" i="6"/>
  <c r="J334" i="6" s="1"/>
  <c r="H334" i="6"/>
  <c r="B334" i="6"/>
  <c r="A334" i="6"/>
  <c r="I333" i="6"/>
  <c r="H333" i="6"/>
  <c r="B333" i="6"/>
  <c r="A333" i="6"/>
  <c r="I332" i="6"/>
  <c r="J332" i="6" s="1"/>
  <c r="H332" i="6"/>
  <c r="B332" i="6" s="1"/>
  <c r="A332" i="6"/>
  <c r="I331" i="6"/>
  <c r="H331" i="6"/>
  <c r="B331" i="6" s="1"/>
  <c r="A331" i="6"/>
  <c r="I330" i="6"/>
  <c r="H330" i="6"/>
  <c r="B330" i="6"/>
  <c r="A330" i="6"/>
  <c r="I329" i="6"/>
  <c r="H329" i="6"/>
  <c r="B329" i="6"/>
  <c r="A329" i="6"/>
  <c r="L328" i="6"/>
  <c r="I328" i="6"/>
  <c r="J328" i="6" s="1"/>
  <c r="H328" i="6"/>
  <c r="B328" i="6"/>
  <c r="A328" i="6"/>
  <c r="I327" i="6"/>
  <c r="H327" i="6"/>
  <c r="B327" i="6"/>
  <c r="A327" i="6"/>
  <c r="I326" i="6"/>
  <c r="J326" i="6" s="1"/>
  <c r="H326" i="6"/>
  <c r="B326" i="6"/>
  <c r="A326" i="6"/>
  <c r="I325" i="6"/>
  <c r="H325" i="6"/>
  <c r="B325" i="6"/>
  <c r="A325" i="6"/>
  <c r="I324" i="6"/>
  <c r="J324" i="6" s="1"/>
  <c r="H324" i="6"/>
  <c r="B324" i="6" s="1"/>
  <c r="A324" i="6"/>
  <c r="I323" i="6"/>
  <c r="H323" i="6"/>
  <c r="B323" i="6" s="1"/>
  <c r="A323" i="6"/>
  <c r="I322" i="6"/>
  <c r="H322" i="6"/>
  <c r="B322" i="6"/>
  <c r="A322" i="6"/>
  <c r="I321" i="6"/>
  <c r="H321" i="6"/>
  <c r="B321" i="6"/>
  <c r="A321" i="6"/>
  <c r="L320" i="6"/>
  <c r="I320" i="6"/>
  <c r="J320" i="6" s="1"/>
  <c r="H320" i="6"/>
  <c r="B320" i="6"/>
  <c r="A320" i="6"/>
  <c r="I319" i="6"/>
  <c r="H319" i="6"/>
  <c r="B319" i="6"/>
  <c r="A319" i="6"/>
  <c r="I318" i="6"/>
  <c r="J318" i="6" s="1"/>
  <c r="H318" i="6"/>
  <c r="B318" i="6"/>
  <c r="A318" i="6"/>
  <c r="I317" i="6"/>
  <c r="H317" i="6"/>
  <c r="B317" i="6"/>
  <c r="A317" i="6"/>
  <c r="I316" i="6"/>
  <c r="J316" i="6" s="1"/>
  <c r="H316" i="6"/>
  <c r="B316" i="6" s="1"/>
  <c r="A316" i="6"/>
  <c r="I315" i="6"/>
  <c r="H315" i="6"/>
  <c r="B315" i="6" s="1"/>
  <c r="A315" i="6"/>
  <c r="I314" i="6"/>
  <c r="J314" i="6" s="1"/>
  <c r="H314" i="6"/>
  <c r="B314" i="6" s="1"/>
  <c r="A314" i="6"/>
  <c r="I313" i="6"/>
  <c r="H313" i="6"/>
  <c r="B313" i="6" s="1"/>
  <c r="A313" i="6"/>
  <c r="I312" i="6"/>
  <c r="H312" i="6"/>
  <c r="B312" i="6" s="1"/>
  <c r="A312" i="6"/>
  <c r="I311" i="6"/>
  <c r="H311" i="6"/>
  <c r="B311" i="6" s="1"/>
  <c r="A311" i="6"/>
  <c r="L310" i="6"/>
  <c r="J310" i="6"/>
  <c r="I310" i="6"/>
  <c r="H310" i="6"/>
  <c r="B310" i="6"/>
  <c r="A310" i="6"/>
  <c r="I309" i="6"/>
  <c r="H309" i="6"/>
  <c r="B309" i="6" s="1"/>
  <c r="A309" i="6"/>
  <c r="L308" i="6"/>
  <c r="I308" i="6"/>
  <c r="J308" i="6" s="1"/>
  <c r="H308" i="6"/>
  <c r="B308" i="6"/>
  <c r="A308" i="6"/>
  <c r="I307" i="6"/>
  <c r="H307" i="6"/>
  <c r="B307" i="6" s="1"/>
  <c r="A307" i="6"/>
  <c r="I306" i="6"/>
  <c r="L306" i="6" s="1"/>
  <c r="H306" i="6"/>
  <c r="B306" i="6" s="1"/>
  <c r="A306" i="6"/>
  <c r="I305" i="6"/>
  <c r="H305" i="6"/>
  <c r="B305" i="6" s="1"/>
  <c r="A305" i="6"/>
  <c r="I304" i="6"/>
  <c r="H304" i="6"/>
  <c r="B304" i="6" s="1"/>
  <c r="A304" i="6"/>
  <c r="I303" i="6"/>
  <c r="H303" i="6"/>
  <c r="B303" i="6" s="1"/>
  <c r="A303" i="6"/>
  <c r="L302" i="6"/>
  <c r="J302" i="6"/>
  <c r="I302" i="6"/>
  <c r="H302" i="6"/>
  <c r="B302" i="6"/>
  <c r="A302" i="6"/>
  <c r="I301" i="6"/>
  <c r="H301" i="6"/>
  <c r="B301" i="6" s="1"/>
  <c r="A301" i="6"/>
  <c r="L300" i="6"/>
  <c r="I300" i="6"/>
  <c r="J300" i="6" s="1"/>
  <c r="H300" i="6"/>
  <c r="B300" i="6"/>
  <c r="A300" i="6"/>
  <c r="I299" i="6"/>
  <c r="H299" i="6"/>
  <c r="B299" i="6" s="1"/>
  <c r="A299" i="6"/>
  <c r="I298" i="6"/>
  <c r="H298" i="6"/>
  <c r="B298" i="6" s="1"/>
  <c r="A298" i="6"/>
  <c r="I297" i="6"/>
  <c r="H297" i="6"/>
  <c r="B297" i="6" s="1"/>
  <c r="A297" i="6"/>
  <c r="I296" i="6"/>
  <c r="H296" i="6"/>
  <c r="B296" i="6" s="1"/>
  <c r="A296" i="6"/>
  <c r="I295" i="6"/>
  <c r="H295" i="6"/>
  <c r="B295" i="6" s="1"/>
  <c r="A295" i="6"/>
  <c r="L294" i="6"/>
  <c r="J294" i="6"/>
  <c r="I294" i="6"/>
  <c r="H294" i="6"/>
  <c r="B294" i="6"/>
  <c r="A294" i="6"/>
  <c r="I293" i="6"/>
  <c r="H293" i="6"/>
  <c r="B293" i="6" s="1"/>
  <c r="A293" i="6"/>
  <c r="L292" i="6"/>
  <c r="I292" i="6"/>
  <c r="J292" i="6" s="1"/>
  <c r="H292" i="6"/>
  <c r="B292" i="6"/>
  <c r="A292" i="6"/>
  <c r="I291" i="6"/>
  <c r="H291" i="6"/>
  <c r="B291" i="6" s="1"/>
  <c r="A291" i="6"/>
  <c r="I290" i="6"/>
  <c r="L290" i="6" s="1"/>
  <c r="H290" i="6"/>
  <c r="B290" i="6" s="1"/>
  <c r="A290" i="6"/>
  <c r="I289" i="6"/>
  <c r="H289" i="6"/>
  <c r="B289" i="6" s="1"/>
  <c r="A289" i="6"/>
  <c r="I288" i="6"/>
  <c r="H288" i="6"/>
  <c r="B288" i="6" s="1"/>
  <c r="A288" i="6"/>
  <c r="I287" i="6"/>
  <c r="H287" i="6"/>
  <c r="B287" i="6" s="1"/>
  <c r="A287" i="6"/>
  <c r="L286" i="6"/>
  <c r="J286" i="6"/>
  <c r="I286" i="6"/>
  <c r="H286" i="6"/>
  <c r="B286" i="6"/>
  <c r="A286" i="6"/>
  <c r="I285" i="6"/>
  <c r="H285" i="6"/>
  <c r="B285" i="6" s="1"/>
  <c r="A285" i="6"/>
  <c r="I284" i="6"/>
  <c r="J284" i="6" s="1"/>
  <c r="H284" i="6"/>
  <c r="L284" i="6" s="1"/>
  <c r="B284" i="6"/>
  <c r="A284" i="6"/>
  <c r="I283" i="6"/>
  <c r="H283" i="6"/>
  <c r="B283" i="6" s="1"/>
  <c r="A283" i="6"/>
  <c r="I282" i="6"/>
  <c r="H282" i="6"/>
  <c r="B282" i="6" s="1"/>
  <c r="A282" i="6"/>
  <c r="I281" i="6"/>
  <c r="H281" i="6"/>
  <c r="B281" i="6" s="1"/>
  <c r="A281" i="6"/>
  <c r="I280" i="6"/>
  <c r="H280" i="6"/>
  <c r="B280" i="6" s="1"/>
  <c r="A280" i="6"/>
  <c r="I279" i="6"/>
  <c r="H279" i="6"/>
  <c r="B279" i="6" s="1"/>
  <c r="A279" i="6"/>
  <c r="J278" i="6"/>
  <c r="I278" i="6"/>
  <c r="H278" i="6"/>
  <c r="A278" i="6"/>
  <c r="I277" i="6"/>
  <c r="L277" i="6" s="1"/>
  <c r="H277" i="6"/>
  <c r="B277" i="6" s="1"/>
  <c r="A277" i="6"/>
  <c r="I276" i="6"/>
  <c r="J276" i="6" s="1"/>
  <c r="H276" i="6"/>
  <c r="L276" i="6" s="1"/>
  <c r="A276" i="6"/>
  <c r="I275" i="6"/>
  <c r="H275" i="6"/>
  <c r="B275" i="6" s="1"/>
  <c r="A275" i="6"/>
  <c r="J274" i="6"/>
  <c r="I274" i="6"/>
  <c r="H274" i="6"/>
  <c r="L274" i="6" s="1"/>
  <c r="A274" i="6"/>
  <c r="I273" i="6"/>
  <c r="L273" i="6" s="1"/>
  <c r="H273" i="6"/>
  <c r="B273" i="6" s="1"/>
  <c r="A273" i="6"/>
  <c r="J272" i="6"/>
  <c r="I272" i="6"/>
  <c r="H272" i="6"/>
  <c r="A272" i="6"/>
  <c r="I271" i="6"/>
  <c r="L271" i="6" s="1"/>
  <c r="H271" i="6"/>
  <c r="B271" i="6" s="1"/>
  <c r="A271" i="6"/>
  <c r="I270" i="6"/>
  <c r="J270" i="6" s="1"/>
  <c r="H270" i="6"/>
  <c r="A270" i="6"/>
  <c r="I269" i="6"/>
  <c r="H269" i="6"/>
  <c r="B269" i="6" s="1"/>
  <c r="A269" i="6"/>
  <c r="I268" i="6"/>
  <c r="J268" i="6" s="1"/>
  <c r="H268" i="6"/>
  <c r="A268" i="6"/>
  <c r="I267" i="6"/>
  <c r="H267" i="6"/>
  <c r="B267" i="6" s="1"/>
  <c r="A267" i="6"/>
  <c r="J266" i="6"/>
  <c r="I266" i="6"/>
  <c r="H266" i="6"/>
  <c r="L266" i="6" s="1"/>
  <c r="A266" i="6"/>
  <c r="I265" i="6"/>
  <c r="L265" i="6" s="1"/>
  <c r="H265" i="6"/>
  <c r="B265" i="6" s="1"/>
  <c r="A265" i="6"/>
  <c r="J264" i="6"/>
  <c r="I264" i="6"/>
  <c r="H264" i="6"/>
  <c r="A264" i="6"/>
  <c r="I263" i="6"/>
  <c r="L263" i="6" s="1"/>
  <c r="H263" i="6"/>
  <c r="B263" i="6" s="1"/>
  <c r="A263" i="6"/>
  <c r="J262" i="6"/>
  <c r="I262" i="6"/>
  <c r="H262" i="6"/>
  <c r="A262" i="6"/>
  <c r="I261" i="6"/>
  <c r="L261" i="6" s="1"/>
  <c r="H261" i="6"/>
  <c r="B261" i="6" s="1"/>
  <c r="A261" i="6"/>
  <c r="I260" i="6"/>
  <c r="J260" i="6" s="1"/>
  <c r="H260" i="6"/>
  <c r="L260" i="6" s="1"/>
  <c r="A260" i="6"/>
  <c r="I259" i="6"/>
  <c r="H259" i="6"/>
  <c r="B259" i="6" s="1"/>
  <c r="A259" i="6"/>
  <c r="J258" i="6"/>
  <c r="I258" i="6"/>
  <c r="H258" i="6"/>
  <c r="L258" i="6" s="1"/>
  <c r="A258" i="6"/>
  <c r="I257" i="6"/>
  <c r="L257" i="6" s="1"/>
  <c r="H257" i="6"/>
  <c r="B257" i="6" s="1"/>
  <c r="A257" i="6"/>
  <c r="J256" i="6"/>
  <c r="I256" i="6"/>
  <c r="H256" i="6"/>
  <c r="A256" i="6"/>
  <c r="I255" i="6"/>
  <c r="L255" i="6" s="1"/>
  <c r="H255" i="6"/>
  <c r="B255" i="6" s="1"/>
  <c r="A255" i="6"/>
  <c r="I254" i="6"/>
  <c r="J254" i="6" s="1"/>
  <c r="H254" i="6"/>
  <c r="A254" i="6"/>
  <c r="I253" i="6"/>
  <c r="H253" i="6"/>
  <c r="B253" i="6" s="1"/>
  <c r="A253" i="6"/>
  <c r="I252" i="6"/>
  <c r="J252" i="6" s="1"/>
  <c r="H252" i="6"/>
  <c r="A252" i="6"/>
  <c r="I251" i="6"/>
  <c r="H251" i="6"/>
  <c r="B251" i="6" s="1"/>
  <c r="A251" i="6"/>
  <c r="J250" i="6"/>
  <c r="I250" i="6"/>
  <c r="H250" i="6"/>
  <c r="B250" i="6" s="1"/>
  <c r="A250" i="6"/>
  <c r="J249" i="6"/>
  <c r="I249" i="6"/>
  <c r="H249" i="6"/>
  <c r="L249" i="6" s="1"/>
  <c r="A249" i="6"/>
  <c r="J248" i="6"/>
  <c r="I248" i="6"/>
  <c r="H248" i="6"/>
  <c r="B248" i="6" s="1"/>
  <c r="A248" i="6"/>
  <c r="J247" i="6"/>
  <c r="I247" i="6"/>
  <c r="H247" i="6"/>
  <c r="L247" i="6" s="1"/>
  <c r="A247" i="6"/>
  <c r="J246" i="6"/>
  <c r="I246" i="6"/>
  <c r="H246" i="6"/>
  <c r="B246" i="6" s="1"/>
  <c r="A246" i="6"/>
  <c r="I245" i="6"/>
  <c r="J245" i="6" s="1"/>
  <c r="H245" i="6"/>
  <c r="L245" i="6" s="1"/>
  <c r="A245" i="6"/>
  <c r="I244" i="6"/>
  <c r="H244" i="6"/>
  <c r="B244" i="6" s="1"/>
  <c r="A244" i="6"/>
  <c r="I243" i="6"/>
  <c r="J243" i="6" s="1"/>
  <c r="H243" i="6"/>
  <c r="L243" i="6" s="1"/>
  <c r="A243" i="6"/>
  <c r="I242" i="6"/>
  <c r="H242" i="6"/>
  <c r="B242" i="6" s="1"/>
  <c r="A242" i="6"/>
  <c r="I241" i="6"/>
  <c r="J241" i="6" s="1"/>
  <c r="H241" i="6"/>
  <c r="A241" i="6"/>
  <c r="I240" i="6"/>
  <c r="H240" i="6"/>
  <c r="B240" i="6" s="1"/>
  <c r="A240" i="6"/>
  <c r="I239" i="6"/>
  <c r="J239" i="6" s="1"/>
  <c r="H239" i="6"/>
  <c r="A239" i="6"/>
  <c r="I238" i="6"/>
  <c r="H238" i="6"/>
  <c r="B238" i="6" s="1"/>
  <c r="A238" i="6"/>
  <c r="I237" i="6"/>
  <c r="J237" i="6" s="1"/>
  <c r="H237" i="6"/>
  <c r="A237" i="6"/>
  <c r="I236" i="6"/>
  <c r="H236" i="6"/>
  <c r="B236" i="6" s="1"/>
  <c r="A236" i="6"/>
  <c r="I235" i="6"/>
  <c r="J235" i="6" s="1"/>
  <c r="H235" i="6"/>
  <c r="A235" i="6"/>
  <c r="I234" i="6"/>
  <c r="J234" i="6" s="1"/>
  <c r="H234" i="6"/>
  <c r="B234" i="6" s="1"/>
  <c r="A234" i="6"/>
  <c r="I233" i="6"/>
  <c r="J233" i="6" s="1"/>
  <c r="H233" i="6"/>
  <c r="A233" i="6"/>
  <c r="I232" i="6"/>
  <c r="J232" i="6" s="1"/>
  <c r="H232" i="6"/>
  <c r="B232" i="6" s="1"/>
  <c r="A232" i="6"/>
  <c r="I231" i="6"/>
  <c r="J231" i="6" s="1"/>
  <c r="H231" i="6"/>
  <c r="A231" i="6"/>
  <c r="I230" i="6"/>
  <c r="J230" i="6" s="1"/>
  <c r="H230" i="6"/>
  <c r="B230" i="6" s="1"/>
  <c r="A230" i="6"/>
  <c r="I229" i="6"/>
  <c r="J229" i="6" s="1"/>
  <c r="H229" i="6"/>
  <c r="A229" i="6"/>
  <c r="I228" i="6"/>
  <c r="J228" i="6" s="1"/>
  <c r="H228" i="6"/>
  <c r="B228" i="6" s="1"/>
  <c r="A228" i="6"/>
  <c r="I227" i="6"/>
  <c r="J227" i="6" s="1"/>
  <c r="H227" i="6"/>
  <c r="A227" i="6"/>
  <c r="I226" i="6"/>
  <c r="J226" i="6" s="1"/>
  <c r="H226" i="6"/>
  <c r="B226" i="6" s="1"/>
  <c r="A226" i="6"/>
  <c r="I224" i="6"/>
  <c r="J224" i="6" s="1"/>
  <c r="H224" i="6"/>
  <c r="A224" i="6"/>
  <c r="I223" i="6"/>
  <c r="J223" i="6" s="1"/>
  <c r="H223" i="6"/>
  <c r="B223" i="6" s="1"/>
  <c r="A223" i="6"/>
  <c r="I222" i="6"/>
  <c r="J222" i="6" s="1"/>
  <c r="H222" i="6"/>
  <c r="A222" i="6"/>
  <c r="I221" i="6"/>
  <c r="J221" i="6" s="1"/>
  <c r="H221" i="6"/>
  <c r="B221" i="6" s="1"/>
  <c r="A221" i="6"/>
  <c r="I220" i="6"/>
  <c r="J220" i="6" s="1"/>
  <c r="H220" i="6"/>
  <c r="A220" i="6"/>
  <c r="I219" i="6"/>
  <c r="J219" i="6" s="1"/>
  <c r="H219" i="6"/>
  <c r="B219" i="6" s="1"/>
  <c r="A219" i="6"/>
  <c r="I218" i="6"/>
  <c r="J218" i="6" s="1"/>
  <c r="H218" i="6"/>
  <c r="A218" i="6"/>
  <c r="I217" i="6"/>
  <c r="J217" i="6" s="1"/>
  <c r="H217" i="6"/>
  <c r="B217" i="6" s="1"/>
  <c r="A217" i="6"/>
  <c r="I216" i="6"/>
  <c r="J216" i="6" s="1"/>
  <c r="H216" i="6"/>
  <c r="A216" i="6"/>
  <c r="I215" i="6"/>
  <c r="J215" i="6" s="1"/>
  <c r="H215" i="6"/>
  <c r="B215" i="6" s="1"/>
  <c r="A215" i="6"/>
  <c r="I214" i="6"/>
  <c r="J214" i="6" s="1"/>
  <c r="H214" i="6"/>
  <c r="A214" i="6"/>
  <c r="I213" i="6"/>
  <c r="J213" i="6" s="1"/>
  <c r="H213" i="6"/>
  <c r="B213" i="6" s="1"/>
  <c r="A213" i="6"/>
  <c r="I212" i="6"/>
  <c r="J212" i="6" s="1"/>
  <c r="H212" i="6"/>
  <c r="A212" i="6"/>
  <c r="I211" i="6"/>
  <c r="J211" i="6" s="1"/>
  <c r="H211" i="6"/>
  <c r="B211" i="6" s="1"/>
  <c r="A211" i="6"/>
  <c r="I210" i="6"/>
  <c r="J210" i="6" s="1"/>
  <c r="H210" i="6"/>
  <c r="A210" i="6"/>
  <c r="I209" i="6"/>
  <c r="J209" i="6" s="1"/>
  <c r="H209" i="6"/>
  <c r="B209" i="6" s="1"/>
  <c r="A209" i="6"/>
  <c r="I208" i="6"/>
  <c r="J208" i="6" s="1"/>
  <c r="H208" i="6"/>
  <c r="A208" i="6"/>
  <c r="I207" i="6"/>
  <c r="J207" i="6" s="1"/>
  <c r="H207" i="6"/>
  <c r="B207" i="6" s="1"/>
  <c r="A207" i="6"/>
  <c r="I206" i="6"/>
  <c r="J206" i="6" s="1"/>
  <c r="H206" i="6"/>
  <c r="A206" i="6"/>
  <c r="I205" i="6"/>
  <c r="J205" i="6" s="1"/>
  <c r="H205" i="6"/>
  <c r="B205" i="6" s="1"/>
  <c r="A205" i="6"/>
  <c r="I204" i="6"/>
  <c r="J204" i="6" s="1"/>
  <c r="H204" i="6"/>
  <c r="A204" i="6"/>
  <c r="I203" i="6"/>
  <c r="J203" i="6" s="1"/>
  <c r="H203" i="6"/>
  <c r="B203" i="6" s="1"/>
  <c r="A203" i="6"/>
  <c r="I202" i="6"/>
  <c r="J202" i="6" s="1"/>
  <c r="H202" i="6"/>
  <c r="A202" i="6"/>
  <c r="I201" i="6"/>
  <c r="J201" i="6" s="1"/>
  <c r="H201" i="6"/>
  <c r="B201" i="6" s="1"/>
  <c r="A201" i="6"/>
  <c r="I200" i="6"/>
  <c r="J200" i="6" s="1"/>
  <c r="H200" i="6"/>
  <c r="A200" i="6"/>
  <c r="I199" i="6"/>
  <c r="J199" i="6" s="1"/>
  <c r="H199" i="6"/>
  <c r="B199" i="6" s="1"/>
  <c r="A199" i="6"/>
  <c r="I198" i="6"/>
  <c r="J198" i="6" s="1"/>
  <c r="H198" i="6"/>
  <c r="A198" i="6"/>
  <c r="I197" i="6"/>
  <c r="J197" i="6" s="1"/>
  <c r="H197" i="6"/>
  <c r="B197" i="6" s="1"/>
  <c r="A197" i="6"/>
  <c r="I196" i="6"/>
  <c r="J196" i="6" s="1"/>
  <c r="H196" i="6"/>
  <c r="A196" i="6"/>
  <c r="I195" i="6"/>
  <c r="J195" i="6" s="1"/>
  <c r="H195" i="6"/>
  <c r="B195" i="6" s="1"/>
  <c r="A195" i="6"/>
  <c r="I194" i="6"/>
  <c r="J194" i="6" s="1"/>
  <c r="H194" i="6"/>
  <c r="A194" i="6"/>
  <c r="I193" i="6"/>
  <c r="J193" i="6" s="1"/>
  <c r="H193" i="6"/>
  <c r="B193" i="6" s="1"/>
  <c r="A193" i="6"/>
  <c r="I192" i="6"/>
  <c r="J192" i="6" s="1"/>
  <c r="H192" i="6"/>
  <c r="A192" i="6"/>
  <c r="I191" i="6"/>
  <c r="J191" i="6" s="1"/>
  <c r="H191" i="6"/>
  <c r="B191" i="6" s="1"/>
  <c r="A191" i="6"/>
  <c r="I190" i="6"/>
  <c r="J190" i="6" s="1"/>
  <c r="H190" i="6"/>
  <c r="A190" i="6"/>
  <c r="I189" i="6"/>
  <c r="J189" i="6" s="1"/>
  <c r="H189" i="6"/>
  <c r="B189" i="6" s="1"/>
  <c r="A189" i="6"/>
  <c r="I188" i="6"/>
  <c r="J188" i="6" s="1"/>
  <c r="H188" i="6"/>
  <c r="B188" i="6"/>
  <c r="A188" i="6"/>
  <c r="I187" i="6"/>
  <c r="J187" i="6" s="1"/>
  <c r="H187" i="6"/>
  <c r="B187" i="6" s="1"/>
  <c r="A187" i="6"/>
  <c r="I186" i="6"/>
  <c r="J186" i="6" s="1"/>
  <c r="H186" i="6"/>
  <c r="A186" i="6"/>
  <c r="I185" i="6"/>
  <c r="H185" i="6"/>
  <c r="B185" i="6" s="1"/>
  <c r="A185" i="6"/>
  <c r="J184" i="6"/>
  <c r="I184" i="6"/>
  <c r="H184" i="6"/>
  <c r="B184" i="6" s="1"/>
  <c r="A184" i="6"/>
  <c r="I183" i="6"/>
  <c r="J183" i="6" s="1"/>
  <c r="H183" i="6"/>
  <c r="B183" i="6" s="1"/>
  <c r="A183" i="6"/>
  <c r="J182" i="6"/>
  <c r="I182" i="6"/>
  <c r="H182" i="6"/>
  <c r="L182" i="6" s="1"/>
  <c r="A182" i="6"/>
  <c r="I181" i="6"/>
  <c r="H181" i="6"/>
  <c r="B181" i="6"/>
  <c r="A181" i="6"/>
  <c r="I180" i="6"/>
  <c r="J180" i="6" s="1"/>
  <c r="H180" i="6"/>
  <c r="B180" i="6" s="1"/>
  <c r="A180" i="6"/>
  <c r="J179" i="6"/>
  <c r="I179" i="6"/>
  <c r="H179" i="6"/>
  <c r="A179" i="6"/>
  <c r="I178" i="6"/>
  <c r="J178" i="6" s="1"/>
  <c r="H178" i="6"/>
  <c r="B178" i="6" s="1"/>
  <c r="A178" i="6"/>
  <c r="I177" i="6"/>
  <c r="J177" i="6" s="1"/>
  <c r="H177" i="6"/>
  <c r="B177" i="6"/>
  <c r="A177" i="6"/>
  <c r="I176" i="6"/>
  <c r="J176" i="6" s="1"/>
  <c r="H176" i="6"/>
  <c r="B176" i="6" s="1"/>
  <c r="A176" i="6"/>
  <c r="J175" i="6"/>
  <c r="I175" i="6"/>
  <c r="H175" i="6"/>
  <c r="B175" i="6" s="1"/>
  <c r="A175" i="6"/>
  <c r="I174" i="6"/>
  <c r="J174" i="6" s="1"/>
  <c r="H174" i="6"/>
  <c r="B174" i="6" s="1"/>
  <c r="A174" i="6"/>
  <c r="I173" i="6"/>
  <c r="J173" i="6" s="1"/>
  <c r="H173" i="6"/>
  <c r="B173" i="6"/>
  <c r="A173" i="6"/>
  <c r="I172" i="6"/>
  <c r="J172" i="6" s="1"/>
  <c r="H172" i="6"/>
  <c r="B172" i="6" s="1"/>
  <c r="A172" i="6"/>
  <c r="J171" i="6"/>
  <c r="I171" i="6"/>
  <c r="H171" i="6"/>
  <c r="A171" i="6"/>
  <c r="I170" i="6"/>
  <c r="J170" i="6" s="1"/>
  <c r="H170" i="6"/>
  <c r="B170" i="6" s="1"/>
  <c r="A170" i="6"/>
  <c r="L169" i="6"/>
  <c r="I169" i="6"/>
  <c r="J169" i="6" s="1"/>
  <c r="H169" i="6"/>
  <c r="B169" i="6"/>
  <c r="A169" i="6"/>
  <c r="I168" i="6"/>
  <c r="J168" i="6" s="1"/>
  <c r="H168" i="6"/>
  <c r="B168" i="6" s="1"/>
  <c r="A168" i="6"/>
  <c r="J167" i="6"/>
  <c r="I167" i="6"/>
  <c r="H167" i="6"/>
  <c r="B167" i="6" s="1"/>
  <c r="A167" i="6"/>
  <c r="I166" i="6"/>
  <c r="J166" i="6" s="1"/>
  <c r="H166" i="6"/>
  <c r="B166" i="6" s="1"/>
  <c r="A166" i="6"/>
  <c r="I165" i="6"/>
  <c r="H165" i="6"/>
  <c r="B165" i="6"/>
  <c r="A165" i="6"/>
  <c r="I164" i="6"/>
  <c r="J164" i="6" s="1"/>
  <c r="H164" i="6"/>
  <c r="B164" i="6" s="1"/>
  <c r="A164" i="6"/>
  <c r="J163" i="6"/>
  <c r="I163" i="6"/>
  <c r="H163" i="6"/>
  <c r="A163" i="6"/>
  <c r="I162" i="6"/>
  <c r="J162" i="6" s="1"/>
  <c r="H162" i="6"/>
  <c r="B162" i="6" s="1"/>
  <c r="A162" i="6"/>
  <c r="I161" i="6"/>
  <c r="J161" i="6" s="1"/>
  <c r="H161" i="6"/>
  <c r="B161" i="6"/>
  <c r="A161" i="6"/>
  <c r="I160" i="6"/>
  <c r="J160" i="6" s="1"/>
  <c r="H160" i="6"/>
  <c r="B160" i="6" s="1"/>
  <c r="A160" i="6"/>
  <c r="J159" i="6"/>
  <c r="I159" i="6"/>
  <c r="H159" i="6"/>
  <c r="B159" i="6" s="1"/>
  <c r="A159" i="6"/>
  <c r="I158" i="6"/>
  <c r="J158" i="6" s="1"/>
  <c r="H158" i="6"/>
  <c r="B158" i="6" s="1"/>
  <c r="A158" i="6"/>
  <c r="I157" i="6"/>
  <c r="J157" i="6" s="1"/>
  <c r="H157" i="6"/>
  <c r="B157" i="6"/>
  <c r="A157" i="6"/>
  <c r="I156" i="6"/>
  <c r="J156" i="6" s="1"/>
  <c r="H156" i="6"/>
  <c r="B156" i="6" s="1"/>
  <c r="A156" i="6"/>
  <c r="J155" i="6"/>
  <c r="I155" i="6"/>
  <c r="H155" i="6"/>
  <c r="A155" i="6"/>
  <c r="I154" i="6"/>
  <c r="J154" i="6" s="1"/>
  <c r="H154" i="6"/>
  <c r="B154" i="6" s="1"/>
  <c r="A154" i="6"/>
  <c r="L153" i="6"/>
  <c r="I153" i="6"/>
  <c r="J153" i="6" s="1"/>
  <c r="H153" i="6"/>
  <c r="B153" i="6"/>
  <c r="A153" i="6"/>
  <c r="I152" i="6"/>
  <c r="J152" i="6" s="1"/>
  <c r="H152" i="6"/>
  <c r="B152" i="6" s="1"/>
  <c r="A152" i="6"/>
  <c r="J151" i="6"/>
  <c r="I151" i="6"/>
  <c r="H151" i="6"/>
  <c r="B151" i="6" s="1"/>
  <c r="A151" i="6"/>
  <c r="I150" i="6"/>
  <c r="J150" i="6" s="1"/>
  <c r="H150" i="6"/>
  <c r="B150" i="6" s="1"/>
  <c r="A150" i="6"/>
  <c r="I149" i="6"/>
  <c r="H149" i="6"/>
  <c r="B149" i="6"/>
  <c r="A149" i="6"/>
  <c r="I148" i="6"/>
  <c r="J148" i="6" s="1"/>
  <c r="H148" i="6"/>
  <c r="B148" i="6" s="1"/>
  <c r="A148" i="6"/>
  <c r="J147" i="6"/>
  <c r="I147" i="6"/>
  <c r="H147" i="6"/>
  <c r="A147" i="6"/>
  <c r="I146" i="6"/>
  <c r="J146" i="6" s="1"/>
  <c r="H146" i="6"/>
  <c r="B146" i="6" s="1"/>
  <c r="A146" i="6"/>
  <c r="I145" i="6"/>
  <c r="J145" i="6" s="1"/>
  <c r="H145" i="6"/>
  <c r="B145" i="6"/>
  <c r="A145" i="6"/>
  <c r="I144" i="6"/>
  <c r="J144" i="6" s="1"/>
  <c r="H144" i="6"/>
  <c r="B144" i="6" s="1"/>
  <c r="A144" i="6"/>
  <c r="J143" i="6"/>
  <c r="I143" i="6"/>
  <c r="H143" i="6"/>
  <c r="B143" i="6" s="1"/>
  <c r="A143" i="6"/>
  <c r="I142" i="6"/>
  <c r="J142" i="6" s="1"/>
  <c r="H142" i="6"/>
  <c r="B142" i="6" s="1"/>
  <c r="A142" i="6"/>
  <c r="I141" i="6"/>
  <c r="J141" i="6" s="1"/>
  <c r="H141" i="6"/>
  <c r="B141" i="6"/>
  <c r="A141" i="6"/>
  <c r="I140" i="6"/>
  <c r="J140" i="6" s="1"/>
  <c r="H140" i="6"/>
  <c r="B140" i="6" s="1"/>
  <c r="A140" i="6"/>
  <c r="J139" i="6"/>
  <c r="I139" i="6"/>
  <c r="H139" i="6"/>
  <c r="A139" i="6"/>
  <c r="I138" i="6"/>
  <c r="J138" i="6" s="1"/>
  <c r="H138" i="6"/>
  <c r="B138" i="6" s="1"/>
  <c r="A138" i="6"/>
  <c r="L137" i="6"/>
  <c r="I137" i="6"/>
  <c r="J137" i="6" s="1"/>
  <c r="H137" i="6"/>
  <c r="B137" i="6"/>
  <c r="A137" i="6"/>
  <c r="I136" i="6"/>
  <c r="J136" i="6" s="1"/>
  <c r="H136" i="6"/>
  <c r="B136" i="6" s="1"/>
  <c r="A136" i="6"/>
  <c r="J135" i="6"/>
  <c r="I135" i="6"/>
  <c r="H135" i="6"/>
  <c r="B135" i="6" s="1"/>
  <c r="A135" i="6"/>
  <c r="I134" i="6"/>
  <c r="J134" i="6" s="1"/>
  <c r="H134" i="6"/>
  <c r="B134" i="6" s="1"/>
  <c r="A134" i="6"/>
  <c r="I133" i="6"/>
  <c r="H133" i="6"/>
  <c r="B133" i="6"/>
  <c r="A133" i="6"/>
  <c r="I132" i="6"/>
  <c r="J132" i="6" s="1"/>
  <c r="H132" i="6"/>
  <c r="B132" i="6" s="1"/>
  <c r="A132" i="6"/>
  <c r="J131" i="6"/>
  <c r="I131" i="6"/>
  <c r="H131" i="6"/>
  <c r="A131" i="6"/>
  <c r="I130" i="6"/>
  <c r="J130" i="6" s="1"/>
  <c r="H130" i="6"/>
  <c r="B130" i="6" s="1"/>
  <c r="A130" i="6"/>
  <c r="I129" i="6"/>
  <c r="J129" i="6" s="1"/>
  <c r="H129" i="6"/>
  <c r="B129" i="6"/>
  <c r="A129" i="6"/>
  <c r="I128" i="6"/>
  <c r="J128" i="6" s="1"/>
  <c r="H128" i="6"/>
  <c r="B128" i="6" s="1"/>
  <c r="A128" i="6"/>
  <c r="J127" i="6"/>
  <c r="I127" i="6"/>
  <c r="H127" i="6"/>
  <c r="B127" i="6" s="1"/>
  <c r="A127" i="6"/>
  <c r="I126" i="6"/>
  <c r="J126" i="6" s="1"/>
  <c r="H126" i="6"/>
  <c r="B126" i="6" s="1"/>
  <c r="A126" i="6"/>
  <c r="J125" i="6"/>
  <c r="I125" i="6"/>
  <c r="H125" i="6"/>
  <c r="L125" i="6" s="1"/>
  <c r="A125" i="6"/>
  <c r="I124" i="6"/>
  <c r="L124" i="6" s="1"/>
  <c r="H124" i="6"/>
  <c r="B124" i="6" s="1"/>
  <c r="A124" i="6"/>
  <c r="I123" i="6"/>
  <c r="J123" i="6" s="1"/>
  <c r="H123" i="6"/>
  <c r="A123" i="6"/>
  <c r="I122" i="6"/>
  <c r="H122" i="6"/>
  <c r="B122" i="6" s="1"/>
  <c r="A122" i="6"/>
  <c r="J121" i="6"/>
  <c r="I121" i="6"/>
  <c r="H121" i="6"/>
  <c r="L121" i="6" s="1"/>
  <c r="A121" i="6"/>
  <c r="I120" i="6"/>
  <c r="L120" i="6" s="1"/>
  <c r="H120" i="6"/>
  <c r="B120" i="6" s="1"/>
  <c r="A120" i="6"/>
  <c r="I119" i="6"/>
  <c r="J119" i="6" s="1"/>
  <c r="H119" i="6"/>
  <c r="A119" i="6"/>
  <c r="I118" i="6"/>
  <c r="H118" i="6"/>
  <c r="B118" i="6" s="1"/>
  <c r="A118" i="6"/>
  <c r="J117" i="6"/>
  <c r="I117" i="6"/>
  <c r="H117" i="6"/>
  <c r="L117" i="6" s="1"/>
  <c r="A117" i="6"/>
  <c r="I116" i="6"/>
  <c r="L116" i="6" s="1"/>
  <c r="H116" i="6"/>
  <c r="B116" i="6" s="1"/>
  <c r="A116" i="6"/>
  <c r="I115" i="6"/>
  <c r="J115" i="6" s="1"/>
  <c r="H115" i="6"/>
  <c r="L115" i="6" s="1"/>
  <c r="A115" i="6"/>
  <c r="I114" i="6"/>
  <c r="H114" i="6"/>
  <c r="B114" i="6" s="1"/>
  <c r="A114" i="6"/>
  <c r="J113" i="6"/>
  <c r="I113" i="6"/>
  <c r="H113" i="6"/>
  <c r="L113" i="6" s="1"/>
  <c r="A113" i="6"/>
  <c r="I112" i="6"/>
  <c r="L112" i="6" s="1"/>
  <c r="H112" i="6"/>
  <c r="B112" i="6" s="1"/>
  <c r="A112" i="6"/>
  <c r="J111" i="6"/>
  <c r="I111" i="6"/>
  <c r="H111" i="6"/>
  <c r="A111" i="6"/>
  <c r="I110" i="6"/>
  <c r="L110" i="6" s="1"/>
  <c r="H110" i="6"/>
  <c r="B110" i="6" s="1"/>
  <c r="A110" i="6"/>
  <c r="I109" i="6"/>
  <c r="J109" i="6" s="1"/>
  <c r="H109" i="6"/>
  <c r="A109" i="6"/>
  <c r="I108" i="6"/>
  <c r="H108" i="6"/>
  <c r="B108" i="6" s="1"/>
  <c r="A108" i="6"/>
  <c r="I107" i="6"/>
  <c r="J107" i="6" s="1"/>
  <c r="H107" i="6"/>
  <c r="L107" i="6" s="1"/>
  <c r="A107" i="6"/>
  <c r="I106" i="6"/>
  <c r="H106" i="6"/>
  <c r="B106" i="6" s="1"/>
  <c r="A106" i="6"/>
  <c r="I105" i="6"/>
  <c r="J105" i="6" s="1"/>
  <c r="H105" i="6"/>
  <c r="L105" i="6" s="1"/>
  <c r="A105" i="6"/>
  <c r="I104" i="6"/>
  <c r="H104" i="6"/>
  <c r="B104" i="6" s="1"/>
  <c r="A104" i="6"/>
  <c r="J103" i="6"/>
  <c r="I103" i="6"/>
  <c r="H103" i="6"/>
  <c r="L103" i="6" s="1"/>
  <c r="A103" i="6"/>
  <c r="I102" i="6"/>
  <c r="L102" i="6" s="1"/>
  <c r="H102" i="6"/>
  <c r="B102" i="6" s="1"/>
  <c r="A102" i="6"/>
  <c r="I101" i="6"/>
  <c r="J101" i="6" s="1"/>
  <c r="H101" i="6"/>
  <c r="A101" i="6"/>
  <c r="I100" i="6"/>
  <c r="H100" i="6"/>
  <c r="B100" i="6" s="1"/>
  <c r="A100" i="6"/>
  <c r="I99" i="6"/>
  <c r="J99" i="6" s="1"/>
  <c r="H99" i="6"/>
  <c r="L99" i="6" s="1"/>
  <c r="A99" i="6"/>
  <c r="I98" i="6"/>
  <c r="H98" i="6"/>
  <c r="B98" i="6" s="1"/>
  <c r="A98" i="6"/>
  <c r="I97" i="6"/>
  <c r="J97" i="6" s="1"/>
  <c r="H97" i="6"/>
  <c r="L97" i="6" s="1"/>
  <c r="A97" i="6"/>
  <c r="I96" i="6"/>
  <c r="H96" i="6"/>
  <c r="B96" i="6" s="1"/>
  <c r="A96" i="6"/>
  <c r="J95" i="6"/>
  <c r="I95" i="6"/>
  <c r="H95" i="6"/>
  <c r="L95" i="6" s="1"/>
  <c r="A95" i="6"/>
  <c r="I94" i="6"/>
  <c r="L94" i="6" s="1"/>
  <c r="H94" i="6"/>
  <c r="B94" i="6" s="1"/>
  <c r="A94" i="6"/>
  <c r="I93" i="6"/>
  <c r="J93" i="6" s="1"/>
  <c r="H93" i="6"/>
  <c r="A93" i="6"/>
  <c r="I92" i="6"/>
  <c r="H92" i="6"/>
  <c r="B92" i="6" s="1"/>
  <c r="A92" i="6"/>
  <c r="I91" i="6"/>
  <c r="J91" i="6" s="1"/>
  <c r="H91" i="6"/>
  <c r="L91" i="6" s="1"/>
  <c r="A91" i="6"/>
  <c r="I90" i="6"/>
  <c r="H90" i="6"/>
  <c r="B90" i="6" s="1"/>
  <c r="A90" i="6"/>
  <c r="I89" i="6"/>
  <c r="J89" i="6" s="1"/>
  <c r="H89" i="6"/>
  <c r="L89" i="6" s="1"/>
  <c r="A89" i="6"/>
  <c r="I88" i="6"/>
  <c r="H88" i="6"/>
  <c r="B88" i="6" s="1"/>
  <c r="A88" i="6"/>
  <c r="J87" i="6"/>
  <c r="I87" i="6"/>
  <c r="H87" i="6"/>
  <c r="L87" i="6" s="1"/>
  <c r="A87" i="6"/>
  <c r="I86" i="6"/>
  <c r="L86" i="6" s="1"/>
  <c r="H86" i="6"/>
  <c r="B86" i="6" s="1"/>
  <c r="A86" i="6"/>
  <c r="I85" i="6"/>
  <c r="J85" i="6" s="1"/>
  <c r="H85" i="6"/>
  <c r="A85" i="6"/>
  <c r="I84" i="6"/>
  <c r="H84" i="6"/>
  <c r="B84" i="6" s="1"/>
  <c r="A84" i="6"/>
  <c r="I83" i="6"/>
  <c r="J83" i="6" s="1"/>
  <c r="H83" i="6"/>
  <c r="L83" i="6" s="1"/>
  <c r="A83" i="6"/>
  <c r="I82" i="6"/>
  <c r="H82" i="6"/>
  <c r="B82" i="6" s="1"/>
  <c r="A82" i="6"/>
  <c r="I81" i="6"/>
  <c r="J81" i="6" s="1"/>
  <c r="H81" i="6"/>
  <c r="L81" i="6" s="1"/>
  <c r="A81" i="6"/>
  <c r="I80" i="6"/>
  <c r="H80" i="6"/>
  <c r="B80" i="6" s="1"/>
  <c r="A80" i="6"/>
  <c r="J79" i="6"/>
  <c r="I79" i="6"/>
  <c r="H79" i="6"/>
  <c r="L79" i="6" s="1"/>
  <c r="A79" i="6"/>
  <c r="I78" i="6"/>
  <c r="L78" i="6" s="1"/>
  <c r="H78" i="6"/>
  <c r="B78" i="6" s="1"/>
  <c r="A78" i="6"/>
  <c r="I77" i="6"/>
  <c r="J77" i="6" s="1"/>
  <c r="H77" i="6"/>
  <c r="A77" i="6"/>
  <c r="I76" i="6"/>
  <c r="H76" i="6"/>
  <c r="B76" i="6" s="1"/>
  <c r="A76" i="6"/>
  <c r="I75" i="6"/>
  <c r="J75" i="6" s="1"/>
  <c r="H75" i="6"/>
  <c r="L75" i="6" s="1"/>
  <c r="A75" i="6"/>
  <c r="I74" i="6"/>
  <c r="H74" i="6"/>
  <c r="B74" i="6" s="1"/>
  <c r="A74" i="6"/>
  <c r="I73" i="6"/>
  <c r="J73" i="6" s="1"/>
  <c r="H73" i="6"/>
  <c r="L73" i="6" s="1"/>
  <c r="A73" i="6"/>
  <c r="I72" i="6"/>
  <c r="H72" i="6"/>
  <c r="B72" i="6" s="1"/>
  <c r="A72" i="6"/>
  <c r="J71" i="6"/>
  <c r="I71" i="6"/>
  <c r="H71" i="6"/>
  <c r="L71" i="6" s="1"/>
  <c r="A71" i="6"/>
  <c r="I70" i="6"/>
  <c r="L70" i="6" s="1"/>
  <c r="H70" i="6"/>
  <c r="B70" i="6" s="1"/>
  <c r="A70" i="6"/>
  <c r="I69" i="6"/>
  <c r="J69" i="6" s="1"/>
  <c r="H69" i="6"/>
  <c r="A69" i="6"/>
  <c r="I68" i="6"/>
  <c r="H68" i="6"/>
  <c r="B68" i="6" s="1"/>
  <c r="A68" i="6"/>
  <c r="I67" i="6"/>
  <c r="J67" i="6" s="1"/>
  <c r="H67" i="6"/>
  <c r="L67" i="6" s="1"/>
  <c r="A67" i="6"/>
  <c r="I66" i="6"/>
  <c r="H66" i="6"/>
  <c r="B66" i="6" s="1"/>
  <c r="A66" i="6"/>
  <c r="I65" i="6"/>
  <c r="J65" i="6" s="1"/>
  <c r="H65" i="6"/>
  <c r="L65" i="6" s="1"/>
  <c r="A65" i="6"/>
  <c r="I64" i="6"/>
  <c r="H64" i="6"/>
  <c r="B64" i="6" s="1"/>
  <c r="A64" i="6"/>
  <c r="J63" i="6"/>
  <c r="I63" i="6"/>
  <c r="H63" i="6"/>
  <c r="L63" i="6" s="1"/>
  <c r="A63" i="6"/>
  <c r="I62" i="6"/>
  <c r="L62" i="6" s="1"/>
  <c r="H62" i="6"/>
  <c r="B62" i="6" s="1"/>
  <c r="A62" i="6"/>
  <c r="I61" i="6"/>
  <c r="J61" i="6" s="1"/>
  <c r="H61" i="6"/>
  <c r="A61" i="6"/>
  <c r="I60" i="6"/>
  <c r="H60" i="6"/>
  <c r="B60" i="6" s="1"/>
  <c r="A60" i="6"/>
  <c r="I59" i="6"/>
  <c r="J59" i="6" s="1"/>
  <c r="H59" i="6"/>
  <c r="L59" i="6" s="1"/>
  <c r="A59" i="6"/>
  <c r="I58" i="6"/>
  <c r="H58" i="6"/>
  <c r="B58" i="6" s="1"/>
  <c r="A58" i="6"/>
  <c r="I57" i="6"/>
  <c r="J57" i="6" s="1"/>
  <c r="H57" i="6"/>
  <c r="L57" i="6" s="1"/>
  <c r="A57" i="6"/>
  <c r="I56" i="6"/>
  <c r="H56" i="6"/>
  <c r="B56" i="6" s="1"/>
  <c r="A56" i="6"/>
  <c r="J55" i="6"/>
  <c r="I55" i="6"/>
  <c r="H55" i="6"/>
  <c r="L55" i="6" s="1"/>
  <c r="A55" i="6"/>
  <c r="I54" i="6"/>
  <c r="L54" i="6" s="1"/>
  <c r="H54" i="6"/>
  <c r="B54" i="6" s="1"/>
  <c r="A54" i="6"/>
  <c r="I53" i="6"/>
  <c r="J53" i="6" s="1"/>
  <c r="H53" i="6"/>
  <c r="A53" i="6"/>
  <c r="I52" i="6"/>
  <c r="H52" i="6"/>
  <c r="B52" i="6" s="1"/>
  <c r="A52" i="6"/>
  <c r="I51" i="6"/>
  <c r="J51" i="6" s="1"/>
  <c r="H51" i="6"/>
  <c r="L51" i="6" s="1"/>
  <c r="A51" i="6"/>
  <c r="I50" i="6"/>
  <c r="H50" i="6"/>
  <c r="B50" i="6" s="1"/>
  <c r="A50" i="6"/>
  <c r="I49" i="6"/>
  <c r="J49" i="6" s="1"/>
  <c r="H49" i="6"/>
  <c r="L49" i="6" s="1"/>
  <c r="A49" i="6"/>
  <c r="I48" i="6"/>
  <c r="H48" i="6"/>
  <c r="B48" i="6" s="1"/>
  <c r="A48" i="6"/>
  <c r="J47" i="6"/>
  <c r="I47" i="6"/>
  <c r="H47" i="6"/>
  <c r="L47" i="6" s="1"/>
  <c r="A47" i="6"/>
  <c r="I46" i="6"/>
  <c r="L46" i="6" s="1"/>
  <c r="H46" i="6"/>
  <c r="B46" i="6" s="1"/>
  <c r="A46" i="6"/>
  <c r="I45" i="6"/>
  <c r="J45" i="6" s="1"/>
  <c r="H45" i="6"/>
  <c r="A45" i="6"/>
  <c r="I44" i="6"/>
  <c r="H44" i="6"/>
  <c r="B44" i="6" s="1"/>
  <c r="A44" i="6"/>
  <c r="I43" i="6"/>
  <c r="J43" i="6" s="1"/>
  <c r="H43" i="6"/>
  <c r="L43" i="6" s="1"/>
  <c r="A43" i="6"/>
  <c r="I42" i="6"/>
  <c r="H42" i="6"/>
  <c r="B42" i="6" s="1"/>
  <c r="A42" i="6"/>
  <c r="I41" i="6"/>
  <c r="J41" i="6" s="1"/>
  <c r="H41" i="6"/>
  <c r="L41" i="6" s="1"/>
  <c r="A41" i="6"/>
  <c r="I40" i="6"/>
  <c r="H40" i="6"/>
  <c r="B40" i="6"/>
  <c r="A40" i="6"/>
  <c r="I39" i="6"/>
  <c r="J39" i="6" s="1"/>
  <c r="H39" i="6"/>
  <c r="B39" i="6"/>
  <c r="A39" i="6"/>
  <c r="I38" i="6"/>
  <c r="H38" i="6"/>
  <c r="B38" i="6"/>
  <c r="A38" i="6"/>
  <c r="I37" i="6"/>
  <c r="J37" i="6" s="1"/>
  <c r="H37" i="6"/>
  <c r="B37" i="6" s="1"/>
  <c r="A37" i="6"/>
  <c r="I36" i="6"/>
  <c r="H36" i="6"/>
  <c r="B36" i="6" s="1"/>
  <c r="A36" i="6"/>
  <c r="I35" i="6"/>
  <c r="H35" i="6"/>
  <c r="B35" i="6"/>
  <c r="A35" i="6"/>
  <c r="I34" i="6"/>
  <c r="L34" i="6" s="1"/>
  <c r="H34" i="6"/>
  <c r="B34" i="6"/>
  <c r="A34" i="6"/>
  <c r="L33" i="6"/>
  <c r="I33" i="6"/>
  <c r="J33" i="6" s="1"/>
  <c r="H33" i="6"/>
  <c r="B33" i="6"/>
  <c r="A33" i="6"/>
  <c r="I32" i="6"/>
  <c r="H32" i="6"/>
  <c r="B32" i="6"/>
  <c r="A32" i="6"/>
  <c r="I31" i="6"/>
  <c r="J31" i="6" s="1"/>
  <c r="H31" i="6"/>
  <c r="B31" i="6"/>
  <c r="A31" i="6"/>
  <c r="I30" i="6"/>
  <c r="H30" i="6"/>
  <c r="B30" i="6"/>
  <c r="A30" i="6"/>
  <c r="I29" i="6"/>
  <c r="J29" i="6" s="1"/>
  <c r="H29" i="6"/>
  <c r="B29" i="6" s="1"/>
  <c r="A29" i="6"/>
  <c r="I28" i="6"/>
  <c r="H28" i="6"/>
  <c r="B28" i="6" s="1"/>
  <c r="A28" i="6"/>
  <c r="I27" i="6"/>
  <c r="H27" i="6"/>
  <c r="B27" i="6"/>
  <c r="A27" i="6"/>
  <c r="I26" i="6"/>
  <c r="L26" i="6" s="1"/>
  <c r="H26" i="6"/>
  <c r="B26" i="6"/>
  <c r="A26" i="6"/>
  <c r="L25" i="6"/>
  <c r="I25" i="6"/>
  <c r="J25" i="6" s="1"/>
  <c r="H25" i="6"/>
  <c r="B25" i="6"/>
  <c r="A25" i="6"/>
  <c r="I24" i="6"/>
  <c r="H24" i="6"/>
  <c r="B24" i="6"/>
  <c r="A24" i="6"/>
  <c r="I23" i="6"/>
  <c r="J23" i="6" s="1"/>
  <c r="H23" i="6"/>
  <c r="B23" i="6"/>
  <c r="A23" i="6"/>
  <c r="I22" i="6"/>
  <c r="H22" i="6"/>
  <c r="B22" i="6"/>
  <c r="A22" i="6"/>
  <c r="I21" i="6"/>
  <c r="J21" i="6" s="1"/>
  <c r="H21" i="6"/>
  <c r="B21" i="6" s="1"/>
  <c r="A21" i="6"/>
  <c r="I20" i="6"/>
  <c r="H20" i="6"/>
  <c r="B20" i="6" s="1"/>
  <c r="A20" i="6"/>
  <c r="I19" i="6"/>
  <c r="H19" i="6"/>
  <c r="B19" i="6"/>
  <c r="A19" i="6"/>
  <c r="I18" i="6"/>
  <c r="L18" i="6" s="1"/>
  <c r="H18" i="6"/>
  <c r="B18" i="6"/>
  <c r="A18" i="6"/>
  <c r="L17" i="6"/>
  <c r="I17" i="6"/>
  <c r="J17" i="6" s="1"/>
  <c r="H17" i="6"/>
  <c r="B17" i="6"/>
  <c r="A17" i="6"/>
  <c r="I16" i="6"/>
  <c r="H16" i="6"/>
  <c r="B16" i="6"/>
  <c r="A16" i="6"/>
  <c r="I15" i="6"/>
  <c r="J15" i="6" s="1"/>
  <c r="H15" i="6"/>
  <c r="B15" i="6"/>
  <c r="A15" i="6"/>
  <c r="I14" i="6"/>
  <c r="H14" i="6"/>
  <c r="B14" i="6"/>
  <c r="A14" i="6"/>
  <c r="I13" i="6"/>
  <c r="J13" i="6" s="1"/>
  <c r="H13" i="6"/>
  <c r="B13" i="6" s="1"/>
  <c r="A13" i="6"/>
  <c r="I12" i="6"/>
  <c r="H12" i="6"/>
  <c r="B12" i="6" s="1"/>
  <c r="A12" i="6"/>
  <c r="I11" i="6"/>
  <c r="H11" i="6"/>
  <c r="B11" i="6"/>
  <c r="A11" i="6"/>
  <c r="I10" i="6"/>
  <c r="L10" i="6" s="1"/>
  <c r="H10" i="6"/>
  <c r="B10" i="6"/>
  <c r="A10" i="6"/>
  <c r="L9" i="6"/>
  <c r="I9" i="6"/>
  <c r="J9" i="6" s="1"/>
  <c r="H9" i="6"/>
  <c r="B9" i="6"/>
  <c r="A9" i="6"/>
  <c r="I8" i="6"/>
  <c r="H8" i="6"/>
  <c r="B8" i="6"/>
  <c r="A8" i="6"/>
  <c r="I7" i="6"/>
  <c r="J7" i="6" s="1"/>
  <c r="H7" i="6"/>
  <c r="B7" i="6"/>
  <c r="A7" i="6"/>
  <c r="I6" i="6"/>
  <c r="H6" i="6"/>
  <c r="B6" i="6"/>
  <c r="A6" i="6"/>
  <c r="I5" i="6"/>
  <c r="J5" i="6" s="1"/>
  <c r="H5" i="6"/>
  <c r="B5" i="6" s="1"/>
  <c r="A5" i="6"/>
  <c r="I4" i="6"/>
  <c r="H4" i="6"/>
  <c r="B4" i="6" s="1"/>
  <c r="A4" i="6"/>
  <c r="O281" i="5"/>
  <c r="J281" i="5"/>
  <c r="G281" i="5"/>
  <c r="M281" i="5" s="1"/>
  <c r="F281" i="5"/>
  <c r="A281" i="5"/>
  <c r="O280" i="5"/>
  <c r="J280" i="5"/>
  <c r="G280" i="5"/>
  <c r="M280" i="5" s="1"/>
  <c r="F280" i="5"/>
  <c r="A280" i="5"/>
  <c r="O279" i="5"/>
  <c r="J279" i="5"/>
  <c r="G279" i="5"/>
  <c r="M279" i="5" s="1"/>
  <c r="F279" i="5"/>
  <c r="A279" i="5"/>
  <c r="O278" i="5"/>
  <c r="J278" i="5"/>
  <c r="G278" i="5"/>
  <c r="F278" i="5"/>
  <c r="A278" i="5"/>
  <c r="O277" i="5"/>
  <c r="J277" i="5"/>
  <c r="G277" i="5"/>
  <c r="M277" i="5" s="1"/>
  <c r="F277" i="5"/>
  <c r="A277" i="5"/>
  <c r="O276" i="5"/>
  <c r="J276" i="5"/>
  <c r="G276" i="5"/>
  <c r="M276" i="5" s="1"/>
  <c r="F276" i="5"/>
  <c r="A276" i="5"/>
  <c r="O275" i="5"/>
  <c r="J275" i="5"/>
  <c r="G275" i="5"/>
  <c r="M275" i="5" s="1"/>
  <c r="F275" i="5"/>
  <c r="A275" i="5"/>
  <c r="O274" i="5"/>
  <c r="J274" i="5"/>
  <c r="G274" i="5"/>
  <c r="F274" i="5"/>
  <c r="A274" i="5"/>
  <c r="O273" i="5"/>
  <c r="J273" i="5"/>
  <c r="G273" i="5"/>
  <c r="F273" i="5"/>
  <c r="A273" i="5"/>
  <c r="O272" i="5"/>
  <c r="J272" i="5"/>
  <c r="G272" i="5"/>
  <c r="M272" i="5" s="1"/>
  <c r="F272" i="5"/>
  <c r="A272" i="5"/>
  <c r="O271" i="5"/>
  <c r="J271" i="5"/>
  <c r="G271" i="5"/>
  <c r="F271" i="5"/>
  <c r="A271" i="5"/>
  <c r="O270" i="5"/>
  <c r="J270" i="5"/>
  <c r="G270" i="5"/>
  <c r="F270" i="5"/>
  <c r="A270" i="5"/>
  <c r="O269" i="5"/>
  <c r="J269" i="5"/>
  <c r="G269" i="5"/>
  <c r="M269" i="5" s="1"/>
  <c r="F269" i="5"/>
  <c r="A269" i="5"/>
  <c r="O268" i="5"/>
  <c r="J268" i="5"/>
  <c r="G268" i="5"/>
  <c r="M268" i="5" s="1"/>
  <c r="F268" i="5"/>
  <c r="A268" i="5"/>
  <c r="O267" i="5"/>
  <c r="J267" i="5"/>
  <c r="G267" i="5"/>
  <c r="M267" i="5" s="1"/>
  <c r="F267" i="5"/>
  <c r="A267" i="5"/>
  <c r="O266" i="5"/>
  <c r="J266" i="5"/>
  <c r="G266" i="5"/>
  <c r="M266" i="5" s="1"/>
  <c r="F266" i="5"/>
  <c r="A266" i="5"/>
  <c r="O265" i="5"/>
  <c r="J265" i="5"/>
  <c r="G265" i="5"/>
  <c r="M265" i="5" s="1"/>
  <c r="F265" i="5"/>
  <c r="H265" i="5" s="1"/>
  <c r="L265" i="5" s="1"/>
  <c r="A265" i="5"/>
  <c r="O264" i="5"/>
  <c r="J264" i="5"/>
  <c r="G264" i="5"/>
  <c r="M264" i="5" s="1"/>
  <c r="F264" i="5"/>
  <c r="A264" i="5"/>
  <c r="O263" i="5"/>
  <c r="J263" i="5"/>
  <c r="G263" i="5"/>
  <c r="M263" i="5" s="1"/>
  <c r="F263" i="5"/>
  <c r="A263" i="5"/>
  <c r="O262" i="5"/>
  <c r="J262" i="5"/>
  <c r="G262" i="5"/>
  <c r="M262" i="5" s="1"/>
  <c r="F262" i="5"/>
  <c r="A262" i="5"/>
  <c r="O261" i="5"/>
  <c r="J261" i="5"/>
  <c r="G261" i="5"/>
  <c r="M261" i="5" s="1"/>
  <c r="F261" i="5"/>
  <c r="H261" i="5" s="1"/>
  <c r="L261" i="5" s="1"/>
  <c r="A261" i="5"/>
  <c r="O260" i="5"/>
  <c r="J260" i="5"/>
  <c r="G260" i="5"/>
  <c r="M260" i="5" s="1"/>
  <c r="F260" i="5"/>
  <c r="A260" i="5"/>
  <c r="O259" i="5"/>
  <c r="J259" i="5"/>
  <c r="G259" i="5"/>
  <c r="M259" i="5" s="1"/>
  <c r="F259" i="5"/>
  <c r="A259" i="5"/>
  <c r="O258" i="5"/>
  <c r="M258" i="5"/>
  <c r="J258" i="5"/>
  <c r="G258" i="5"/>
  <c r="F258" i="5"/>
  <c r="A258" i="5"/>
  <c r="O257" i="5"/>
  <c r="J257" i="5"/>
  <c r="G257" i="5"/>
  <c r="M257" i="5" s="1"/>
  <c r="F257" i="5"/>
  <c r="H257" i="5" s="1"/>
  <c r="A257" i="5"/>
  <c r="O256" i="5"/>
  <c r="M256" i="5"/>
  <c r="J256" i="5"/>
  <c r="G256" i="5"/>
  <c r="F256" i="5"/>
  <c r="A256" i="5"/>
  <c r="R255" i="5"/>
  <c r="O255" i="5"/>
  <c r="J255" i="5"/>
  <c r="G255" i="5"/>
  <c r="M255" i="5" s="1"/>
  <c r="F255" i="5"/>
  <c r="H255" i="5" s="1"/>
  <c r="A255" i="5"/>
  <c r="O254" i="5"/>
  <c r="M254" i="5"/>
  <c r="J254" i="5"/>
  <c r="G254" i="5"/>
  <c r="F254" i="5"/>
  <c r="A254" i="5"/>
  <c r="R253" i="5"/>
  <c r="O253" i="5"/>
  <c r="J253" i="5"/>
  <c r="G253" i="5"/>
  <c r="M253" i="5" s="1"/>
  <c r="F253" i="5"/>
  <c r="H253" i="5" s="1"/>
  <c r="A253" i="5"/>
  <c r="O252" i="5"/>
  <c r="M252" i="5"/>
  <c r="J252" i="5"/>
  <c r="G252" i="5"/>
  <c r="F252" i="5"/>
  <c r="A252" i="5"/>
  <c r="O251" i="5"/>
  <c r="J251" i="5"/>
  <c r="G251" i="5"/>
  <c r="M251" i="5" s="1"/>
  <c r="F251" i="5"/>
  <c r="H251" i="5" s="1"/>
  <c r="A251" i="5"/>
  <c r="O250" i="5"/>
  <c r="J250" i="5"/>
  <c r="G250" i="5"/>
  <c r="M250" i="5" s="1"/>
  <c r="F250" i="5"/>
  <c r="A250" i="5"/>
  <c r="O249" i="5"/>
  <c r="J249" i="5"/>
  <c r="G249" i="5"/>
  <c r="M249" i="5" s="1"/>
  <c r="F249" i="5"/>
  <c r="A249" i="5"/>
  <c r="O248" i="5"/>
  <c r="J248" i="5"/>
  <c r="G248" i="5"/>
  <c r="M248" i="5" s="1"/>
  <c r="F248" i="5"/>
  <c r="A248" i="5"/>
  <c r="O247" i="5"/>
  <c r="J247" i="5"/>
  <c r="G247" i="5"/>
  <c r="M247" i="5" s="1"/>
  <c r="F247" i="5"/>
  <c r="A247" i="5"/>
  <c r="O246" i="5"/>
  <c r="M246" i="5"/>
  <c r="J246" i="5"/>
  <c r="G246" i="5"/>
  <c r="F246" i="5"/>
  <c r="A246" i="5"/>
  <c r="O245" i="5"/>
  <c r="J245" i="5"/>
  <c r="G245" i="5"/>
  <c r="M245" i="5" s="1"/>
  <c r="F245" i="5"/>
  <c r="A245" i="5"/>
  <c r="O244" i="5"/>
  <c r="M244" i="5"/>
  <c r="J244" i="5"/>
  <c r="G244" i="5"/>
  <c r="F244" i="5"/>
  <c r="A244" i="5"/>
  <c r="O243" i="5"/>
  <c r="J243" i="5"/>
  <c r="G243" i="5"/>
  <c r="M243" i="5" s="1"/>
  <c r="F243" i="5"/>
  <c r="A243" i="5"/>
  <c r="O242" i="5"/>
  <c r="J242" i="5"/>
  <c r="G242" i="5"/>
  <c r="M242" i="5" s="1"/>
  <c r="F242" i="5"/>
  <c r="A242" i="5"/>
  <c r="O241" i="5"/>
  <c r="J241" i="5"/>
  <c r="G241" i="5"/>
  <c r="M241" i="5" s="1"/>
  <c r="F241" i="5"/>
  <c r="A241" i="5"/>
  <c r="O240" i="5"/>
  <c r="J240" i="5"/>
  <c r="G240" i="5"/>
  <c r="M240" i="5" s="1"/>
  <c r="F240" i="5"/>
  <c r="A240" i="5"/>
  <c r="O239" i="5"/>
  <c r="J239" i="5"/>
  <c r="G239" i="5"/>
  <c r="M239" i="5" s="1"/>
  <c r="F239" i="5"/>
  <c r="A239" i="5"/>
  <c r="O238" i="5"/>
  <c r="M238" i="5"/>
  <c r="J238" i="5"/>
  <c r="G238" i="5"/>
  <c r="F238" i="5"/>
  <c r="A238" i="5"/>
  <c r="O237" i="5"/>
  <c r="J237" i="5"/>
  <c r="G237" i="5"/>
  <c r="M237" i="5" s="1"/>
  <c r="F237" i="5"/>
  <c r="A237" i="5"/>
  <c r="O236" i="5"/>
  <c r="M236" i="5"/>
  <c r="J236" i="5"/>
  <c r="G236" i="5"/>
  <c r="F236" i="5"/>
  <c r="A236" i="5"/>
  <c r="O235" i="5"/>
  <c r="J235" i="5"/>
  <c r="G235" i="5"/>
  <c r="M235" i="5" s="1"/>
  <c r="F235" i="5"/>
  <c r="A235" i="5"/>
  <c r="O234" i="5"/>
  <c r="J234" i="5"/>
  <c r="G234" i="5"/>
  <c r="M234" i="5" s="1"/>
  <c r="F234" i="5"/>
  <c r="A234" i="5"/>
  <c r="O233" i="5"/>
  <c r="J233" i="5"/>
  <c r="G233" i="5"/>
  <c r="M233" i="5" s="1"/>
  <c r="F233" i="5"/>
  <c r="A233" i="5"/>
  <c r="O232" i="5"/>
  <c r="J232" i="5"/>
  <c r="G232" i="5"/>
  <c r="M232" i="5" s="1"/>
  <c r="F232" i="5"/>
  <c r="A232" i="5"/>
  <c r="O231" i="5"/>
  <c r="J231" i="5"/>
  <c r="G231" i="5"/>
  <c r="M231" i="5" s="1"/>
  <c r="F231" i="5"/>
  <c r="A231" i="5"/>
  <c r="O230" i="5"/>
  <c r="M230" i="5"/>
  <c r="J230" i="5"/>
  <c r="G230" i="5"/>
  <c r="F230" i="5"/>
  <c r="A230" i="5"/>
  <c r="O229" i="5"/>
  <c r="J229" i="5"/>
  <c r="G229" i="5"/>
  <c r="M229" i="5" s="1"/>
  <c r="F229" i="5"/>
  <c r="A229" i="5"/>
  <c r="O228" i="5"/>
  <c r="M228" i="5"/>
  <c r="J228" i="5"/>
  <c r="G228" i="5"/>
  <c r="F228" i="5"/>
  <c r="A228" i="5"/>
  <c r="O227" i="5"/>
  <c r="J227" i="5"/>
  <c r="G227" i="5"/>
  <c r="M227" i="5" s="1"/>
  <c r="F227" i="5"/>
  <c r="A227" i="5"/>
  <c r="O226" i="5"/>
  <c r="J226" i="5"/>
  <c r="G226" i="5"/>
  <c r="M226" i="5" s="1"/>
  <c r="F226" i="5"/>
  <c r="A226" i="5"/>
  <c r="O225" i="5"/>
  <c r="J225" i="5"/>
  <c r="G225" i="5"/>
  <c r="M225" i="5" s="1"/>
  <c r="F225" i="5"/>
  <c r="A225" i="5"/>
  <c r="O224" i="5"/>
  <c r="J224" i="5"/>
  <c r="G224" i="5"/>
  <c r="M224" i="5" s="1"/>
  <c r="F224" i="5"/>
  <c r="A224" i="5"/>
  <c r="O223" i="5"/>
  <c r="J223" i="5"/>
  <c r="G223" i="5"/>
  <c r="F223" i="5"/>
  <c r="A223" i="5"/>
  <c r="O222" i="5"/>
  <c r="J222" i="5"/>
  <c r="G222" i="5"/>
  <c r="F222" i="5"/>
  <c r="A222" i="5"/>
  <c r="O221" i="5"/>
  <c r="J221" i="5"/>
  <c r="G221" i="5"/>
  <c r="R221" i="5" s="1"/>
  <c r="F221" i="5"/>
  <c r="A221" i="5"/>
  <c r="O220" i="5"/>
  <c r="J220" i="5"/>
  <c r="G220" i="5"/>
  <c r="F220" i="5"/>
  <c r="A220" i="5"/>
  <c r="O219" i="5"/>
  <c r="J219" i="5"/>
  <c r="G219" i="5"/>
  <c r="R219" i="5" s="1"/>
  <c r="F219" i="5"/>
  <c r="A219" i="5"/>
  <c r="O218" i="5"/>
  <c r="J218" i="5"/>
  <c r="G218" i="5"/>
  <c r="M218" i="5" s="1"/>
  <c r="F218" i="5"/>
  <c r="A218" i="5"/>
  <c r="O217" i="5"/>
  <c r="J217" i="5"/>
  <c r="G217" i="5"/>
  <c r="R217" i="5" s="1"/>
  <c r="F217" i="5"/>
  <c r="A217" i="5"/>
  <c r="O216" i="5"/>
  <c r="J216" i="5"/>
  <c r="G216" i="5"/>
  <c r="F216" i="5"/>
  <c r="A216" i="5"/>
  <c r="O215" i="5"/>
  <c r="J215" i="5"/>
  <c r="G215" i="5"/>
  <c r="F215" i="5"/>
  <c r="A215" i="5"/>
  <c r="O214" i="5"/>
  <c r="J214" i="5"/>
  <c r="G214" i="5"/>
  <c r="M214" i="5" s="1"/>
  <c r="F214" i="5"/>
  <c r="A214" i="5"/>
  <c r="O213" i="5"/>
  <c r="J213" i="5"/>
  <c r="G213" i="5"/>
  <c r="R213" i="5" s="1"/>
  <c r="F213" i="5"/>
  <c r="A213" i="5"/>
  <c r="O212" i="5"/>
  <c r="J212" i="5"/>
  <c r="G212" i="5"/>
  <c r="F212" i="5"/>
  <c r="A212" i="5"/>
  <c r="O211" i="5"/>
  <c r="J211" i="5"/>
  <c r="G211" i="5"/>
  <c r="R211" i="5" s="1"/>
  <c r="F211" i="5"/>
  <c r="A211" i="5"/>
  <c r="O210" i="5"/>
  <c r="J210" i="5"/>
  <c r="G210" i="5"/>
  <c r="M210" i="5" s="1"/>
  <c r="F210" i="5"/>
  <c r="A210" i="5"/>
  <c r="O209" i="5"/>
  <c r="J209" i="5"/>
  <c r="G209" i="5"/>
  <c r="F209" i="5"/>
  <c r="A209" i="5"/>
  <c r="O208" i="5"/>
  <c r="J208" i="5"/>
  <c r="G208" i="5"/>
  <c r="F208" i="5"/>
  <c r="A208" i="5"/>
  <c r="O207" i="5"/>
  <c r="J207" i="5"/>
  <c r="G207" i="5"/>
  <c r="R207" i="5" s="1"/>
  <c r="F207" i="5"/>
  <c r="A207" i="5"/>
  <c r="O206" i="5"/>
  <c r="J206" i="5"/>
  <c r="G206" i="5"/>
  <c r="F206" i="5"/>
  <c r="A206" i="5"/>
  <c r="O205" i="5"/>
  <c r="J205" i="5"/>
  <c r="G205" i="5"/>
  <c r="R205" i="5" s="1"/>
  <c r="F205" i="5"/>
  <c r="A205" i="5"/>
  <c r="O204" i="5"/>
  <c r="J204" i="5"/>
  <c r="G204" i="5"/>
  <c r="F204" i="5"/>
  <c r="A204" i="5"/>
  <c r="O203" i="5"/>
  <c r="J203" i="5"/>
  <c r="G203" i="5"/>
  <c r="R203" i="5" s="1"/>
  <c r="F203" i="5"/>
  <c r="A203" i="5"/>
  <c r="O202" i="5"/>
  <c r="J202" i="5"/>
  <c r="G202" i="5"/>
  <c r="M202" i="5" s="1"/>
  <c r="F202" i="5"/>
  <c r="A202" i="5"/>
  <c r="O201" i="5"/>
  <c r="J201" i="5"/>
  <c r="G201" i="5"/>
  <c r="R201" i="5" s="1"/>
  <c r="F201" i="5"/>
  <c r="A201" i="5"/>
  <c r="O200" i="5"/>
  <c r="J200" i="5"/>
  <c r="G200" i="5"/>
  <c r="F200" i="5"/>
  <c r="A200" i="5"/>
  <c r="O199" i="5"/>
  <c r="J199" i="5"/>
  <c r="G199" i="5"/>
  <c r="F199" i="5"/>
  <c r="A199" i="5"/>
  <c r="O198" i="5"/>
  <c r="J198" i="5"/>
  <c r="G198" i="5"/>
  <c r="M198" i="5" s="1"/>
  <c r="F198" i="5"/>
  <c r="A198" i="5"/>
  <c r="O197" i="5"/>
  <c r="J197" i="5"/>
  <c r="G197" i="5"/>
  <c r="R197" i="5" s="1"/>
  <c r="F197" i="5"/>
  <c r="A197" i="5"/>
  <c r="O196" i="5"/>
  <c r="J196" i="5"/>
  <c r="G196" i="5"/>
  <c r="F196" i="5"/>
  <c r="A196" i="5"/>
  <c r="O195" i="5"/>
  <c r="J195" i="5"/>
  <c r="G195" i="5"/>
  <c r="R195" i="5" s="1"/>
  <c r="F195" i="5"/>
  <c r="A195" i="5"/>
  <c r="O194" i="5"/>
  <c r="J194" i="5"/>
  <c r="G194" i="5"/>
  <c r="M194" i="5" s="1"/>
  <c r="F194" i="5"/>
  <c r="A194" i="5"/>
  <c r="O193" i="5"/>
  <c r="J193" i="5"/>
  <c r="G193" i="5"/>
  <c r="F193" i="5"/>
  <c r="A193" i="5"/>
  <c r="O192" i="5"/>
  <c r="J192" i="5"/>
  <c r="G192" i="5"/>
  <c r="H192" i="5" s="1"/>
  <c r="F192" i="5"/>
  <c r="A192" i="5"/>
  <c r="O191" i="5"/>
  <c r="J191" i="5"/>
  <c r="G191" i="5"/>
  <c r="R191" i="5" s="1"/>
  <c r="F191" i="5"/>
  <c r="A191" i="5"/>
  <c r="O190" i="5"/>
  <c r="J190" i="5"/>
  <c r="G190" i="5"/>
  <c r="F190" i="5"/>
  <c r="A190" i="5"/>
  <c r="O189" i="5"/>
  <c r="J189" i="5"/>
  <c r="G189" i="5"/>
  <c r="R189" i="5" s="1"/>
  <c r="F189" i="5"/>
  <c r="A189" i="5"/>
  <c r="O188" i="5"/>
  <c r="J188" i="5"/>
  <c r="G188" i="5"/>
  <c r="F188" i="5"/>
  <c r="A188" i="5"/>
  <c r="R187" i="5"/>
  <c r="O187" i="5"/>
  <c r="J187" i="5"/>
  <c r="G187" i="5"/>
  <c r="F187" i="5"/>
  <c r="A187" i="5"/>
  <c r="O186" i="5"/>
  <c r="J186" i="5"/>
  <c r="G186" i="5"/>
  <c r="M186" i="5" s="1"/>
  <c r="F186" i="5"/>
  <c r="A186" i="5"/>
  <c r="O185" i="5"/>
  <c r="J185" i="5"/>
  <c r="G185" i="5"/>
  <c r="R185" i="5" s="1"/>
  <c r="F185" i="5"/>
  <c r="A185" i="5"/>
  <c r="O184" i="5"/>
  <c r="J184" i="5"/>
  <c r="G184" i="5"/>
  <c r="F184" i="5"/>
  <c r="A184" i="5"/>
  <c r="O183" i="5"/>
  <c r="J183" i="5"/>
  <c r="G183" i="5"/>
  <c r="F183" i="5"/>
  <c r="A183" i="5"/>
  <c r="O182" i="5"/>
  <c r="J182" i="5"/>
  <c r="G182" i="5"/>
  <c r="M182" i="5" s="1"/>
  <c r="F182" i="5"/>
  <c r="A182" i="5"/>
  <c r="O181" i="5"/>
  <c r="J181" i="5"/>
  <c r="G181" i="5"/>
  <c r="R181" i="5" s="1"/>
  <c r="F181" i="5"/>
  <c r="A181" i="5"/>
  <c r="O180" i="5"/>
  <c r="J180" i="5"/>
  <c r="G180" i="5"/>
  <c r="F180" i="5"/>
  <c r="A180" i="5"/>
  <c r="O179" i="5"/>
  <c r="J179" i="5"/>
  <c r="G179" i="5"/>
  <c r="R179" i="5" s="1"/>
  <c r="F179" i="5"/>
  <c r="A179" i="5"/>
  <c r="O178" i="5"/>
  <c r="J178" i="5"/>
  <c r="G178" i="5"/>
  <c r="M178" i="5" s="1"/>
  <c r="F178" i="5"/>
  <c r="A178" i="5"/>
  <c r="O177" i="5"/>
  <c r="J177" i="5"/>
  <c r="G177" i="5"/>
  <c r="F177" i="5"/>
  <c r="A177" i="5"/>
  <c r="O176" i="5"/>
  <c r="J176" i="5"/>
  <c r="G176" i="5"/>
  <c r="F176" i="5"/>
  <c r="A176" i="5"/>
  <c r="O175" i="5"/>
  <c r="J175" i="5"/>
  <c r="G175" i="5"/>
  <c r="R175" i="5" s="1"/>
  <c r="F175" i="5"/>
  <c r="A175" i="5"/>
  <c r="O174" i="5"/>
  <c r="J174" i="5"/>
  <c r="G174" i="5"/>
  <c r="F174" i="5"/>
  <c r="A174" i="5"/>
  <c r="O173" i="5"/>
  <c r="J173" i="5"/>
  <c r="G173" i="5"/>
  <c r="R173" i="5" s="1"/>
  <c r="F173" i="5"/>
  <c r="A173" i="5"/>
  <c r="O172" i="5"/>
  <c r="J172" i="5"/>
  <c r="G172" i="5"/>
  <c r="M172" i="5" s="1"/>
  <c r="F172" i="5"/>
  <c r="A172" i="5"/>
  <c r="O171" i="5"/>
  <c r="J171" i="5"/>
  <c r="G171" i="5"/>
  <c r="R171" i="5" s="1"/>
  <c r="F171" i="5"/>
  <c r="A171" i="5"/>
  <c r="O170" i="5"/>
  <c r="J170" i="5"/>
  <c r="G170" i="5"/>
  <c r="M170" i="5" s="1"/>
  <c r="F170" i="5"/>
  <c r="A170" i="5"/>
  <c r="O168" i="5"/>
  <c r="J168" i="5"/>
  <c r="G168" i="5"/>
  <c r="R168" i="5" s="1"/>
  <c r="F168" i="5"/>
  <c r="A168" i="5"/>
  <c r="O167" i="5"/>
  <c r="J167" i="5"/>
  <c r="G167" i="5"/>
  <c r="F167" i="5"/>
  <c r="A167" i="5"/>
  <c r="O166" i="5"/>
  <c r="J166" i="5"/>
  <c r="G166" i="5"/>
  <c r="F166" i="5"/>
  <c r="A166" i="5"/>
  <c r="O165" i="5"/>
  <c r="J165" i="5"/>
  <c r="G165" i="5"/>
  <c r="F165" i="5"/>
  <c r="A165" i="5"/>
  <c r="O164" i="5"/>
  <c r="J164" i="5"/>
  <c r="G164" i="5"/>
  <c r="R164" i="5" s="1"/>
  <c r="F164" i="5"/>
  <c r="A164" i="5"/>
  <c r="O163" i="5"/>
  <c r="J163" i="5"/>
  <c r="G163" i="5"/>
  <c r="M163" i="5" s="1"/>
  <c r="F163" i="5"/>
  <c r="A163" i="5"/>
  <c r="O162" i="5"/>
  <c r="J162" i="5"/>
  <c r="G162" i="5"/>
  <c r="R162" i="5" s="1"/>
  <c r="F162" i="5"/>
  <c r="A162" i="5"/>
  <c r="O161" i="5"/>
  <c r="J161" i="5"/>
  <c r="G161" i="5"/>
  <c r="F161" i="5"/>
  <c r="A161" i="5"/>
  <c r="O160" i="5"/>
  <c r="J160" i="5"/>
  <c r="G160" i="5"/>
  <c r="F160" i="5"/>
  <c r="A160" i="5"/>
  <c r="O159" i="5"/>
  <c r="J159" i="5"/>
  <c r="G159" i="5"/>
  <c r="M159" i="5" s="1"/>
  <c r="F159" i="5"/>
  <c r="A159" i="5"/>
  <c r="O158" i="5"/>
  <c r="J158" i="5"/>
  <c r="G158" i="5"/>
  <c r="R158" i="5" s="1"/>
  <c r="F158" i="5"/>
  <c r="A158" i="5"/>
  <c r="O157" i="5"/>
  <c r="J157" i="5"/>
  <c r="G157" i="5"/>
  <c r="M157" i="5" s="1"/>
  <c r="F157" i="5"/>
  <c r="A157" i="5"/>
  <c r="O156" i="5"/>
  <c r="J156" i="5"/>
  <c r="G156" i="5"/>
  <c r="F156" i="5"/>
  <c r="A156" i="5"/>
  <c r="O155" i="5"/>
  <c r="J155" i="5"/>
  <c r="G155" i="5"/>
  <c r="M155" i="5" s="1"/>
  <c r="F155" i="5"/>
  <c r="A155" i="5"/>
  <c r="O154" i="5"/>
  <c r="J154" i="5"/>
  <c r="G154" i="5"/>
  <c r="F154" i="5"/>
  <c r="A154" i="5"/>
  <c r="O153" i="5"/>
  <c r="J153" i="5"/>
  <c r="G153" i="5"/>
  <c r="M153" i="5" s="1"/>
  <c r="F153" i="5"/>
  <c r="A153" i="5"/>
  <c r="O152" i="5"/>
  <c r="J152" i="5"/>
  <c r="G152" i="5"/>
  <c r="R152" i="5" s="1"/>
  <c r="F152" i="5"/>
  <c r="A152" i="5"/>
  <c r="O151" i="5"/>
  <c r="J151" i="5"/>
  <c r="G151" i="5"/>
  <c r="R151" i="5" s="1"/>
  <c r="F151" i="5"/>
  <c r="A151" i="5"/>
  <c r="O150" i="5"/>
  <c r="J150" i="5"/>
  <c r="G150" i="5"/>
  <c r="H150" i="5" s="1"/>
  <c r="L150" i="5" s="1"/>
  <c r="F150" i="5"/>
  <c r="A150" i="5"/>
  <c r="O149" i="5"/>
  <c r="J149" i="5"/>
  <c r="G149" i="5"/>
  <c r="M149" i="5" s="1"/>
  <c r="F149" i="5"/>
  <c r="A149" i="5"/>
  <c r="O148" i="5"/>
  <c r="J148" i="5"/>
  <c r="G148" i="5"/>
  <c r="R148" i="5" s="1"/>
  <c r="F148" i="5"/>
  <c r="A148" i="5"/>
  <c r="O147" i="5"/>
  <c r="J147" i="5"/>
  <c r="G147" i="5"/>
  <c r="R147" i="5" s="1"/>
  <c r="F147" i="5"/>
  <c r="A147" i="5"/>
  <c r="O146" i="5"/>
  <c r="J146" i="5"/>
  <c r="G146" i="5"/>
  <c r="H146" i="5" s="1"/>
  <c r="L146" i="5" s="1"/>
  <c r="F146" i="5"/>
  <c r="A146" i="5"/>
  <c r="O145" i="5"/>
  <c r="J145" i="5"/>
  <c r="G145" i="5"/>
  <c r="F145" i="5"/>
  <c r="H145" i="5" s="1"/>
  <c r="Q145" i="5" s="1"/>
  <c r="A145" i="5"/>
  <c r="O144" i="5"/>
  <c r="J144" i="5"/>
  <c r="G144" i="5"/>
  <c r="F144" i="5"/>
  <c r="A144" i="5"/>
  <c r="O143" i="5"/>
  <c r="J143" i="5"/>
  <c r="G143" i="5"/>
  <c r="R143" i="5" s="1"/>
  <c r="F143" i="5"/>
  <c r="A143" i="5"/>
  <c r="O142" i="5"/>
  <c r="J142" i="5"/>
  <c r="G142" i="5"/>
  <c r="F142" i="5"/>
  <c r="A142" i="5"/>
  <c r="O141" i="5"/>
  <c r="J141" i="5"/>
  <c r="G141" i="5"/>
  <c r="M141" i="5" s="1"/>
  <c r="F141" i="5"/>
  <c r="A141" i="5"/>
  <c r="O140" i="5"/>
  <c r="J140" i="5"/>
  <c r="G140" i="5"/>
  <c r="R140" i="5" s="1"/>
  <c r="F140" i="5"/>
  <c r="A140" i="5"/>
  <c r="O139" i="5"/>
  <c r="J139" i="5"/>
  <c r="G139" i="5"/>
  <c r="R139" i="5" s="1"/>
  <c r="F139" i="5"/>
  <c r="A139" i="5"/>
  <c r="O138" i="5"/>
  <c r="J138" i="5"/>
  <c r="G138" i="5"/>
  <c r="F138" i="5"/>
  <c r="A138" i="5"/>
  <c r="O137" i="5"/>
  <c r="J137" i="5"/>
  <c r="G137" i="5"/>
  <c r="M137" i="5" s="1"/>
  <c r="F137" i="5"/>
  <c r="H137" i="5" s="1"/>
  <c r="Q137" i="5" s="1"/>
  <c r="A137" i="5"/>
  <c r="O136" i="5"/>
  <c r="J136" i="5"/>
  <c r="G136" i="5"/>
  <c r="R136" i="5" s="1"/>
  <c r="F136" i="5"/>
  <c r="A136" i="5"/>
  <c r="O135" i="5"/>
  <c r="J135" i="5"/>
  <c r="G135" i="5"/>
  <c r="R135" i="5" s="1"/>
  <c r="F135" i="5"/>
  <c r="A135" i="5"/>
  <c r="O134" i="5"/>
  <c r="J134" i="5"/>
  <c r="G134" i="5"/>
  <c r="H134" i="5" s="1"/>
  <c r="L134" i="5" s="1"/>
  <c r="F134" i="5"/>
  <c r="A134" i="5"/>
  <c r="O133" i="5"/>
  <c r="J133" i="5"/>
  <c r="G133" i="5"/>
  <c r="M133" i="5" s="1"/>
  <c r="F133" i="5"/>
  <c r="A133" i="5"/>
  <c r="O132" i="5"/>
  <c r="J132" i="5"/>
  <c r="G132" i="5"/>
  <c r="R132" i="5" s="1"/>
  <c r="F132" i="5"/>
  <c r="A132" i="5"/>
  <c r="O131" i="5"/>
  <c r="J131" i="5"/>
  <c r="G131" i="5"/>
  <c r="R131" i="5" s="1"/>
  <c r="F131" i="5"/>
  <c r="A131" i="5"/>
  <c r="O130" i="5"/>
  <c r="J130" i="5"/>
  <c r="G130" i="5"/>
  <c r="F130" i="5"/>
  <c r="A130" i="5"/>
  <c r="O129" i="5"/>
  <c r="J129" i="5"/>
  <c r="G129" i="5"/>
  <c r="F129" i="5"/>
  <c r="A129" i="5"/>
  <c r="O128" i="5"/>
  <c r="J128" i="5"/>
  <c r="G128" i="5"/>
  <c r="F128" i="5"/>
  <c r="A128" i="5"/>
  <c r="O127" i="5"/>
  <c r="J127" i="5"/>
  <c r="G127" i="5"/>
  <c r="R127" i="5" s="1"/>
  <c r="F127" i="5"/>
  <c r="A127" i="5"/>
  <c r="O126" i="5"/>
  <c r="J126" i="5"/>
  <c r="G126" i="5"/>
  <c r="F126" i="5"/>
  <c r="A126" i="5"/>
  <c r="O125" i="5"/>
  <c r="J125" i="5"/>
  <c r="G125" i="5"/>
  <c r="M125" i="5" s="1"/>
  <c r="F125" i="5"/>
  <c r="A125" i="5"/>
  <c r="O124" i="5"/>
  <c r="J124" i="5"/>
  <c r="G124" i="5"/>
  <c r="R124" i="5" s="1"/>
  <c r="F124" i="5"/>
  <c r="A124" i="5"/>
  <c r="O123" i="5"/>
  <c r="J123" i="5"/>
  <c r="G123" i="5"/>
  <c r="R123" i="5" s="1"/>
  <c r="F123" i="5"/>
  <c r="A123" i="5"/>
  <c r="O122" i="5"/>
  <c r="J122" i="5"/>
  <c r="G122" i="5"/>
  <c r="F122" i="5"/>
  <c r="A122" i="5"/>
  <c r="O121" i="5"/>
  <c r="J121" i="5"/>
  <c r="G121" i="5"/>
  <c r="M121" i="5" s="1"/>
  <c r="F121" i="5"/>
  <c r="A121" i="5"/>
  <c r="O120" i="5"/>
  <c r="J120" i="5"/>
  <c r="H120" i="5"/>
  <c r="B120" i="5" s="1"/>
  <c r="G120" i="5"/>
  <c r="R120" i="5" s="1"/>
  <c r="F120" i="5"/>
  <c r="A120" i="5"/>
  <c r="O119" i="5"/>
  <c r="J119" i="5"/>
  <c r="G119" i="5"/>
  <c r="R119" i="5" s="1"/>
  <c r="F119" i="5"/>
  <c r="A119" i="5"/>
  <c r="O118" i="5"/>
  <c r="J118" i="5"/>
  <c r="G118" i="5"/>
  <c r="F118" i="5"/>
  <c r="A118" i="5"/>
  <c r="O117" i="5"/>
  <c r="J117" i="5"/>
  <c r="G117" i="5"/>
  <c r="M117" i="5" s="1"/>
  <c r="F117" i="5"/>
  <c r="A117" i="5"/>
  <c r="O116" i="5"/>
  <c r="J116" i="5"/>
  <c r="G116" i="5"/>
  <c r="R116" i="5" s="1"/>
  <c r="F116" i="5"/>
  <c r="A116" i="5"/>
  <c r="O115" i="5"/>
  <c r="J115" i="5"/>
  <c r="G115" i="5"/>
  <c r="R115" i="5" s="1"/>
  <c r="F115" i="5"/>
  <c r="A115" i="5"/>
  <c r="O114" i="5"/>
  <c r="J114" i="5"/>
  <c r="G114" i="5"/>
  <c r="F114" i="5"/>
  <c r="A114" i="5"/>
  <c r="O113" i="5"/>
  <c r="J113" i="5"/>
  <c r="G113" i="5"/>
  <c r="F113" i="5"/>
  <c r="A113" i="5"/>
  <c r="O112" i="5"/>
  <c r="M112" i="5"/>
  <c r="J112" i="5"/>
  <c r="G112" i="5"/>
  <c r="F112" i="5"/>
  <c r="A112" i="5"/>
  <c r="O111" i="5"/>
  <c r="J111" i="5"/>
  <c r="G111" i="5"/>
  <c r="R111" i="5" s="1"/>
  <c r="F111" i="5"/>
  <c r="A111" i="5"/>
  <c r="O110" i="5"/>
  <c r="J110" i="5"/>
  <c r="G110" i="5"/>
  <c r="F110" i="5"/>
  <c r="A110" i="5"/>
  <c r="O109" i="5"/>
  <c r="J109" i="5"/>
  <c r="G109" i="5"/>
  <c r="M109" i="5" s="1"/>
  <c r="F109" i="5"/>
  <c r="A109" i="5"/>
  <c r="O108" i="5"/>
  <c r="J108" i="5"/>
  <c r="G108" i="5"/>
  <c r="M108" i="5" s="1"/>
  <c r="F108" i="5"/>
  <c r="A108" i="5"/>
  <c r="O107" i="5"/>
  <c r="J107" i="5"/>
  <c r="G107" i="5"/>
  <c r="F107" i="5"/>
  <c r="A107" i="5"/>
  <c r="O106" i="5"/>
  <c r="J106" i="5"/>
  <c r="G106" i="5"/>
  <c r="M106" i="5" s="1"/>
  <c r="F106" i="5"/>
  <c r="A106" i="5"/>
  <c r="O105" i="5"/>
  <c r="J105" i="5"/>
  <c r="G105" i="5"/>
  <c r="M105" i="5" s="1"/>
  <c r="F105" i="5"/>
  <c r="A105" i="5"/>
  <c r="O104" i="5"/>
  <c r="J104" i="5"/>
  <c r="G104" i="5"/>
  <c r="M104" i="5" s="1"/>
  <c r="F104" i="5"/>
  <c r="A104" i="5"/>
  <c r="O103" i="5"/>
  <c r="J103" i="5"/>
  <c r="G103" i="5"/>
  <c r="F103" i="5"/>
  <c r="A103" i="5"/>
  <c r="O102" i="5"/>
  <c r="J102" i="5"/>
  <c r="G102" i="5"/>
  <c r="M102" i="5" s="1"/>
  <c r="F102" i="5"/>
  <c r="A102" i="5"/>
  <c r="O101" i="5"/>
  <c r="J101" i="5"/>
  <c r="G101" i="5"/>
  <c r="M101" i="5" s="1"/>
  <c r="F101" i="5"/>
  <c r="A101" i="5"/>
  <c r="O100" i="5"/>
  <c r="J100" i="5"/>
  <c r="G100" i="5"/>
  <c r="F100" i="5"/>
  <c r="A100" i="5"/>
  <c r="O99" i="5"/>
  <c r="J99" i="5"/>
  <c r="G99" i="5"/>
  <c r="F99" i="5"/>
  <c r="A99" i="5"/>
  <c r="O98" i="5"/>
  <c r="J98" i="5"/>
  <c r="G98" i="5"/>
  <c r="M98" i="5" s="1"/>
  <c r="F98" i="5"/>
  <c r="A98" i="5"/>
  <c r="O97" i="5"/>
  <c r="J97" i="5"/>
  <c r="G97" i="5"/>
  <c r="M97" i="5" s="1"/>
  <c r="F97" i="5"/>
  <c r="A97" i="5"/>
  <c r="O96" i="5"/>
  <c r="J96" i="5"/>
  <c r="G96" i="5"/>
  <c r="M96" i="5" s="1"/>
  <c r="F96" i="5"/>
  <c r="A96" i="5"/>
  <c r="O95" i="5"/>
  <c r="J95" i="5"/>
  <c r="G95" i="5"/>
  <c r="F95" i="5"/>
  <c r="A95" i="5"/>
  <c r="O94" i="5"/>
  <c r="J94" i="5"/>
  <c r="G94" i="5"/>
  <c r="R94" i="5" s="1"/>
  <c r="F94" i="5"/>
  <c r="A94" i="5"/>
  <c r="O93" i="5"/>
  <c r="J93" i="5"/>
  <c r="G93" i="5"/>
  <c r="M93" i="5" s="1"/>
  <c r="F93" i="5"/>
  <c r="A93" i="5"/>
  <c r="O92" i="5"/>
  <c r="J92" i="5"/>
  <c r="G92" i="5"/>
  <c r="M92" i="5" s="1"/>
  <c r="F92" i="5"/>
  <c r="A92" i="5"/>
  <c r="O91" i="5"/>
  <c r="J91" i="5"/>
  <c r="G91" i="5"/>
  <c r="F91" i="5"/>
  <c r="A91" i="5"/>
  <c r="O90" i="5"/>
  <c r="J90" i="5"/>
  <c r="G90" i="5"/>
  <c r="M90" i="5" s="1"/>
  <c r="F90" i="5"/>
  <c r="A90" i="5"/>
  <c r="O89" i="5"/>
  <c r="J89" i="5"/>
  <c r="G89" i="5"/>
  <c r="M89" i="5" s="1"/>
  <c r="F89" i="5"/>
  <c r="A89" i="5"/>
  <c r="R88" i="5"/>
  <c r="O88" i="5"/>
  <c r="J88" i="5"/>
  <c r="G88" i="5"/>
  <c r="M88" i="5" s="1"/>
  <c r="F88" i="5"/>
  <c r="H88" i="5" s="1"/>
  <c r="L88" i="5" s="1"/>
  <c r="A88" i="5"/>
  <c r="O87" i="5"/>
  <c r="J87" i="5"/>
  <c r="G87" i="5"/>
  <c r="H87" i="5" s="1"/>
  <c r="L87" i="5" s="1"/>
  <c r="F87" i="5"/>
  <c r="A87" i="5"/>
  <c r="O86" i="5"/>
  <c r="J86" i="5"/>
  <c r="G86" i="5"/>
  <c r="R86" i="5" s="1"/>
  <c r="F86" i="5"/>
  <c r="A86" i="5"/>
  <c r="O85" i="5"/>
  <c r="J85" i="5"/>
  <c r="G85" i="5"/>
  <c r="M85" i="5" s="1"/>
  <c r="F85" i="5"/>
  <c r="A85" i="5"/>
  <c r="O84" i="5"/>
  <c r="J84" i="5"/>
  <c r="G84" i="5"/>
  <c r="M84" i="5" s="1"/>
  <c r="F84" i="5"/>
  <c r="A84" i="5"/>
  <c r="O83" i="5"/>
  <c r="J83" i="5"/>
  <c r="G83" i="5"/>
  <c r="F83" i="5"/>
  <c r="A83" i="5"/>
  <c r="O82" i="5"/>
  <c r="J82" i="5"/>
  <c r="G82" i="5"/>
  <c r="M82" i="5" s="1"/>
  <c r="F82" i="5"/>
  <c r="A82" i="5"/>
  <c r="O81" i="5"/>
  <c r="J81" i="5"/>
  <c r="G81" i="5"/>
  <c r="F81" i="5"/>
  <c r="A81" i="5"/>
  <c r="O80" i="5"/>
  <c r="J80" i="5"/>
  <c r="G80" i="5"/>
  <c r="F80" i="5"/>
  <c r="A80" i="5"/>
  <c r="O79" i="5"/>
  <c r="J79" i="5"/>
  <c r="G79" i="5"/>
  <c r="F79" i="5"/>
  <c r="A79" i="5"/>
  <c r="O78" i="5"/>
  <c r="J78" i="5"/>
  <c r="G78" i="5"/>
  <c r="F78" i="5"/>
  <c r="A78" i="5"/>
  <c r="O77" i="5"/>
  <c r="J77" i="5"/>
  <c r="G77" i="5"/>
  <c r="M77" i="5" s="1"/>
  <c r="F77" i="5"/>
  <c r="A77" i="5"/>
  <c r="O76" i="5"/>
  <c r="J76" i="5"/>
  <c r="G76" i="5"/>
  <c r="M76" i="5" s="1"/>
  <c r="F76" i="5"/>
  <c r="A76" i="5"/>
  <c r="O75" i="5"/>
  <c r="J75" i="5"/>
  <c r="G75" i="5"/>
  <c r="F75" i="5"/>
  <c r="A75" i="5"/>
  <c r="O74" i="5"/>
  <c r="J74" i="5"/>
  <c r="G74" i="5"/>
  <c r="M74" i="5" s="1"/>
  <c r="F74" i="5"/>
  <c r="A74" i="5"/>
  <c r="O73" i="5"/>
  <c r="J73" i="5"/>
  <c r="G73" i="5"/>
  <c r="M73" i="5" s="1"/>
  <c r="F73" i="5"/>
  <c r="A73" i="5"/>
  <c r="O72" i="5"/>
  <c r="J72" i="5"/>
  <c r="G72" i="5"/>
  <c r="M72" i="5" s="1"/>
  <c r="F72" i="5"/>
  <c r="A72" i="5"/>
  <c r="O71" i="5"/>
  <c r="J71" i="5"/>
  <c r="G71" i="5"/>
  <c r="F71" i="5"/>
  <c r="A71" i="5"/>
  <c r="O70" i="5"/>
  <c r="J70" i="5"/>
  <c r="G70" i="5"/>
  <c r="R70" i="5" s="1"/>
  <c r="F70" i="5"/>
  <c r="A70" i="5"/>
  <c r="O69" i="5"/>
  <c r="J69" i="5"/>
  <c r="G69" i="5"/>
  <c r="M69" i="5" s="1"/>
  <c r="F69" i="5"/>
  <c r="A69" i="5"/>
  <c r="O68" i="5"/>
  <c r="J68" i="5"/>
  <c r="G68" i="5"/>
  <c r="M68" i="5" s="1"/>
  <c r="F68" i="5"/>
  <c r="A68" i="5"/>
  <c r="O67" i="5"/>
  <c r="J67" i="5"/>
  <c r="G67" i="5"/>
  <c r="F67" i="5"/>
  <c r="A67" i="5"/>
  <c r="O66" i="5"/>
  <c r="J66" i="5"/>
  <c r="G66" i="5"/>
  <c r="M66" i="5" s="1"/>
  <c r="F66" i="5"/>
  <c r="H66" i="5" s="1"/>
  <c r="A66" i="5"/>
  <c r="O65" i="5"/>
  <c r="J65" i="5"/>
  <c r="G65" i="5"/>
  <c r="F65" i="5"/>
  <c r="A65" i="5"/>
  <c r="O64" i="5"/>
  <c r="J64" i="5"/>
  <c r="G64" i="5"/>
  <c r="F64" i="5"/>
  <c r="A64" i="5"/>
  <c r="O63" i="5"/>
  <c r="J63" i="5"/>
  <c r="G63" i="5"/>
  <c r="F63" i="5"/>
  <c r="A63" i="5"/>
  <c r="O62" i="5"/>
  <c r="J62" i="5"/>
  <c r="G62" i="5"/>
  <c r="R62" i="5" s="1"/>
  <c r="F62" i="5"/>
  <c r="A62" i="5"/>
  <c r="O61" i="5"/>
  <c r="J61" i="5"/>
  <c r="G61" i="5"/>
  <c r="M61" i="5" s="1"/>
  <c r="F61" i="5"/>
  <c r="A61" i="5"/>
  <c r="O60" i="5"/>
  <c r="J60" i="5"/>
  <c r="G60" i="5"/>
  <c r="M60" i="5" s="1"/>
  <c r="F60" i="5"/>
  <c r="A60" i="5"/>
  <c r="O59" i="5"/>
  <c r="J59" i="5"/>
  <c r="G59" i="5"/>
  <c r="F59" i="5"/>
  <c r="A59" i="5"/>
  <c r="O58" i="5"/>
  <c r="J58" i="5"/>
  <c r="G58" i="5"/>
  <c r="M58" i="5" s="1"/>
  <c r="F58" i="5"/>
  <c r="A58" i="5"/>
  <c r="O57" i="5"/>
  <c r="J57" i="5"/>
  <c r="G57" i="5"/>
  <c r="F57" i="5"/>
  <c r="A57" i="5"/>
  <c r="O56" i="5"/>
  <c r="J56" i="5"/>
  <c r="G56" i="5"/>
  <c r="M56" i="5" s="1"/>
  <c r="F56" i="5"/>
  <c r="A56" i="5"/>
  <c r="O55" i="5"/>
  <c r="J55" i="5"/>
  <c r="G55" i="5"/>
  <c r="F55" i="5"/>
  <c r="A55" i="5"/>
  <c r="O54" i="5"/>
  <c r="J54" i="5"/>
  <c r="G54" i="5"/>
  <c r="M54" i="5" s="1"/>
  <c r="F54" i="5"/>
  <c r="H54" i="5" s="1"/>
  <c r="A54" i="5"/>
  <c r="O53" i="5"/>
  <c r="J53" i="5"/>
  <c r="G53" i="5"/>
  <c r="F53" i="5"/>
  <c r="A53" i="5"/>
  <c r="O52" i="5"/>
  <c r="J52" i="5"/>
  <c r="G52" i="5"/>
  <c r="M52" i="5" s="1"/>
  <c r="F52" i="5"/>
  <c r="A52" i="5"/>
  <c r="O51" i="5"/>
  <c r="J51" i="5"/>
  <c r="G51" i="5"/>
  <c r="F51" i="5"/>
  <c r="A51" i="5"/>
  <c r="O50" i="5"/>
  <c r="J50" i="5"/>
  <c r="G50" i="5"/>
  <c r="M50" i="5" s="1"/>
  <c r="F50" i="5"/>
  <c r="A50" i="5"/>
  <c r="O49" i="5"/>
  <c r="J49" i="5"/>
  <c r="G49" i="5"/>
  <c r="F49" i="5"/>
  <c r="A49" i="5"/>
  <c r="O48" i="5"/>
  <c r="J48" i="5"/>
  <c r="G48" i="5"/>
  <c r="M48" i="5" s="1"/>
  <c r="F48" i="5"/>
  <c r="A48" i="5"/>
  <c r="O47" i="5"/>
  <c r="J47" i="5"/>
  <c r="G47" i="5"/>
  <c r="F47" i="5"/>
  <c r="A47" i="5"/>
  <c r="O46" i="5"/>
  <c r="J46" i="5"/>
  <c r="G46" i="5"/>
  <c r="M46" i="5" s="1"/>
  <c r="F46" i="5"/>
  <c r="A46" i="5"/>
  <c r="O45" i="5"/>
  <c r="J45" i="5"/>
  <c r="G45" i="5"/>
  <c r="F45" i="5"/>
  <c r="A45" i="5"/>
  <c r="O44" i="5"/>
  <c r="J44" i="5"/>
  <c r="G44" i="5"/>
  <c r="M44" i="5" s="1"/>
  <c r="F44" i="5"/>
  <c r="A44" i="5"/>
  <c r="O43" i="5"/>
  <c r="J43" i="5"/>
  <c r="G43" i="5"/>
  <c r="F43" i="5"/>
  <c r="A43" i="5"/>
  <c r="O42" i="5"/>
  <c r="J42" i="5"/>
  <c r="G42" i="5"/>
  <c r="M42" i="5" s="1"/>
  <c r="F42" i="5"/>
  <c r="A42" i="5"/>
  <c r="O41" i="5"/>
  <c r="J41" i="5"/>
  <c r="G41" i="5"/>
  <c r="F41" i="5"/>
  <c r="A41" i="5"/>
  <c r="O40" i="5"/>
  <c r="J40" i="5"/>
  <c r="G40" i="5"/>
  <c r="M40" i="5" s="1"/>
  <c r="F40" i="5"/>
  <c r="A40" i="5"/>
  <c r="O39" i="5"/>
  <c r="J39" i="5"/>
  <c r="G39" i="5"/>
  <c r="F39" i="5"/>
  <c r="A39" i="5"/>
  <c r="O38" i="5"/>
  <c r="J38" i="5"/>
  <c r="G38" i="5"/>
  <c r="M38" i="5" s="1"/>
  <c r="F38" i="5"/>
  <c r="H38" i="5" s="1"/>
  <c r="A38" i="5"/>
  <c r="O37" i="5"/>
  <c r="J37" i="5"/>
  <c r="G37" i="5"/>
  <c r="F37" i="5"/>
  <c r="A37" i="5"/>
  <c r="O36" i="5"/>
  <c r="J36" i="5"/>
  <c r="G36" i="5"/>
  <c r="M36" i="5" s="1"/>
  <c r="F36" i="5"/>
  <c r="A36" i="5"/>
  <c r="O35" i="5"/>
  <c r="J35" i="5"/>
  <c r="G35" i="5"/>
  <c r="F35" i="5"/>
  <c r="A35" i="5"/>
  <c r="O34" i="5"/>
  <c r="J34" i="5"/>
  <c r="G34" i="5"/>
  <c r="M34" i="5" s="1"/>
  <c r="F34" i="5"/>
  <c r="A34" i="5"/>
  <c r="O33" i="5"/>
  <c r="J33" i="5"/>
  <c r="G33" i="5"/>
  <c r="F33" i="5"/>
  <c r="A33" i="5"/>
  <c r="O32" i="5"/>
  <c r="J32" i="5"/>
  <c r="G32" i="5"/>
  <c r="M32" i="5" s="1"/>
  <c r="F32" i="5"/>
  <c r="A32" i="5"/>
  <c r="O31" i="5"/>
  <c r="J31" i="5"/>
  <c r="G31" i="5"/>
  <c r="F31" i="5"/>
  <c r="A31" i="5"/>
  <c r="O30" i="5"/>
  <c r="J30" i="5"/>
  <c r="G30" i="5"/>
  <c r="M30" i="5" s="1"/>
  <c r="F30" i="5"/>
  <c r="A30" i="5"/>
  <c r="O29" i="5"/>
  <c r="J29" i="5"/>
  <c r="G29" i="5"/>
  <c r="F29" i="5"/>
  <c r="A29" i="5"/>
  <c r="O28" i="5"/>
  <c r="J28" i="5"/>
  <c r="G28" i="5"/>
  <c r="M28" i="5" s="1"/>
  <c r="F28" i="5"/>
  <c r="A28" i="5"/>
  <c r="O27" i="5"/>
  <c r="J27" i="5"/>
  <c r="G27" i="5"/>
  <c r="F27" i="5"/>
  <c r="A27" i="5"/>
  <c r="O26" i="5"/>
  <c r="J26" i="5"/>
  <c r="G26" i="5"/>
  <c r="M26" i="5" s="1"/>
  <c r="F26" i="5"/>
  <c r="A26" i="5"/>
  <c r="O25" i="5"/>
  <c r="J25" i="5"/>
  <c r="G25" i="5"/>
  <c r="F25" i="5"/>
  <c r="A25" i="5"/>
  <c r="O24" i="5"/>
  <c r="J24" i="5"/>
  <c r="G24" i="5"/>
  <c r="M24" i="5" s="1"/>
  <c r="F24" i="5"/>
  <c r="A24" i="5"/>
  <c r="O23" i="5"/>
  <c r="J23" i="5"/>
  <c r="G23" i="5"/>
  <c r="F23" i="5"/>
  <c r="A23" i="5"/>
  <c r="O22" i="5"/>
  <c r="J22" i="5"/>
  <c r="G22" i="5"/>
  <c r="M22" i="5" s="1"/>
  <c r="F22" i="5"/>
  <c r="A22" i="5"/>
  <c r="O21" i="5"/>
  <c r="J21" i="5"/>
  <c r="G21" i="5"/>
  <c r="F21" i="5"/>
  <c r="A21" i="5"/>
  <c r="O20" i="5"/>
  <c r="J20" i="5"/>
  <c r="G20" i="5"/>
  <c r="M20" i="5" s="1"/>
  <c r="F20" i="5"/>
  <c r="A20" i="5"/>
  <c r="O19" i="5"/>
  <c r="J19" i="5"/>
  <c r="G19" i="5"/>
  <c r="F19" i="5"/>
  <c r="A19" i="5"/>
  <c r="O18" i="5"/>
  <c r="J18" i="5"/>
  <c r="G18" i="5"/>
  <c r="M18" i="5" s="1"/>
  <c r="F18" i="5"/>
  <c r="A18" i="5"/>
  <c r="O17" i="5"/>
  <c r="J17" i="5"/>
  <c r="G17" i="5"/>
  <c r="F17" i="5"/>
  <c r="A17" i="5"/>
  <c r="O16" i="5"/>
  <c r="J16" i="5"/>
  <c r="G16" i="5"/>
  <c r="M16" i="5" s="1"/>
  <c r="F16" i="5"/>
  <c r="A16" i="5"/>
  <c r="O15" i="5"/>
  <c r="J15" i="5"/>
  <c r="G15" i="5"/>
  <c r="F15" i="5"/>
  <c r="A15" i="5"/>
  <c r="O14" i="5"/>
  <c r="J14" i="5"/>
  <c r="H14" i="5"/>
  <c r="G14" i="5"/>
  <c r="F14" i="5"/>
  <c r="A14" i="5"/>
  <c r="O13" i="5"/>
  <c r="J13" i="5"/>
  <c r="G13" i="5"/>
  <c r="F13" i="5"/>
  <c r="A13" i="5"/>
  <c r="O12" i="5"/>
  <c r="J12" i="5"/>
  <c r="G12" i="5"/>
  <c r="M12" i="5" s="1"/>
  <c r="F12" i="5"/>
  <c r="A12" i="5"/>
  <c r="O11" i="5"/>
  <c r="J11" i="5"/>
  <c r="G11" i="5"/>
  <c r="F11" i="5"/>
  <c r="A11" i="5"/>
  <c r="O10" i="5"/>
  <c r="J10" i="5"/>
  <c r="G10" i="5"/>
  <c r="M10" i="5" s="1"/>
  <c r="F10" i="5"/>
  <c r="A10" i="5"/>
  <c r="O9" i="5"/>
  <c r="J9" i="5"/>
  <c r="G9" i="5"/>
  <c r="M9" i="5" s="1"/>
  <c r="F9" i="5"/>
  <c r="A9" i="5"/>
  <c r="O8" i="5"/>
  <c r="J8" i="5"/>
  <c r="G8" i="5"/>
  <c r="M8" i="5" s="1"/>
  <c r="F8" i="5"/>
  <c r="A8" i="5"/>
  <c r="O7" i="5"/>
  <c r="J7" i="5"/>
  <c r="G7" i="5"/>
  <c r="H7" i="5" s="1"/>
  <c r="F7" i="5"/>
  <c r="A7" i="5"/>
  <c r="O6" i="5"/>
  <c r="J6" i="5"/>
  <c r="G6" i="5"/>
  <c r="R6" i="5" s="1"/>
  <c r="F6" i="5"/>
  <c r="A6" i="5"/>
  <c r="O5" i="5"/>
  <c r="J5" i="5"/>
  <c r="G5" i="5"/>
  <c r="M5" i="5" s="1"/>
  <c r="F5" i="5"/>
  <c r="A5" i="5"/>
  <c r="O4" i="5"/>
  <c r="J4" i="5"/>
  <c r="G4" i="5"/>
  <c r="M4" i="5" s="1"/>
  <c r="F4" i="5"/>
  <c r="A4" i="5"/>
  <c r="J252" i="4"/>
  <c r="G252" i="4"/>
  <c r="M252" i="4" s="1"/>
  <c r="F252" i="4"/>
  <c r="A252" i="4"/>
  <c r="J251" i="4"/>
  <c r="H251" i="4"/>
  <c r="L251" i="4" s="1"/>
  <c r="G251" i="4"/>
  <c r="M251" i="4" s="1"/>
  <c r="F251" i="4"/>
  <c r="A251" i="4"/>
  <c r="J250" i="4"/>
  <c r="G250" i="4"/>
  <c r="M250" i="4" s="1"/>
  <c r="F250" i="4"/>
  <c r="A250" i="4"/>
  <c r="J249" i="4"/>
  <c r="G249" i="4"/>
  <c r="M249" i="4" s="1"/>
  <c r="F249" i="4"/>
  <c r="A249" i="4"/>
  <c r="J248" i="4"/>
  <c r="G248" i="4"/>
  <c r="M248" i="4" s="1"/>
  <c r="F248" i="4"/>
  <c r="A248" i="4"/>
  <c r="J247" i="4"/>
  <c r="H247" i="4"/>
  <c r="L247" i="4" s="1"/>
  <c r="G247" i="4"/>
  <c r="M247" i="4" s="1"/>
  <c r="F247" i="4"/>
  <c r="A247" i="4"/>
  <c r="J246" i="4"/>
  <c r="G246" i="4"/>
  <c r="M246" i="4" s="1"/>
  <c r="F246" i="4"/>
  <c r="A246" i="4"/>
  <c r="J245" i="4"/>
  <c r="G245" i="4"/>
  <c r="M245" i="4" s="1"/>
  <c r="F245" i="4"/>
  <c r="A245" i="4"/>
  <c r="J244" i="4"/>
  <c r="G244" i="4"/>
  <c r="M244" i="4" s="1"/>
  <c r="F244" i="4"/>
  <c r="A244" i="4"/>
  <c r="J243" i="4"/>
  <c r="H243" i="4"/>
  <c r="L243" i="4" s="1"/>
  <c r="G243" i="4"/>
  <c r="M243" i="4" s="1"/>
  <c r="F243" i="4"/>
  <c r="A243" i="4"/>
  <c r="J242" i="4"/>
  <c r="G242" i="4"/>
  <c r="M242" i="4" s="1"/>
  <c r="F242" i="4"/>
  <c r="A242" i="4"/>
  <c r="J241" i="4"/>
  <c r="G241" i="4"/>
  <c r="M241" i="4" s="1"/>
  <c r="F241" i="4"/>
  <c r="A241" i="4"/>
  <c r="J240" i="4"/>
  <c r="G240" i="4"/>
  <c r="M240" i="4" s="1"/>
  <c r="F240" i="4"/>
  <c r="A240" i="4"/>
  <c r="J239" i="4"/>
  <c r="H239" i="4"/>
  <c r="L239" i="4" s="1"/>
  <c r="G239" i="4"/>
  <c r="M239" i="4" s="1"/>
  <c r="F239" i="4"/>
  <c r="A239" i="4"/>
  <c r="J238" i="4"/>
  <c r="G238" i="4"/>
  <c r="M238" i="4" s="1"/>
  <c r="F238" i="4"/>
  <c r="A238" i="4"/>
  <c r="J237" i="4"/>
  <c r="G237" i="4"/>
  <c r="M237" i="4" s="1"/>
  <c r="F237" i="4"/>
  <c r="A237" i="4"/>
  <c r="J236" i="4"/>
  <c r="G236" i="4"/>
  <c r="M236" i="4" s="1"/>
  <c r="F236" i="4"/>
  <c r="A236" i="4"/>
  <c r="J235" i="4"/>
  <c r="H235" i="4"/>
  <c r="L235" i="4" s="1"/>
  <c r="G235" i="4"/>
  <c r="M235" i="4" s="1"/>
  <c r="F235" i="4"/>
  <c r="A235" i="4"/>
  <c r="J234" i="4"/>
  <c r="G234" i="4"/>
  <c r="M234" i="4" s="1"/>
  <c r="F234" i="4"/>
  <c r="H234" i="4" s="1"/>
  <c r="L234" i="4" s="1"/>
  <c r="A234" i="4"/>
  <c r="J233" i="4"/>
  <c r="G233" i="4"/>
  <c r="M233" i="4" s="1"/>
  <c r="F233" i="4"/>
  <c r="A233" i="4"/>
  <c r="J232" i="4"/>
  <c r="G232" i="4"/>
  <c r="M232" i="4" s="1"/>
  <c r="F232" i="4"/>
  <c r="A232" i="4"/>
  <c r="J231" i="4"/>
  <c r="H231" i="4"/>
  <c r="L231" i="4" s="1"/>
  <c r="G231" i="4"/>
  <c r="M231" i="4" s="1"/>
  <c r="F231" i="4"/>
  <c r="A231" i="4"/>
  <c r="J230" i="4"/>
  <c r="G230" i="4"/>
  <c r="M230" i="4" s="1"/>
  <c r="F230" i="4"/>
  <c r="H230" i="4" s="1"/>
  <c r="L230" i="4" s="1"/>
  <c r="A230" i="4"/>
  <c r="J229" i="4"/>
  <c r="G229" i="4"/>
  <c r="M229" i="4" s="1"/>
  <c r="F229" i="4"/>
  <c r="A229" i="4"/>
  <c r="J228" i="4"/>
  <c r="G228" i="4"/>
  <c r="M228" i="4" s="1"/>
  <c r="F228" i="4"/>
  <c r="A228" i="4"/>
  <c r="J227" i="4"/>
  <c r="H227" i="4"/>
  <c r="L227" i="4" s="1"/>
  <c r="G227" i="4"/>
  <c r="M227" i="4" s="1"/>
  <c r="F227" i="4"/>
  <c r="A227" i="4"/>
  <c r="J226" i="4"/>
  <c r="G226" i="4"/>
  <c r="M226" i="4" s="1"/>
  <c r="F226" i="4"/>
  <c r="A226" i="4"/>
  <c r="J225" i="4"/>
  <c r="G225" i="4"/>
  <c r="M225" i="4" s="1"/>
  <c r="F225" i="4"/>
  <c r="A225" i="4"/>
  <c r="J224" i="4"/>
  <c r="G224" i="4"/>
  <c r="M224" i="4" s="1"/>
  <c r="F224" i="4"/>
  <c r="A224" i="4"/>
  <c r="J223" i="4"/>
  <c r="H223" i="4"/>
  <c r="L223" i="4" s="1"/>
  <c r="G223" i="4"/>
  <c r="M223" i="4" s="1"/>
  <c r="F223" i="4"/>
  <c r="A223" i="4"/>
  <c r="J222" i="4"/>
  <c r="G222" i="4"/>
  <c r="M222" i="4" s="1"/>
  <c r="F222" i="4"/>
  <c r="H222" i="4" s="1"/>
  <c r="L222" i="4" s="1"/>
  <c r="A222" i="4"/>
  <c r="J221" i="4"/>
  <c r="G221" i="4"/>
  <c r="M221" i="4" s="1"/>
  <c r="F221" i="4"/>
  <c r="A221" i="4"/>
  <c r="J220" i="4"/>
  <c r="G220" i="4"/>
  <c r="M220" i="4" s="1"/>
  <c r="F220" i="4"/>
  <c r="A220" i="4"/>
  <c r="J219" i="4"/>
  <c r="H219" i="4"/>
  <c r="L219" i="4" s="1"/>
  <c r="G219" i="4"/>
  <c r="M219" i="4" s="1"/>
  <c r="F219" i="4"/>
  <c r="A219" i="4"/>
  <c r="J218" i="4"/>
  <c r="G218" i="4"/>
  <c r="M218" i="4" s="1"/>
  <c r="F218" i="4"/>
  <c r="H218" i="4" s="1"/>
  <c r="L218" i="4" s="1"/>
  <c r="A218" i="4"/>
  <c r="J217" i="4"/>
  <c r="G217" i="4"/>
  <c r="M217" i="4" s="1"/>
  <c r="F217" i="4"/>
  <c r="A217" i="4"/>
  <c r="J216" i="4"/>
  <c r="G216" i="4"/>
  <c r="M216" i="4" s="1"/>
  <c r="F216" i="4"/>
  <c r="A216" i="4"/>
  <c r="J215" i="4"/>
  <c r="H215" i="4"/>
  <c r="L215" i="4" s="1"/>
  <c r="G215" i="4"/>
  <c r="M215" i="4" s="1"/>
  <c r="F215" i="4"/>
  <c r="A215" i="4"/>
  <c r="J214" i="4"/>
  <c r="G214" i="4"/>
  <c r="M214" i="4" s="1"/>
  <c r="F214" i="4"/>
  <c r="H214" i="4" s="1"/>
  <c r="L214" i="4" s="1"/>
  <c r="A214" i="4"/>
  <c r="J213" i="4"/>
  <c r="G213" i="4"/>
  <c r="M213" i="4" s="1"/>
  <c r="F213" i="4"/>
  <c r="A213" i="4"/>
  <c r="J212" i="4"/>
  <c r="G212" i="4"/>
  <c r="M212" i="4" s="1"/>
  <c r="F212" i="4"/>
  <c r="A212" i="4"/>
  <c r="J211" i="4"/>
  <c r="H211" i="4"/>
  <c r="L211" i="4" s="1"/>
  <c r="G211" i="4"/>
  <c r="M211" i="4" s="1"/>
  <c r="F211" i="4"/>
  <c r="A211" i="4"/>
  <c r="J210" i="4"/>
  <c r="G210" i="4"/>
  <c r="M210" i="4" s="1"/>
  <c r="F210" i="4"/>
  <c r="H210" i="4" s="1"/>
  <c r="L210" i="4" s="1"/>
  <c r="A210" i="4"/>
  <c r="J209" i="4"/>
  <c r="G209" i="4"/>
  <c r="M209" i="4" s="1"/>
  <c r="F209" i="4"/>
  <c r="A209" i="4"/>
  <c r="J208" i="4"/>
  <c r="G208" i="4"/>
  <c r="M208" i="4" s="1"/>
  <c r="F208" i="4"/>
  <c r="A208" i="4"/>
  <c r="J207" i="4"/>
  <c r="H207" i="4"/>
  <c r="L207" i="4" s="1"/>
  <c r="G207" i="4"/>
  <c r="M207" i="4" s="1"/>
  <c r="F207" i="4"/>
  <c r="A207" i="4"/>
  <c r="J206" i="4"/>
  <c r="G206" i="4"/>
  <c r="M206" i="4" s="1"/>
  <c r="F206" i="4"/>
  <c r="H206" i="4" s="1"/>
  <c r="L206" i="4" s="1"/>
  <c r="A206" i="4"/>
  <c r="J205" i="4"/>
  <c r="G205" i="4"/>
  <c r="M205" i="4" s="1"/>
  <c r="F205" i="4"/>
  <c r="A205" i="4"/>
  <c r="J204" i="4"/>
  <c r="G204" i="4"/>
  <c r="M204" i="4" s="1"/>
  <c r="F204" i="4"/>
  <c r="A204" i="4"/>
  <c r="J203" i="4"/>
  <c r="H203" i="4"/>
  <c r="G203" i="4"/>
  <c r="M203" i="4" s="1"/>
  <c r="F203" i="4"/>
  <c r="A203" i="4"/>
  <c r="J202" i="4"/>
  <c r="G202" i="4"/>
  <c r="M202" i="4" s="1"/>
  <c r="F202" i="4"/>
  <c r="H202" i="4" s="1"/>
  <c r="A202" i="4"/>
  <c r="J201" i="4"/>
  <c r="G201" i="4"/>
  <c r="M201" i="4" s="1"/>
  <c r="F201" i="4"/>
  <c r="A201" i="4"/>
  <c r="J200" i="4"/>
  <c r="G200" i="4"/>
  <c r="M200" i="4" s="1"/>
  <c r="F200" i="4"/>
  <c r="A200" i="4"/>
  <c r="J199" i="4"/>
  <c r="H199" i="4"/>
  <c r="G199" i="4"/>
  <c r="M199" i="4" s="1"/>
  <c r="F199" i="4"/>
  <c r="A199" i="4"/>
  <c r="J198" i="4"/>
  <c r="G198" i="4"/>
  <c r="M198" i="4" s="1"/>
  <c r="F198" i="4"/>
  <c r="H198" i="4" s="1"/>
  <c r="A198" i="4"/>
  <c r="J197" i="4"/>
  <c r="G197" i="4"/>
  <c r="M197" i="4" s="1"/>
  <c r="F197" i="4"/>
  <c r="A197" i="4"/>
  <c r="J196" i="4"/>
  <c r="G196" i="4"/>
  <c r="M196" i="4" s="1"/>
  <c r="F196" i="4"/>
  <c r="A196" i="4"/>
  <c r="J195" i="4"/>
  <c r="H195" i="4"/>
  <c r="G195" i="4"/>
  <c r="M195" i="4" s="1"/>
  <c r="F195" i="4"/>
  <c r="A195" i="4"/>
  <c r="J194" i="4"/>
  <c r="G194" i="4"/>
  <c r="M194" i="4" s="1"/>
  <c r="F194" i="4"/>
  <c r="A194" i="4"/>
  <c r="J193" i="4"/>
  <c r="G193" i="4"/>
  <c r="M193" i="4" s="1"/>
  <c r="F193" i="4"/>
  <c r="A193" i="4"/>
  <c r="J192" i="4"/>
  <c r="G192" i="4"/>
  <c r="M192" i="4" s="1"/>
  <c r="F192" i="4"/>
  <c r="A192" i="4"/>
  <c r="J191" i="4"/>
  <c r="H191" i="4"/>
  <c r="G191" i="4"/>
  <c r="M191" i="4" s="1"/>
  <c r="F191" i="4"/>
  <c r="A191" i="4"/>
  <c r="J190" i="4"/>
  <c r="G190" i="4"/>
  <c r="M190" i="4" s="1"/>
  <c r="F190" i="4"/>
  <c r="A190" i="4"/>
  <c r="J189" i="4"/>
  <c r="G189" i="4"/>
  <c r="M189" i="4" s="1"/>
  <c r="F189" i="4"/>
  <c r="A189" i="4"/>
  <c r="J188" i="4"/>
  <c r="G188" i="4"/>
  <c r="M188" i="4" s="1"/>
  <c r="F188" i="4"/>
  <c r="A188" i="4"/>
  <c r="J187" i="4"/>
  <c r="H187" i="4"/>
  <c r="G187" i="4"/>
  <c r="M187" i="4" s="1"/>
  <c r="F187" i="4"/>
  <c r="A187" i="4"/>
  <c r="J186" i="4"/>
  <c r="G186" i="4"/>
  <c r="M186" i="4" s="1"/>
  <c r="F186" i="4"/>
  <c r="A186" i="4"/>
  <c r="J185" i="4"/>
  <c r="G185" i="4"/>
  <c r="M185" i="4" s="1"/>
  <c r="F185" i="4"/>
  <c r="A185" i="4"/>
  <c r="J184" i="4"/>
  <c r="G184" i="4"/>
  <c r="M184" i="4" s="1"/>
  <c r="F184" i="4"/>
  <c r="A184" i="4"/>
  <c r="J183" i="4"/>
  <c r="H183" i="4"/>
  <c r="G183" i="4"/>
  <c r="M183" i="4" s="1"/>
  <c r="F183" i="4"/>
  <c r="A183" i="4"/>
  <c r="J182" i="4"/>
  <c r="G182" i="4"/>
  <c r="M182" i="4" s="1"/>
  <c r="F182" i="4"/>
  <c r="H182" i="4" s="1"/>
  <c r="A182" i="4"/>
  <c r="J181" i="4"/>
  <c r="G181" i="4"/>
  <c r="M181" i="4" s="1"/>
  <c r="F181" i="4"/>
  <c r="A181" i="4"/>
  <c r="J180" i="4"/>
  <c r="G180" i="4"/>
  <c r="M180" i="4" s="1"/>
  <c r="F180" i="4"/>
  <c r="A180" i="4"/>
  <c r="J179" i="4"/>
  <c r="H179" i="4"/>
  <c r="G179" i="4"/>
  <c r="M179" i="4" s="1"/>
  <c r="F179" i="4"/>
  <c r="A179" i="4"/>
  <c r="J178" i="4"/>
  <c r="G178" i="4"/>
  <c r="M178" i="4" s="1"/>
  <c r="F178" i="4"/>
  <c r="H178" i="4" s="1"/>
  <c r="A178" i="4"/>
  <c r="J177" i="4"/>
  <c r="G177" i="4"/>
  <c r="M177" i="4" s="1"/>
  <c r="F177" i="4"/>
  <c r="A177" i="4"/>
  <c r="J176" i="4"/>
  <c r="G176" i="4"/>
  <c r="M176" i="4" s="1"/>
  <c r="F176" i="4"/>
  <c r="A176" i="4"/>
  <c r="J175" i="4"/>
  <c r="H175" i="4"/>
  <c r="G175" i="4"/>
  <c r="M175" i="4" s="1"/>
  <c r="F175" i="4"/>
  <c r="A175" i="4"/>
  <c r="J174" i="4"/>
  <c r="G174" i="4"/>
  <c r="M174" i="4" s="1"/>
  <c r="F174" i="4"/>
  <c r="H174" i="4" s="1"/>
  <c r="A174" i="4"/>
  <c r="J173" i="4"/>
  <c r="G173" i="4"/>
  <c r="M173" i="4" s="1"/>
  <c r="F173" i="4"/>
  <c r="A173" i="4"/>
  <c r="J172" i="4"/>
  <c r="G172" i="4"/>
  <c r="M172" i="4" s="1"/>
  <c r="F172" i="4"/>
  <c r="A172" i="4"/>
  <c r="J171" i="4"/>
  <c r="H171" i="4"/>
  <c r="G171" i="4"/>
  <c r="M171" i="4" s="1"/>
  <c r="F171" i="4"/>
  <c r="A171" i="4"/>
  <c r="J170" i="4"/>
  <c r="G170" i="4"/>
  <c r="M170" i="4" s="1"/>
  <c r="F170" i="4"/>
  <c r="A170" i="4"/>
  <c r="J169" i="4"/>
  <c r="G169" i="4"/>
  <c r="M169" i="4" s="1"/>
  <c r="F169" i="4"/>
  <c r="A169" i="4"/>
  <c r="J168" i="4"/>
  <c r="G168" i="4"/>
  <c r="M168" i="4" s="1"/>
  <c r="F168" i="4"/>
  <c r="A168" i="4"/>
  <c r="J167" i="4"/>
  <c r="H167" i="4"/>
  <c r="G167" i="4"/>
  <c r="M167" i="4" s="1"/>
  <c r="F167" i="4"/>
  <c r="A167" i="4"/>
  <c r="J166" i="4"/>
  <c r="G166" i="4"/>
  <c r="M166" i="4" s="1"/>
  <c r="F166" i="4"/>
  <c r="A166" i="4"/>
  <c r="J165" i="4"/>
  <c r="G165" i="4"/>
  <c r="M165" i="4" s="1"/>
  <c r="F165" i="4"/>
  <c r="A165" i="4"/>
  <c r="J164" i="4"/>
  <c r="G164" i="4"/>
  <c r="M164" i="4" s="1"/>
  <c r="F164" i="4"/>
  <c r="A164" i="4"/>
  <c r="J163" i="4"/>
  <c r="H163" i="4"/>
  <c r="G163" i="4"/>
  <c r="M163" i="4" s="1"/>
  <c r="F163" i="4"/>
  <c r="A163" i="4"/>
  <c r="J162" i="4"/>
  <c r="G162" i="4"/>
  <c r="M162" i="4" s="1"/>
  <c r="F162" i="4"/>
  <c r="H162" i="4" s="1"/>
  <c r="A162" i="4"/>
  <c r="J161" i="4"/>
  <c r="G161" i="4"/>
  <c r="M161" i="4" s="1"/>
  <c r="F161" i="4"/>
  <c r="A161" i="4"/>
  <c r="J160" i="4"/>
  <c r="G160" i="4"/>
  <c r="M160" i="4" s="1"/>
  <c r="F160" i="4"/>
  <c r="A160" i="4"/>
  <c r="J159" i="4"/>
  <c r="H159" i="4"/>
  <c r="G159" i="4"/>
  <c r="M159" i="4" s="1"/>
  <c r="F159" i="4"/>
  <c r="A159" i="4"/>
  <c r="J158" i="4"/>
  <c r="G158" i="4"/>
  <c r="M158" i="4" s="1"/>
  <c r="F158" i="4"/>
  <c r="A158" i="4"/>
  <c r="J157" i="4"/>
  <c r="G157" i="4"/>
  <c r="M157" i="4" s="1"/>
  <c r="F157" i="4"/>
  <c r="A157" i="4"/>
  <c r="J156" i="4"/>
  <c r="G156" i="4"/>
  <c r="M156" i="4" s="1"/>
  <c r="F156" i="4"/>
  <c r="A156" i="4"/>
  <c r="J155" i="4"/>
  <c r="H155" i="4"/>
  <c r="G155" i="4"/>
  <c r="M155" i="4" s="1"/>
  <c r="F155" i="4"/>
  <c r="A155" i="4"/>
  <c r="J154" i="4"/>
  <c r="G154" i="4"/>
  <c r="M154" i="4" s="1"/>
  <c r="F154" i="4"/>
  <c r="A154" i="4"/>
  <c r="J153" i="4"/>
  <c r="G153" i="4"/>
  <c r="M153" i="4" s="1"/>
  <c r="F153" i="4"/>
  <c r="A153" i="4"/>
  <c r="J152" i="4"/>
  <c r="G152" i="4"/>
  <c r="M152" i="4" s="1"/>
  <c r="F152" i="4"/>
  <c r="A152" i="4"/>
  <c r="J151" i="4"/>
  <c r="H151" i="4"/>
  <c r="G151" i="4"/>
  <c r="M151" i="4" s="1"/>
  <c r="F151" i="4"/>
  <c r="A151" i="4"/>
  <c r="J150" i="4"/>
  <c r="G150" i="4"/>
  <c r="M150" i="4" s="1"/>
  <c r="F150" i="4"/>
  <c r="H150" i="4" s="1"/>
  <c r="A150" i="4"/>
  <c r="J149" i="4"/>
  <c r="G149" i="4"/>
  <c r="M149" i="4" s="1"/>
  <c r="F149" i="4"/>
  <c r="A149" i="4"/>
  <c r="J148" i="4"/>
  <c r="G148" i="4"/>
  <c r="M148" i="4" s="1"/>
  <c r="F148" i="4"/>
  <c r="A148" i="4"/>
  <c r="J147" i="4"/>
  <c r="H147" i="4"/>
  <c r="G147" i="4"/>
  <c r="M147" i="4" s="1"/>
  <c r="F147" i="4"/>
  <c r="A147" i="4"/>
  <c r="J145" i="4"/>
  <c r="G145" i="4"/>
  <c r="M145" i="4" s="1"/>
  <c r="F145" i="4"/>
  <c r="A145" i="4"/>
  <c r="J144" i="4"/>
  <c r="G144" i="4"/>
  <c r="M144" i="4" s="1"/>
  <c r="F144" i="4"/>
  <c r="A144" i="4"/>
  <c r="J143" i="4"/>
  <c r="G143" i="4"/>
  <c r="M143" i="4" s="1"/>
  <c r="F143" i="4"/>
  <c r="A143" i="4"/>
  <c r="J142" i="4"/>
  <c r="H142" i="4"/>
  <c r="G142" i="4"/>
  <c r="M142" i="4" s="1"/>
  <c r="F142" i="4"/>
  <c r="A142" i="4"/>
  <c r="J141" i="4"/>
  <c r="G141" i="4"/>
  <c r="M141" i="4" s="1"/>
  <c r="F141" i="4"/>
  <c r="H141" i="4" s="1"/>
  <c r="A141" i="4"/>
  <c r="J140" i="4"/>
  <c r="G140" i="4"/>
  <c r="M140" i="4" s="1"/>
  <c r="F140" i="4"/>
  <c r="A140" i="4"/>
  <c r="J139" i="4"/>
  <c r="G139" i="4"/>
  <c r="M139" i="4" s="1"/>
  <c r="F139" i="4"/>
  <c r="A139" i="4"/>
  <c r="J138" i="4"/>
  <c r="H138" i="4"/>
  <c r="G138" i="4"/>
  <c r="M138" i="4" s="1"/>
  <c r="F138" i="4"/>
  <c r="A138" i="4"/>
  <c r="J137" i="4"/>
  <c r="G137" i="4"/>
  <c r="M137" i="4" s="1"/>
  <c r="F137" i="4"/>
  <c r="A137" i="4"/>
  <c r="J136" i="4"/>
  <c r="G136" i="4"/>
  <c r="M136" i="4" s="1"/>
  <c r="F136" i="4"/>
  <c r="A136" i="4"/>
  <c r="J135" i="4"/>
  <c r="G135" i="4"/>
  <c r="M135" i="4" s="1"/>
  <c r="F135" i="4"/>
  <c r="A135" i="4"/>
  <c r="J134" i="4"/>
  <c r="H134" i="4"/>
  <c r="G134" i="4"/>
  <c r="M134" i="4" s="1"/>
  <c r="F134" i="4"/>
  <c r="A134" i="4"/>
  <c r="J133" i="4"/>
  <c r="G133" i="4"/>
  <c r="M133" i="4" s="1"/>
  <c r="F133" i="4"/>
  <c r="A133" i="4"/>
  <c r="J132" i="4"/>
  <c r="G132" i="4"/>
  <c r="M132" i="4" s="1"/>
  <c r="F132" i="4"/>
  <c r="A132" i="4"/>
  <c r="J131" i="4"/>
  <c r="G131" i="4"/>
  <c r="M131" i="4" s="1"/>
  <c r="F131" i="4"/>
  <c r="A131" i="4"/>
  <c r="J130" i="4"/>
  <c r="H130" i="4"/>
  <c r="G130" i="4"/>
  <c r="M130" i="4" s="1"/>
  <c r="F130" i="4"/>
  <c r="A130" i="4"/>
  <c r="J129" i="4"/>
  <c r="G129" i="4"/>
  <c r="M129" i="4" s="1"/>
  <c r="F129" i="4"/>
  <c r="H129" i="4" s="1"/>
  <c r="A129" i="4"/>
  <c r="J128" i="4"/>
  <c r="G128" i="4"/>
  <c r="M128" i="4" s="1"/>
  <c r="F128" i="4"/>
  <c r="A128" i="4"/>
  <c r="J127" i="4"/>
  <c r="G127" i="4"/>
  <c r="M127" i="4" s="1"/>
  <c r="F127" i="4"/>
  <c r="A127" i="4"/>
  <c r="J126" i="4"/>
  <c r="H126" i="4"/>
  <c r="G126" i="4"/>
  <c r="M126" i="4" s="1"/>
  <c r="F126" i="4"/>
  <c r="A126" i="4"/>
  <c r="J125" i="4"/>
  <c r="G125" i="4"/>
  <c r="M125" i="4" s="1"/>
  <c r="F125" i="4"/>
  <c r="A125" i="4"/>
  <c r="J124" i="4"/>
  <c r="G124" i="4"/>
  <c r="M124" i="4" s="1"/>
  <c r="F124" i="4"/>
  <c r="A124" i="4"/>
  <c r="J123" i="4"/>
  <c r="G123" i="4"/>
  <c r="M123" i="4" s="1"/>
  <c r="F123" i="4"/>
  <c r="A123" i="4"/>
  <c r="J122" i="4"/>
  <c r="H122" i="4"/>
  <c r="G122" i="4"/>
  <c r="M122" i="4" s="1"/>
  <c r="F122" i="4"/>
  <c r="A122" i="4"/>
  <c r="J121" i="4"/>
  <c r="G121" i="4"/>
  <c r="M121" i="4" s="1"/>
  <c r="F121" i="4"/>
  <c r="A121" i="4"/>
  <c r="J120" i="4"/>
  <c r="G120" i="4"/>
  <c r="M120" i="4" s="1"/>
  <c r="F120" i="4"/>
  <c r="A120" i="4"/>
  <c r="J119" i="4"/>
  <c r="G119" i="4"/>
  <c r="M119" i="4" s="1"/>
  <c r="F119" i="4"/>
  <c r="A119" i="4"/>
  <c r="J118" i="4"/>
  <c r="H118" i="4"/>
  <c r="G118" i="4"/>
  <c r="M118" i="4" s="1"/>
  <c r="F118" i="4"/>
  <c r="A118" i="4"/>
  <c r="J117" i="4"/>
  <c r="G117" i="4"/>
  <c r="M117" i="4" s="1"/>
  <c r="F117" i="4"/>
  <c r="A117" i="4"/>
  <c r="J116" i="4"/>
  <c r="G116" i="4"/>
  <c r="M116" i="4" s="1"/>
  <c r="F116" i="4"/>
  <c r="A116" i="4"/>
  <c r="J115" i="4"/>
  <c r="G115" i="4"/>
  <c r="M115" i="4" s="1"/>
  <c r="F115" i="4"/>
  <c r="A115" i="4"/>
  <c r="J114" i="4"/>
  <c r="H114" i="4"/>
  <c r="G114" i="4"/>
  <c r="M114" i="4" s="1"/>
  <c r="F114" i="4"/>
  <c r="A114" i="4"/>
  <c r="J113" i="4"/>
  <c r="G113" i="4"/>
  <c r="M113" i="4" s="1"/>
  <c r="F113" i="4"/>
  <c r="A113" i="4"/>
  <c r="J112" i="4"/>
  <c r="G112" i="4"/>
  <c r="M112" i="4" s="1"/>
  <c r="F112" i="4"/>
  <c r="A112" i="4"/>
  <c r="J111" i="4"/>
  <c r="G111" i="4"/>
  <c r="M111" i="4" s="1"/>
  <c r="F111" i="4"/>
  <c r="A111" i="4"/>
  <c r="J110" i="4"/>
  <c r="H110" i="4"/>
  <c r="G110" i="4"/>
  <c r="M110" i="4" s="1"/>
  <c r="F110" i="4"/>
  <c r="A110" i="4"/>
  <c r="J109" i="4"/>
  <c r="G109" i="4"/>
  <c r="M109" i="4" s="1"/>
  <c r="F109" i="4"/>
  <c r="H109" i="4" s="1"/>
  <c r="A109" i="4"/>
  <c r="J108" i="4"/>
  <c r="G108" i="4"/>
  <c r="M108" i="4" s="1"/>
  <c r="F108" i="4"/>
  <c r="A108" i="4"/>
  <c r="J107" i="4"/>
  <c r="G107" i="4"/>
  <c r="M107" i="4" s="1"/>
  <c r="F107" i="4"/>
  <c r="A107" i="4"/>
  <c r="J106" i="4"/>
  <c r="H106" i="4"/>
  <c r="G106" i="4"/>
  <c r="M106" i="4" s="1"/>
  <c r="F106" i="4"/>
  <c r="A106" i="4"/>
  <c r="J105" i="4"/>
  <c r="G105" i="4"/>
  <c r="M105" i="4" s="1"/>
  <c r="F105" i="4"/>
  <c r="A105" i="4"/>
  <c r="J104" i="4"/>
  <c r="G104" i="4"/>
  <c r="M104" i="4" s="1"/>
  <c r="F104" i="4"/>
  <c r="A104" i="4"/>
  <c r="J103" i="4"/>
  <c r="G103" i="4"/>
  <c r="M103" i="4" s="1"/>
  <c r="F103" i="4"/>
  <c r="A103" i="4"/>
  <c r="J102" i="4"/>
  <c r="H102" i="4"/>
  <c r="G102" i="4"/>
  <c r="M102" i="4" s="1"/>
  <c r="F102" i="4"/>
  <c r="A102" i="4"/>
  <c r="J101" i="4"/>
  <c r="G101" i="4"/>
  <c r="M101" i="4" s="1"/>
  <c r="F101" i="4"/>
  <c r="A101" i="4"/>
  <c r="J100" i="4"/>
  <c r="G100" i="4"/>
  <c r="M100" i="4" s="1"/>
  <c r="F100" i="4"/>
  <c r="A100" i="4"/>
  <c r="J99" i="4"/>
  <c r="G99" i="4"/>
  <c r="M99" i="4" s="1"/>
  <c r="F99" i="4"/>
  <c r="A99" i="4"/>
  <c r="J98" i="4"/>
  <c r="H98" i="4"/>
  <c r="G98" i="4"/>
  <c r="M98" i="4" s="1"/>
  <c r="F98" i="4"/>
  <c r="A98" i="4"/>
  <c r="J97" i="4"/>
  <c r="G97" i="4"/>
  <c r="M97" i="4" s="1"/>
  <c r="F97" i="4"/>
  <c r="A97" i="4"/>
  <c r="J96" i="4"/>
  <c r="G96" i="4"/>
  <c r="M96" i="4" s="1"/>
  <c r="F96" i="4"/>
  <c r="A96" i="4"/>
  <c r="J95" i="4"/>
  <c r="G95" i="4"/>
  <c r="M95" i="4" s="1"/>
  <c r="F95" i="4"/>
  <c r="A95" i="4"/>
  <c r="J94" i="4"/>
  <c r="H94" i="4"/>
  <c r="G94" i="4"/>
  <c r="M94" i="4" s="1"/>
  <c r="F94" i="4"/>
  <c r="A94" i="4"/>
  <c r="J93" i="4"/>
  <c r="G93" i="4"/>
  <c r="M93" i="4" s="1"/>
  <c r="F93" i="4"/>
  <c r="A93" i="4"/>
  <c r="J92" i="4"/>
  <c r="G92" i="4"/>
  <c r="M92" i="4" s="1"/>
  <c r="F92" i="4"/>
  <c r="A92" i="4"/>
  <c r="J91" i="4"/>
  <c r="G91" i="4"/>
  <c r="M91" i="4" s="1"/>
  <c r="F91" i="4"/>
  <c r="A91" i="4"/>
  <c r="J90" i="4"/>
  <c r="H90" i="4"/>
  <c r="G90" i="4"/>
  <c r="M90" i="4" s="1"/>
  <c r="F90" i="4"/>
  <c r="A90" i="4"/>
  <c r="J89" i="4"/>
  <c r="G89" i="4"/>
  <c r="M89" i="4" s="1"/>
  <c r="F89" i="4"/>
  <c r="A89" i="4"/>
  <c r="J88" i="4"/>
  <c r="G88" i="4"/>
  <c r="M88" i="4" s="1"/>
  <c r="F88" i="4"/>
  <c r="A88" i="4"/>
  <c r="J87" i="4"/>
  <c r="G87" i="4"/>
  <c r="M87" i="4" s="1"/>
  <c r="F87" i="4"/>
  <c r="A87" i="4"/>
  <c r="J86" i="4"/>
  <c r="H86" i="4"/>
  <c r="G86" i="4"/>
  <c r="M86" i="4" s="1"/>
  <c r="F86" i="4"/>
  <c r="A86" i="4"/>
  <c r="J85" i="4"/>
  <c r="G85" i="4"/>
  <c r="M85" i="4" s="1"/>
  <c r="F85" i="4"/>
  <c r="A85" i="4"/>
  <c r="J84" i="4"/>
  <c r="G84" i="4"/>
  <c r="M84" i="4" s="1"/>
  <c r="F84" i="4"/>
  <c r="A84" i="4"/>
  <c r="J83" i="4"/>
  <c r="G83" i="4"/>
  <c r="M83" i="4" s="1"/>
  <c r="F83" i="4"/>
  <c r="A83" i="4"/>
  <c r="J82" i="4"/>
  <c r="H82" i="4"/>
  <c r="G82" i="4"/>
  <c r="M82" i="4" s="1"/>
  <c r="F82" i="4"/>
  <c r="A82" i="4"/>
  <c r="J81" i="4"/>
  <c r="G81" i="4"/>
  <c r="M81" i="4" s="1"/>
  <c r="F81" i="4"/>
  <c r="A81" i="4"/>
  <c r="J80" i="4"/>
  <c r="G80" i="4"/>
  <c r="M80" i="4" s="1"/>
  <c r="F80" i="4"/>
  <c r="A80" i="4"/>
  <c r="J79" i="4"/>
  <c r="G79" i="4"/>
  <c r="M79" i="4" s="1"/>
  <c r="F79" i="4"/>
  <c r="A79" i="4"/>
  <c r="J78" i="4"/>
  <c r="H78" i="4"/>
  <c r="G78" i="4"/>
  <c r="M78" i="4" s="1"/>
  <c r="F78" i="4"/>
  <c r="A78" i="4"/>
  <c r="J77" i="4"/>
  <c r="G77" i="4"/>
  <c r="M77" i="4" s="1"/>
  <c r="F77" i="4"/>
  <c r="A77" i="4"/>
  <c r="J76" i="4"/>
  <c r="G76" i="4"/>
  <c r="M76" i="4" s="1"/>
  <c r="F76" i="4"/>
  <c r="A76" i="4"/>
  <c r="J75" i="4"/>
  <c r="G75" i="4"/>
  <c r="M75" i="4" s="1"/>
  <c r="F75" i="4"/>
  <c r="A75" i="4"/>
  <c r="J74" i="4"/>
  <c r="H74" i="4"/>
  <c r="G74" i="4"/>
  <c r="M74" i="4" s="1"/>
  <c r="F74" i="4"/>
  <c r="A74" i="4"/>
  <c r="J73" i="4"/>
  <c r="G73" i="4"/>
  <c r="M73" i="4" s="1"/>
  <c r="F73" i="4"/>
  <c r="A73" i="4"/>
  <c r="J72" i="4"/>
  <c r="G72" i="4"/>
  <c r="M72" i="4" s="1"/>
  <c r="F72" i="4"/>
  <c r="A72" i="4"/>
  <c r="J71" i="4"/>
  <c r="G71" i="4"/>
  <c r="M71" i="4" s="1"/>
  <c r="F71" i="4"/>
  <c r="A71" i="4"/>
  <c r="J70" i="4"/>
  <c r="H70" i="4"/>
  <c r="G70" i="4"/>
  <c r="M70" i="4" s="1"/>
  <c r="F70" i="4"/>
  <c r="A70" i="4"/>
  <c r="J69" i="4"/>
  <c r="G69" i="4"/>
  <c r="M69" i="4" s="1"/>
  <c r="F69" i="4"/>
  <c r="A69" i="4"/>
  <c r="J68" i="4"/>
  <c r="G68" i="4"/>
  <c r="M68" i="4" s="1"/>
  <c r="F68" i="4"/>
  <c r="A68" i="4"/>
  <c r="J67" i="4"/>
  <c r="G67" i="4"/>
  <c r="M67" i="4" s="1"/>
  <c r="F67" i="4"/>
  <c r="A67" i="4"/>
  <c r="J66" i="4"/>
  <c r="H66" i="4"/>
  <c r="G66" i="4"/>
  <c r="M66" i="4" s="1"/>
  <c r="F66" i="4"/>
  <c r="A66" i="4"/>
  <c r="J65" i="4"/>
  <c r="G65" i="4"/>
  <c r="M65" i="4" s="1"/>
  <c r="F65" i="4"/>
  <c r="H65" i="4" s="1"/>
  <c r="A65" i="4"/>
  <c r="J64" i="4"/>
  <c r="G64" i="4"/>
  <c r="M64" i="4" s="1"/>
  <c r="F64" i="4"/>
  <c r="A64" i="4"/>
  <c r="J63" i="4"/>
  <c r="G63" i="4"/>
  <c r="M63" i="4" s="1"/>
  <c r="F63" i="4"/>
  <c r="A63" i="4"/>
  <c r="J62" i="4"/>
  <c r="H62" i="4"/>
  <c r="G62" i="4"/>
  <c r="M62" i="4" s="1"/>
  <c r="F62" i="4"/>
  <c r="A62" i="4"/>
  <c r="J61" i="4"/>
  <c r="G61" i="4"/>
  <c r="M61" i="4" s="1"/>
  <c r="F61" i="4"/>
  <c r="A61" i="4"/>
  <c r="J60" i="4"/>
  <c r="G60" i="4"/>
  <c r="M60" i="4" s="1"/>
  <c r="F60" i="4"/>
  <c r="A60" i="4"/>
  <c r="J59" i="4"/>
  <c r="G59" i="4"/>
  <c r="M59" i="4" s="1"/>
  <c r="F59" i="4"/>
  <c r="A59" i="4"/>
  <c r="J58" i="4"/>
  <c r="H58" i="4"/>
  <c r="G58" i="4"/>
  <c r="M58" i="4" s="1"/>
  <c r="F58" i="4"/>
  <c r="A58" i="4"/>
  <c r="J57" i="4"/>
  <c r="G57" i="4"/>
  <c r="M57" i="4" s="1"/>
  <c r="F57" i="4"/>
  <c r="A57" i="4"/>
  <c r="J56" i="4"/>
  <c r="G56" i="4"/>
  <c r="M56" i="4" s="1"/>
  <c r="F56" i="4"/>
  <c r="A56" i="4"/>
  <c r="J55" i="4"/>
  <c r="G55" i="4"/>
  <c r="M55" i="4" s="1"/>
  <c r="F55" i="4"/>
  <c r="A55" i="4"/>
  <c r="J54" i="4"/>
  <c r="H54" i="4"/>
  <c r="G54" i="4"/>
  <c r="M54" i="4" s="1"/>
  <c r="F54" i="4"/>
  <c r="A54" i="4"/>
  <c r="J53" i="4"/>
  <c r="G53" i="4"/>
  <c r="M53" i="4" s="1"/>
  <c r="F53" i="4"/>
  <c r="A53" i="4"/>
  <c r="J52" i="4"/>
  <c r="G52" i="4"/>
  <c r="M52" i="4" s="1"/>
  <c r="F52" i="4"/>
  <c r="A52" i="4"/>
  <c r="J51" i="4"/>
  <c r="G51" i="4"/>
  <c r="M51" i="4" s="1"/>
  <c r="F51" i="4"/>
  <c r="A51" i="4"/>
  <c r="J50" i="4"/>
  <c r="H50" i="4"/>
  <c r="G50" i="4"/>
  <c r="M50" i="4" s="1"/>
  <c r="F50" i="4"/>
  <c r="A50" i="4"/>
  <c r="J49" i="4"/>
  <c r="G49" i="4"/>
  <c r="M49" i="4" s="1"/>
  <c r="F49" i="4"/>
  <c r="A49" i="4"/>
  <c r="J48" i="4"/>
  <c r="G48" i="4"/>
  <c r="M48" i="4" s="1"/>
  <c r="F48" i="4"/>
  <c r="A48" i="4"/>
  <c r="J47" i="4"/>
  <c r="G47" i="4"/>
  <c r="M47" i="4" s="1"/>
  <c r="F47" i="4"/>
  <c r="A47" i="4"/>
  <c r="J46" i="4"/>
  <c r="H46" i="4"/>
  <c r="G46" i="4"/>
  <c r="M46" i="4" s="1"/>
  <c r="F46" i="4"/>
  <c r="A46" i="4"/>
  <c r="J45" i="4"/>
  <c r="G45" i="4"/>
  <c r="M45" i="4" s="1"/>
  <c r="F45" i="4"/>
  <c r="A45" i="4"/>
  <c r="J44" i="4"/>
  <c r="G44" i="4"/>
  <c r="M44" i="4" s="1"/>
  <c r="F44" i="4"/>
  <c r="A44" i="4"/>
  <c r="J43" i="4"/>
  <c r="G43" i="4"/>
  <c r="M43" i="4" s="1"/>
  <c r="F43" i="4"/>
  <c r="A43" i="4"/>
  <c r="J42" i="4"/>
  <c r="H42" i="4"/>
  <c r="G42" i="4"/>
  <c r="M42" i="4" s="1"/>
  <c r="F42" i="4"/>
  <c r="A42" i="4"/>
  <c r="J41" i="4"/>
  <c r="G41" i="4"/>
  <c r="M41" i="4" s="1"/>
  <c r="F41" i="4"/>
  <c r="A41" i="4"/>
  <c r="J40" i="4"/>
  <c r="G40" i="4"/>
  <c r="M40" i="4" s="1"/>
  <c r="F40" i="4"/>
  <c r="A40" i="4"/>
  <c r="J39" i="4"/>
  <c r="G39" i="4"/>
  <c r="M39" i="4" s="1"/>
  <c r="F39" i="4"/>
  <c r="A39" i="4"/>
  <c r="J38" i="4"/>
  <c r="H38" i="4"/>
  <c r="G38" i="4"/>
  <c r="M38" i="4" s="1"/>
  <c r="F38" i="4"/>
  <c r="A38" i="4"/>
  <c r="J37" i="4"/>
  <c r="G37" i="4"/>
  <c r="M37" i="4" s="1"/>
  <c r="F37" i="4"/>
  <c r="A37" i="4"/>
  <c r="J36" i="4"/>
  <c r="G36" i="4"/>
  <c r="M36" i="4" s="1"/>
  <c r="F36" i="4"/>
  <c r="A36" i="4"/>
  <c r="J35" i="4"/>
  <c r="G35" i="4"/>
  <c r="M35" i="4" s="1"/>
  <c r="F35" i="4"/>
  <c r="A35" i="4"/>
  <c r="J34" i="4"/>
  <c r="H34" i="4"/>
  <c r="G34" i="4"/>
  <c r="M34" i="4" s="1"/>
  <c r="F34" i="4"/>
  <c r="A34" i="4"/>
  <c r="J33" i="4"/>
  <c r="G33" i="4"/>
  <c r="M33" i="4" s="1"/>
  <c r="F33" i="4"/>
  <c r="A33" i="4"/>
  <c r="J32" i="4"/>
  <c r="G32" i="4"/>
  <c r="M32" i="4" s="1"/>
  <c r="F32" i="4"/>
  <c r="A32" i="4"/>
  <c r="J31" i="4"/>
  <c r="G31" i="4"/>
  <c r="M31" i="4" s="1"/>
  <c r="F31" i="4"/>
  <c r="A31" i="4"/>
  <c r="J30" i="4"/>
  <c r="H30" i="4"/>
  <c r="G30" i="4"/>
  <c r="M30" i="4" s="1"/>
  <c r="F30" i="4"/>
  <c r="A30" i="4"/>
  <c r="J29" i="4"/>
  <c r="G29" i="4"/>
  <c r="M29" i="4" s="1"/>
  <c r="F29" i="4"/>
  <c r="A29" i="4"/>
  <c r="J28" i="4"/>
  <c r="G28" i="4"/>
  <c r="M28" i="4" s="1"/>
  <c r="F28" i="4"/>
  <c r="A28" i="4"/>
  <c r="J27" i="4"/>
  <c r="G27" i="4"/>
  <c r="M27" i="4" s="1"/>
  <c r="F27" i="4"/>
  <c r="A27" i="4"/>
  <c r="J26" i="4"/>
  <c r="H26" i="4"/>
  <c r="G26" i="4"/>
  <c r="M26" i="4" s="1"/>
  <c r="F26" i="4"/>
  <c r="A26" i="4"/>
  <c r="J25" i="4"/>
  <c r="G25" i="4"/>
  <c r="M25" i="4" s="1"/>
  <c r="F25" i="4"/>
  <c r="A25" i="4"/>
  <c r="J24" i="4"/>
  <c r="G24" i="4"/>
  <c r="M24" i="4" s="1"/>
  <c r="F24" i="4"/>
  <c r="A24" i="4"/>
  <c r="J23" i="4"/>
  <c r="G23" i="4"/>
  <c r="M23" i="4" s="1"/>
  <c r="F23" i="4"/>
  <c r="A23" i="4"/>
  <c r="J22" i="4"/>
  <c r="H22" i="4"/>
  <c r="G22" i="4"/>
  <c r="M22" i="4" s="1"/>
  <c r="F22" i="4"/>
  <c r="A22" i="4"/>
  <c r="J21" i="4"/>
  <c r="G21" i="4"/>
  <c r="M21" i="4" s="1"/>
  <c r="F21" i="4"/>
  <c r="H21" i="4" s="1"/>
  <c r="A21" i="4"/>
  <c r="J20" i="4"/>
  <c r="G20" i="4"/>
  <c r="M20" i="4" s="1"/>
  <c r="F20" i="4"/>
  <c r="A20" i="4"/>
  <c r="J19" i="4"/>
  <c r="G19" i="4"/>
  <c r="M19" i="4" s="1"/>
  <c r="F19" i="4"/>
  <c r="A19" i="4"/>
  <c r="J18" i="4"/>
  <c r="H18" i="4"/>
  <c r="G18" i="4"/>
  <c r="M18" i="4" s="1"/>
  <c r="F18" i="4"/>
  <c r="A18" i="4"/>
  <c r="J17" i="4"/>
  <c r="G17" i="4"/>
  <c r="M17" i="4" s="1"/>
  <c r="F17" i="4"/>
  <c r="A17" i="4"/>
  <c r="J16" i="4"/>
  <c r="G16" i="4"/>
  <c r="M16" i="4" s="1"/>
  <c r="F16" i="4"/>
  <c r="A16" i="4"/>
  <c r="J15" i="4"/>
  <c r="G15" i="4"/>
  <c r="M15" i="4" s="1"/>
  <c r="F15" i="4"/>
  <c r="A15" i="4"/>
  <c r="J14" i="4"/>
  <c r="H14" i="4"/>
  <c r="G14" i="4"/>
  <c r="M14" i="4" s="1"/>
  <c r="F14" i="4"/>
  <c r="A14" i="4"/>
  <c r="J13" i="4"/>
  <c r="G13" i="4"/>
  <c r="M13" i="4" s="1"/>
  <c r="F13" i="4"/>
  <c r="A13" i="4"/>
  <c r="J12" i="4"/>
  <c r="G12" i="4"/>
  <c r="M12" i="4" s="1"/>
  <c r="F12" i="4"/>
  <c r="A12" i="4"/>
  <c r="J11" i="4"/>
  <c r="G11" i="4"/>
  <c r="F11" i="4"/>
  <c r="A11" i="4"/>
  <c r="J10" i="4"/>
  <c r="G10" i="4"/>
  <c r="F10" i="4"/>
  <c r="A10" i="4"/>
  <c r="J9" i="4"/>
  <c r="G9" i="4"/>
  <c r="M9" i="4" s="1"/>
  <c r="F9" i="4"/>
  <c r="A9" i="4"/>
  <c r="J8" i="4"/>
  <c r="G8" i="4"/>
  <c r="M8" i="4" s="1"/>
  <c r="F8" i="4"/>
  <c r="A8" i="4"/>
  <c r="J7" i="4"/>
  <c r="G7" i="4"/>
  <c r="H7" i="4" s="1"/>
  <c r="L7" i="4" s="1"/>
  <c r="F7" i="4"/>
  <c r="A7" i="4"/>
  <c r="J6" i="4"/>
  <c r="G6" i="4"/>
  <c r="H6" i="4" s="1"/>
  <c r="L6" i="4" s="1"/>
  <c r="F6" i="4"/>
  <c r="A6" i="4"/>
  <c r="J5" i="4"/>
  <c r="G5" i="4"/>
  <c r="M5" i="4" s="1"/>
  <c r="F5" i="4"/>
  <c r="A5" i="4"/>
  <c r="J4" i="4"/>
  <c r="H4" i="4"/>
  <c r="L4" i="4" s="1"/>
  <c r="G4" i="4"/>
  <c r="M4" i="4" s="1"/>
  <c r="F4" i="4"/>
  <c r="A4" i="4"/>
  <c r="AA153" i="3"/>
  <c r="AB153" i="3" s="1"/>
  <c r="Z153" i="3"/>
  <c r="Y153" i="3"/>
  <c r="V153" i="3"/>
  <c r="U153" i="3"/>
  <c r="Q153" i="3"/>
  <c r="O153" i="3"/>
  <c r="L153" i="3"/>
  <c r="J153" i="3"/>
  <c r="B153" i="3"/>
  <c r="G153" i="3"/>
  <c r="AA152" i="3"/>
  <c r="AB152" i="3" s="1"/>
  <c r="Z152" i="3"/>
  <c r="Y152" i="3"/>
  <c r="V152" i="3"/>
  <c r="U152" i="3"/>
  <c r="Q152" i="3"/>
  <c r="O152" i="3"/>
  <c r="L152" i="3"/>
  <c r="J152" i="3"/>
  <c r="B152" i="3"/>
  <c r="G152" i="3"/>
  <c r="AA151" i="3"/>
  <c r="AB151" i="3" s="1"/>
  <c r="Z151" i="3"/>
  <c r="Y151" i="3"/>
  <c r="V151" i="3"/>
  <c r="U151" i="3"/>
  <c r="Q151" i="3"/>
  <c r="O151" i="3"/>
  <c r="L151" i="3"/>
  <c r="J151" i="3"/>
  <c r="B151" i="3"/>
  <c r="G151" i="3"/>
  <c r="AA150" i="3"/>
  <c r="AB150" i="3" s="1"/>
  <c r="Z150" i="3"/>
  <c r="Y150" i="3"/>
  <c r="V150" i="3"/>
  <c r="U150" i="3"/>
  <c r="Q150" i="3"/>
  <c r="O150" i="3"/>
  <c r="L150" i="3"/>
  <c r="J150" i="3"/>
  <c r="B150" i="3"/>
  <c r="G150" i="3"/>
  <c r="AA149" i="3"/>
  <c r="AB149" i="3" s="1"/>
  <c r="Z149" i="3"/>
  <c r="Y149" i="3"/>
  <c r="V149" i="3"/>
  <c r="U149" i="3"/>
  <c r="Q149" i="3"/>
  <c r="O149" i="3"/>
  <c r="L149" i="3"/>
  <c r="J149" i="3"/>
  <c r="B149" i="3"/>
  <c r="G149" i="3"/>
  <c r="AA148" i="3"/>
  <c r="AB148" i="3" s="1"/>
  <c r="Z148" i="3"/>
  <c r="Y148" i="3"/>
  <c r="V148" i="3"/>
  <c r="U148" i="3"/>
  <c r="Q148" i="3"/>
  <c r="O148" i="3"/>
  <c r="L148" i="3"/>
  <c r="J148" i="3"/>
  <c r="B148" i="3"/>
  <c r="G148" i="3"/>
  <c r="AA147" i="3"/>
  <c r="AB147" i="3" s="1"/>
  <c r="Z147" i="3"/>
  <c r="Y147" i="3"/>
  <c r="V147" i="3"/>
  <c r="U147" i="3"/>
  <c r="Q147" i="3"/>
  <c r="O147" i="3"/>
  <c r="L147" i="3"/>
  <c r="J147" i="3"/>
  <c r="B147" i="3"/>
  <c r="G147" i="3"/>
  <c r="AA146" i="3"/>
  <c r="AB146" i="3" s="1"/>
  <c r="Z146" i="3"/>
  <c r="Y146" i="3"/>
  <c r="V146" i="3"/>
  <c r="U146" i="3"/>
  <c r="Q146" i="3"/>
  <c r="O146" i="3"/>
  <c r="L146" i="3"/>
  <c r="J146" i="3"/>
  <c r="B146" i="3"/>
  <c r="G146" i="3"/>
  <c r="AA145" i="3"/>
  <c r="AB145" i="3" s="1"/>
  <c r="Z145" i="3"/>
  <c r="Y145" i="3"/>
  <c r="V145" i="3"/>
  <c r="U145" i="3"/>
  <c r="Q145" i="3"/>
  <c r="O145" i="3"/>
  <c r="L145" i="3"/>
  <c r="AI145" i="3"/>
  <c r="J145" i="3" s="1"/>
  <c r="B145" i="3"/>
  <c r="G145" i="3"/>
  <c r="AA144" i="3"/>
  <c r="AB144" i="3" s="1"/>
  <c r="Z144" i="3"/>
  <c r="Y144" i="3"/>
  <c r="V144" i="3"/>
  <c r="U144" i="3"/>
  <c r="Q144" i="3"/>
  <c r="O144" i="3"/>
  <c r="L144" i="3"/>
  <c r="J144" i="3"/>
  <c r="B144" i="3"/>
  <c r="G144" i="3"/>
  <c r="AA143" i="3"/>
  <c r="AB143" i="3" s="1"/>
  <c r="Z143" i="3"/>
  <c r="Y143" i="3"/>
  <c r="V143" i="3"/>
  <c r="U143" i="3"/>
  <c r="Q143" i="3"/>
  <c r="O143" i="3"/>
  <c r="L143" i="3"/>
  <c r="J143" i="3"/>
  <c r="B143" i="3"/>
  <c r="G143" i="3"/>
  <c r="AA142" i="3"/>
  <c r="AB142" i="3" s="1"/>
  <c r="Z142" i="3"/>
  <c r="Y142" i="3"/>
  <c r="V142" i="3"/>
  <c r="U142" i="3"/>
  <c r="Q142" i="3"/>
  <c r="O142" i="3"/>
  <c r="L142" i="3"/>
  <c r="J142" i="3"/>
  <c r="B142" i="3"/>
  <c r="G142" i="3"/>
  <c r="AA141" i="3"/>
  <c r="AB141" i="3" s="1"/>
  <c r="Z141" i="3"/>
  <c r="Y141" i="3"/>
  <c r="V141" i="3"/>
  <c r="U141" i="3"/>
  <c r="Q141" i="3"/>
  <c r="O141" i="3"/>
  <c r="L141" i="3"/>
  <c r="J141" i="3"/>
  <c r="B141" i="3"/>
  <c r="G141" i="3"/>
  <c r="AA140" i="3"/>
  <c r="AB140" i="3" s="1"/>
  <c r="Z140" i="3"/>
  <c r="Y140" i="3"/>
  <c r="V140" i="3"/>
  <c r="U140" i="3"/>
  <c r="Q140" i="3"/>
  <c r="O140" i="3"/>
  <c r="L140" i="3"/>
  <c r="J140" i="3"/>
  <c r="B140" i="3"/>
  <c r="G140" i="3"/>
  <c r="AA139" i="3"/>
  <c r="AB139" i="3" s="1"/>
  <c r="Z139" i="3"/>
  <c r="Y139" i="3"/>
  <c r="V139" i="3"/>
  <c r="U139" i="3"/>
  <c r="Q139" i="3"/>
  <c r="O139" i="3"/>
  <c r="L139" i="3"/>
  <c r="J139" i="3"/>
  <c r="B139" i="3"/>
  <c r="G139" i="3"/>
  <c r="AA138" i="3"/>
  <c r="AB138" i="3" s="1"/>
  <c r="Z138" i="3"/>
  <c r="Y138" i="3"/>
  <c r="V138" i="3"/>
  <c r="U138" i="3"/>
  <c r="Q138" i="3"/>
  <c r="L138" i="3"/>
  <c r="AJ138" i="3"/>
  <c r="O138" i="3" s="1"/>
  <c r="AI138" i="3"/>
  <c r="J138" i="3" s="1"/>
  <c r="B138" i="3"/>
  <c r="G138" i="3"/>
  <c r="AA137" i="3"/>
  <c r="AB137" i="3" s="1"/>
  <c r="Z137" i="3"/>
  <c r="Y137" i="3"/>
  <c r="V137" i="3"/>
  <c r="U137" i="3"/>
  <c r="Q137" i="3"/>
  <c r="O137" i="3"/>
  <c r="L137" i="3"/>
  <c r="J137" i="3"/>
  <c r="B137" i="3"/>
  <c r="G137" i="3"/>
  <c r="AA136" i="3"/>
  <c r="AB136" i="3" s="1"/>
  <c r="Z136" i="3"/>
  <c r="Y136" i="3"/>
  <c r="V136" i="3"/>
  <c r="U136" i="3"/>
  <c r="Q136" i="3"/>
  <c r="O136" i="3"/>
  <c r="L136" i="3"/>
  <c r="J136" i="3"/>
  <c r="B136" i="3"/>
  <c r="G136" i="3"/>
  <c r="AA135" i="3"/>
  <c r="AB135" i="3" s="1"/>
  <c r="Z135" i="3"/>
  <c r="Y135" i="3"/>
  <c r="V135" i="3"/>
  <c r="U135" i="3"/>
  <c r="Q135" i="3"/>
  <c r="O135" i="3"/>
  <c r="L135" i="3"/>
  <c r="J135" i="3"/>
  <c r="B135" i="3"/>
  <c r="G135" i="3"/>
  <c r="AA134" i="3"/>
  <c r="AB134" i="3" s="1"/>
  <c r="Z134" i="3"/>
  <c r="Y134" i="3"/>
  <c r="V134" i="3"/>
  <c r="U134" i="3"/>
  <c r="Q134" i="3"/>
  <c r="O134" i="3"/>
  <c r="L134" i="3"/>
  <c r="J134" i="3"/>
  <c r="B134" i="3"/>
  <c r="G134" i="3"/>
  <c r="AA133" i="3"/>
  <c r="AB133" i="3" s="1"/>
  <c r="Z133" i="3"/>
  <c r="Y133" i="3"/>
  <c r="V133" i="3"/>
  <c r="U133" i="3"/>
  <c r="Q133" i="3"/>
  <c r="O133" i="3"/>
  <c r="L133" i="3"/>
  <c r="J133" i="3"/>
  <c r="B133" i="3"/>
  <c r="G133" i="3"/>
  <c r="AA132" i="3"/>
  <c r="AB132" i="3" s="1"/>
  <c r="Z132" i="3"/>
  <c r="Y132" i="3"/>
  <c r="V132" i="3"/>
  <c r="U132" i="3"/>
  <c r="Q132" i="3"/>
  <c r="O132" i="3"/>
  <c r="L132" i="3"/>
  <c r="J132" i="3"/>
  <c r="B132" i="3"/>
  <c r="G132" i="3"/>
  <c r="AA131" i="3"/>
  <c r="AB131" i="3" s="1"/>
  <c r="Z131" i="3"/>
  <c r="Y131" i="3"/>
  <c r="V131" i="3"/>
  <c r="U131" i="3"/>
  <c r="Q131" i="3"/>
  <c r="O131" i="3"/>
  <c r="L131" i="3"/>
  <c r="J131" i="3"/>
  <c r="B131" i="3"/>
  <c r="G131" i="3"/>
  <c r="AA130" i="3"/>
  <c r="AB130" i="3" s="1"/>
  <c r="Z130" i="3"/>
  <c r="Y130" i="3"/>
  <c r="V130" i="3"/>
  <c r="U130" i="3"/>
  <c r="Q130" i="3"/>
  <c r="O130" i="3"/>
  <c r="L130" i="3"/>
  <c r="J130" i="3"/>
  <c r="B130" i="3"/>
  <c r="G130" i="3"/>
  <c r="AA129" i="3"/>
  <c r="AB129" i="3" s="1"/>
  <c r="Z129" i="3"/>
  <c r="Y129" i="3"/>
  <c r="V129" i="3"/>
  <c r="U129" i="3"/>
  <c r="Q129" i="3"/>
  <c r="O129" i="3"/>
  <c r="L129" i="3"/>
  <c r="J129" i="3"/>
  <c r="B129" i="3"/>
  <c r="G129" i="3"/>
  <c r="AA128" i="3"/>
  <c r="AB128" i="3" s="1"/>
  <c r="Z128" i="3"/>
  <c r="Y128" i="3"/>
  <c r="V128" i="3"/>
  <c r="U128" i="3"/>
  <c r="Q128" i="3"/>
  <c r="O128" i="3"/>
  <c r="L128" i="3"/>
  <c r="J128" i="3"/>
  <c r="B128" i="3"/>
  <c r="G128" i="3"/>
  <c r="AA127" i="3"/>
  <c r="AB127" i="3" s="1"/>
  <c r="Z127" i="3"/>
  <c r="Y127" i="3"/>
  <c r="V127" i="3"/>
  <c r="U127" i="3"/>
  <c r="Q127" i="3"/>
  <c r="O127" i="3"/>
  <c r="L127" i="3"/>
  <c r="J127" i="3"/>
  <c r="B127" i="3"/>
  <c r="G127" i="3"/>
  <c r="AA126" i="3"/>
  <c r="AB126" i="3" s="1"/>
  <c r="Z126" i="3"/>
  <c r="Y126" i="3"/>
  <c r="V126" i="3"/>
  <c r="U126" i="3"/>
  <c r="Q126" i="3"/>
  <c r="O126" i="3"/>
  <c r="L126" i="3"/>
  <c r="J126" i="3"/>
  <c r="B126" i="3"/>
  <c r="G126" i="3"/>
  <c r="AA125" i="3"/>
  <c r="AB125" i="3" s="1"/>
  <c r="Z125" i="3"/>
  <c r="Y125" i="3"/>
  <c r="V125" i="3"/>
  <c r="U125" i="3"/>
  <c r="Q125" i="3"/>
  <c r="O125" i="3"/>
  <c r="L125" i="3"/>
  <c r="J125" i="3"/>
  <c r="B125" i="3"/>
  <c r="G125" i="3"/>
  <c r="AA124" i="3"/>
  <c r="AB124" i="3" s="1"/>
  <c r="Z124" i="3"/>
  <c r="Y124" i="3"/>
  <c r="V124" i="3"/>
  <c r="U124" i="3"/>
  <c r="Q124" i="3"/>
  <c r="O124" i="3"/>
  <c r="L124" i="3"/>
  <c r="J124" i="3"/>
  <c r="B124" i="3"/>
  <c r="G124" i="3"/>
  <c r="AA123" i="3"/>
  <c r="AB123" i="3" s="1"/>
  <c r="Z123" i="3"/>
  <c r="Y123" i="3"/>
  <c r="V123" i="3"/>
  <c r="U123" i="3"/>
  <c r="Q123" i="3"/>
  <c r="O123" i="3"/>
  <c r="L123" i="3"/>
  <c r="J123" i="3"/>
  <c r="B123" i="3"/>
  <c r="G123" i="3"/>
  <c r="AA122" i="3"/>
  <c r="AB122" i="3" s="1"/>
  <c r="Z122" i="3"/>
  <c r="Y122" i="3"/>
  <c r="V122" i="3"/>
  <c r="U122" i="3"/>
  <c r="Q122" i="3"/>
  <c r="O122" i="3"/>
  <c r="L122" i="3"/>
  <c r="J122" i="3"/>
  <c r="B122" i="3"/>
  <c r="G122" i="3"/>
  <c r="AA121" i="3"/>
  <c r="AB121" i="3" s="1"/>
  <c r="Z121" i="3"/>
  <c r="Y121" i="3"/>
  <c r="V121" i="3"/>
  <c r="U121" i="3"/>
  <c r="Q121" i="3"/>
  <c r="O121" i="3"/>
  <c r="L121" i="3"/>
  <c r="J121" i="3"/>
  <c r="B121" i="3"/>
  <c r="G121" i="3"/>
  <c r="AA120" i="3"/>
  <c r="AB120" i="3" s="1"/>
  <c r="Z120" i="3"/>
  <c r="Y120" i="3"/>
  <c r="V120" i="3"/>
  <c r="U120" i="3"/>
  <c r="Q120" i="3"/>
  <c r="O120" i="3"/>
  <c r="L120" i="3"/>
  <c r="J120" i="3"/>
  <c r="B120" i="3"/>
  <c r="G120" i="3"/>
  <c r="AA119" i="3"/>
  <c r="AB119" i="3" s="1"/>
  <c r="Z119" i="3"/>
  <c r="Y119" i="3"/>
  <c r="V119" i="3"/>
  <c r="U119" i="3"/>
  <c r="Q119" i="3"/>
  <c r="O119" i="3"/>
  <c r="L119" i="3"/>
  <c r="J119" i="3"/>
  <c r="B119" i="3"/>
  <c r="G119" i="3"/>
  <c r="AA118" i="3"/>
  <c r="AB118" i="3" s="1"/>
  <c r="Z118" i="3"/>
  <c r="Y118" i="3"/>
  <c r="V118" i="3"/>
  <c r="U118" i="3"/>
  <c r="Q118" i="3"/>
  <c r="O118" i="3"/>
  <c r="L118" i="3"/>
  <c r="J118" i="3"/>
  <c r="B118" i="3"/>
  <c r="G118" i="3"/>
  <c r="AA117" i="3"/>
  <c r="AB117" i="3" s="1"/>
  <c r="Z117" i="3"/>
  <c r="Y117" i="3"/>
  <c r="V117" i="3"/>
  <c r="U117" i="3"/>
  <c r="Q117" i="3"/>
  <c r="O117" i="3"/>
  <c r="L117" i="3"/>
  <c r="J117" i="3"/>
  <c r="B117" i="3"/>
  <c r="G117" i="3"/>
  <c r="AA116" i="3"/>
  <c r="AB116" i="3" s="1"/>
  <c r="Z116" i="3"/>
  <c r="Y116" i="3"/>
  <c r="V116" i="3"/>
  <c r="U116" i="3"/>
  <c r="Q116" i="3"/>
  <c r="O116" i="3"/>
  <c r="L116" i="3"/>
  <c r="J116" i="3"/>
  <c r="B116" i="3"/>
  <c r="G116" i="3"/>
  <c r="AA115" i="3"/>
  <c r="AB115" i="3" s="1"/>
  <c r="Z115" i="3"/>
  <c r="Y115" i="3"/>
  <c r="V115" i="3"/>
  <c r="U115" i="3"/>
  <c r="Q115" i="3"/>
  <c r="O115" i="3"/>
  <c r="L115" i="3"/>
  <c r="J115" i="3"/>
  <c r="B115" i="3"/>
  <c r="G115" i="3"/>
  <c r="AA114" i="3"/>
  <c r="AB114" i="3" s="1"/>
  <c r="Z114" i="3"/>
  <c r="Y114" i="3"/>
  <c r="V114" i="3"/>
  <c r="U114" i="3"/>
  <c r="Q114" i="3"/>
  <c r="O114" i="3"/>
  <c r="L114" i="3"/>
  <c r="J114" i="3"/>
  <c r="B114" i="3"/>
  <c r="G114" i="3"/>
  <c r="AA113" i="3"/>
  <c r="AB113" i="3" s="1"/>
  <c r="Z113" i="3"/>
  <c r="Y113" i="3"/>
  <c r="V113" i="3"/>
  <c r="U113" i="3"/>
  <c r="Q113" i="3"/>
  <c r="O113" i="3"/>
  <c r="L113" i="3"/>
  <c r="J113" i="3"/>
  <c r="B113" i="3"/>
  <c r="G113" i="3"/>
  <c r="AA112" i="3"/>
  <c r="AB112" i="3" s="1"/>
  <c r="Z112" i="3"/>
  <c r="Y112" i="3"/>
  <c r="V112" i="3"/>
  <c r="U112" i="3"/>
  <c r="Q112" i="3"/>
  <c r="O112" i="3"/>
  <c r="L112" i="3"/>
  <c r="J112" i="3"/>
  <c r="B112" i="3"/>
  <c r="G112" i="3"/>
  <c r="AA111" i="3"/>
  <c r="AB111" i="3" s="1"/>
  <c r="Z111" i="3"/>
  <c r="Y111" i="3"/>
  <c r="V111" i="3"/>
  <c r="U111" i="3"/>
  <c r="Q111" i="3"/>
  <c r="O111" i="3"/>
  <c r="L111" i="3"/>
  <c r="J111" i="3"/>
  <c r="B111" i="3"/>
  <c r="G111" i="3"/>
  <c r="AA110" i="3"/>
  <c r="AB110" i="3" s="1"/>
  <c r="Z110" i="3"/>
  <c r="Y110" i="3"/>
  <c r="V110" i="3"/>
  <c r="U110" i="3"/>
  <c r="Q110" i="3"/>
  <c r="O110" i="3"/>
  <c r="L110" i="3"/>
  <c r="J110" i="3"/>
  <c r="B110" i="3"/>
  <c r="G110" i="3"/>
  <c r="AA109" i="3"/>
  <c r="AB109" i="3" s="1"/>
  <c r="Z109" i="3"/>
  <c r="Y109" i="3"/>
  <c r="V109" i="3"/>
  <c r="U109" i="3"/>
  <c r="Q109" i="3"/>
  <c r="O109" i="3"/>
  <c r="L109" i="3"/>
  <c r="J109" i="3"/>
  <c r="B109" i="3"/>
  <c r="G109" i="3"/>
  <c r="AA108" i="3"/>
  <c r="AB108" i="3" s="1"/>
  <c r="Z108" i="3"/>
  <c r="Y108" i="3"/>
  <c r="V108" i="3"/>
  <c r="U108" i="3"/>
  <c r="Q108" i="3"/>
  <c r="O108" i="3"/>
  <c r="L108" i="3"/>
  <c r="J108" i="3"/>
  <c r="B108" i="3"/>
  <c r="G108" i="3"/>
  <c r="AA107" i="3"/>
  <c r="AB107" i="3" s="1"/>
  <c r="Z107" i="3"/>
  <c r="Y107" i="3"/>
  <c r="V107" i="3"/>
  <c r="U107" i="3"/>
  <c r="Q107" i="3"/>
  <c r="O107" i="3"/>
  <c r="L107" i="3"/>
  <c r="J107" i="3"/>
  <c r="B107" i="3"/>
  <c r="G107" i="3"/>
  <c r="AA106" i="3"/>
  <c r="AB106" i="3" s="1"/>
  <c r="Z106" i="3"/>
  <c r="Y106" i="3"/>
  <c r="V106" i="3"/>
  <c r="U106" i="3"/>
  <c r="Q106" i="3"/>
  <c r="O106" i="3"/>
  <c r="L106" i="3"/>
  <c r="J106" i="3"/>
  <c r="B106" i="3"/>
  <c r="G106" i="3"/>
  <c r="AA105" i="3"/>
  <c r="AB105" i="3" s="1"/>
  <c r="Z105" i="3"/>
  <c r="Y105" i="3"/>
  <c r="V105" i="3"/>
  <c r="U105" i="3"/>
  <c r="Q105" i="3"/>
  <c r="O105" i="3"/>
  <c r="L105" i="3"/>
  <c r="J105" i="3"/>
  <c r="B105" i="3"/>
  <c r="G105" i="3"/>
  <c r="AA104" i="3"/>
  <c r="AB104" i="3" s="1"/>
  <c r="Z104" i="3"/>
  <c r="Y104" i="3"/>
  <c r="V104" i="3"/>
  <c r="U104" i="3"/>
  <c r="Q104" i="3"/>
  <c r="O104" i="3"/>
  <c r="L104" i="3"/>
  <c r="J104" i="3"/>
  <c r="B104" i="3"/>
  <c r="G104" i="3"/>
  <c r="AA103" i="3"/>
  <c r="AB103" i="3" s="1"/>
  <c r="Z103" i="3"/>
  <c r="Y103" i="3"/>
  <c r="V103" i="3"/>
  <c r="U103" i="3"/>
  <c r="Q103" i="3"/>
  <c r="O103" i="3"/>
  <c r="L103" i="3"/>
  <c r="J103" i="3"/>
  <c r="B103" i="3"/>
  <c r="G103" i="3"/>
  <c r="AA102" i="3"/>
  <c r="AB102" i="3" s="1"/>
  <c r="Z102" i="3"/>
  <c r="Y102" i="3"/>
  <c r="V102" i="3"/>
  <c r="U102" i="3"/>
  <c r="Q102" i="3"/>
  <c r="O102" i="3"/>
  <c r="L102" i="3"/>
  <c r="J102" i="3"/>
  <c r="B102" i="3"/>
  <c r="G102" i="3"/>
  <c r="AA101" i="3"/>
  <c r="AB101" i="3" s="1"/>
  <c r="Z101" i="3"/>
  <c r="Y101" i="3"/>
  <c r="V101" i="3"/>
  <c r="U101" i="3"/>
  <c r="Q101" i="3"/>
  <c r="O101" i="3"/>
  <c r="L101" i="3"/>
  <c r="J101" i="3"/>
  <c r="B101" i="3"/>
  <c r="G101" i="3"/>
  <c r="AA100" i="3"/>
  <c r="AB100" i="3" s="1"/>
  <c r="Z100" i="3"/>
  <c r="Y100" i="3"/>
  <c r="V100" i="3"/>
  <c r="U100" i="3"/>
  <c r="Q100" i="3"/>
  <c r="O100" i="3"/>
  <c r="L100" i="3"/>
  <c r="J100" i="3"/>
  <c r="B100" i="3"/>
  <c r="G100" i="3"/>
  <c r="AA99" i="3"/>
  <c r="AB99" i="3" s="1"/>
  <c r="Z99" i="3"/>
  <c r="Y99" i="3"/>
  <c r="V99" i="3"/>
  <c r="U99" i="3"/>
  <c r="Q99" i="3"/>
  <c r="O99" i="3"/>
  <c r="L99" i="3"/>
  <c r="J99" i="3"/>
  <c r="B99" i="3"/>
  <c r="G99" i="3"/>
  <c r="AA97" i="3"/>
  <c r="AB97" i="3" s="1"/>
  <c r="Z97" i="3"/>
  <c r="Y97" i="3"/>
  <c r="V97" i="3"/>
  <c r="U97" i="3"/>
  <c r="N97" i="3"/>
  <c r="Q97" i="3" s="1"/>
  <c r="L97" i="3"/>
  <c r="J97" i="3"/>
  <c r="AJ97" i="3"/>
  <c r="AH97" i="3"/>
  <c r="AG97" i="3"/>
  <c r="B97" i="3"/>
  <c r="G97" i="3"/>
  <c r="AA96" i="3"/>
  <c r="AB96" i="3" s="1"/>
  <c r="Z96" i="3"/>
  <c r="Y96" i="3"/>
  <c r="V96" i="3"/>
  <c r="U96" i="3"/>
  <c r="N96" i="3"/>
  <c r="Q96" i="3" s="1"/>
  <c r="L96" i="3"/>
  <c r="J96" i="3"/>
  <c r="AJ96" i="3"/>
  <c r="AH96" i="3"/>
  <c r="AG96" i="3"/>
  <c r="B96" i="3"/>
  <c r="G96" i="3"/>
  <c r="AA95" i="3"/>
  <c r="AB95" i="3" s="1"/>
  <c r="Z95" i="3"/>
  <c r="Y95" i="3"/>
  <c r="V95" i="3"/>
  <c r="U95" i="3"/>
  <c r="N95" i="3"/>
  <c r="Q95" i="3" s="1"/>
  <c r="L95" i="3"/>
  <c r="J95" i="3"/>
  <c r="AJ95" i="3"/>
  <c r="AH95" i="3"/>
  <c r="AG95" i="3"/>
  <c r="B95" i="3"/>
  <c r="G95" i="3"/>
  <c r="AA94" i="3"/>
  <c r="AB94" i="3" s="1"/>
  <c r="Z94" i="3"/>
  <c r="Y94" i="3"/>
  <c r="V94" i="3"/>
  <c r="U94" i="3"/>
  <c r="N94" i="3"/>
  <c r="Q94" i="3" s="1"/>
  <c r="L94" i="3"/>
  <c r="J94" i="3"/>
  <c r="AJ94" i="3"/>
  <c r="AH94" i="3"/>
  <c r="AG94" i="3"/>
  <c r="B94" i="3"/>
  <c r="G94" i="3"/>
  <c r="AA93" i="3"/>
  <c r="AB93" i="3" s="1"/>
  <c r="Z93" i="3"/>
  <c r="Y93" i="3"/>
  <c r="V93" i="3"/>
  <c r="U93" i="3"/>
  <c r="N93" i="3"/>
  <c r="Q93" i="3" s="1"/>
  <c r="L93" i="3"/>
  <c r="J93" i="3"/>
  <c r="AJ93" i="3"/>
  <c r="AH93" i="3"/>
  <c r="AG93" i="3"/>
  <c r="B93" i="3"/>
  <c r="G93" i="3"/>
  <c r="AA92" i="3"/>
  <c r="AB92" i="3" s="1"/>
  <c r="Z92" i="3"/>
  <c r="Y92" i="3"/>
  <c r="V92" i="3"/>
  <c r="U92" i="3"/>
  <c r="N92" i="3"/>
  <c r="Q92" i="3" s="1"/>
  <c r="L92" i="3"/>
  <c r="J92" i="3"/>
  <c r="AJ92" i="3"/>
  <c r="AH92" i="3"/>
  <c r="AG92" i="3"/>
  <c r="B92" i="3"/>
  <c r="G92" i="3"/>
  <c r="AA91" i="3"/>
  <c r="AB91" i="3" s="1"/>
  <c r="Z91" i="3"/>
  <c r="Y91" i="3"/>
  <c r="V91" i="3"/>
  <c r="U91" i="3"/>
  <c r="N91" i="3"/>
  <c r="L91" i="3"/>
  <c r="J91" i="3"/>
  <c r="AJ91" i="3"/>
  <c r="AH91" i="3"/>
  <c r="AG91" i="3"/>
  <c r="B91" i="3"/>
  <c r="G91" i="3"/>
  <c r="AA90" i="3"/>
  <c r="AB90" i="3" s="1"/>
  <c r="Z90" i="3"/>
  <c r="Y90" i="3"/>
  <c r="V90" i="3"/>
  <c r="U90" i="3"/>
  <c r="N90" i="3"/>
  <c r="Q90" i="3" s="1"/>
  <c r="L90" i="3"/>
  <c r="J90" i="3"/>
  <c r="AJ90" i="3"/>
  <c r="AH90" i="3"/>
  <c r="AG90" i="3"/>
  <c r="B90" i="3"/>
  <c r="G90" i="3"/>
  <c r="AA89" i="3"/>
  <c r="AB89" i="3" s="1"/>
  <c r="Z89" i="3"/>
  <c r="Y89" i="3"/>
  <c r="V89" i="3"/>
  <c r="U89" i="3"/>
  <c r="N89" i="3"/>
  <c r="Q89" i="3" s="1"/>
  <c r="L89" i="3"/>
  <c r="J89" i="3"/>
  <c r="AJ89" i="3"/>
  <c r="AH89" i="3"/>
  <c r="AG89" i="3"/>
  <c r="B89" i="3"/>
  <c r="G89" i="3"/>
  <c r="AA88" i="3"/>
  <c r="AB88" i="3" s="1"/>
  <c r="Z88" i="3"/>
  <c r="Y88" i="3"/>
  <c r="V88" i="3"/>
  <c r="U88" i="3"/>
  <c r="N88" i="3"/>
  <c r="Q88" i="3" s="1"/>
  <c r="L88" i="3"/>
  <c r="J88" i="3"/>
  <c r="AJ88" i="3"/>
  <c r="AH88" i="3"/>
  <c r="AG88" i="3"/>
  <c r="B88" i="3"/>
  <c r="G88" i="3"/>
  <c r="AA87" i="3"/>
  <c r="AB87" i="3" s="1"/>
  <c r="Z87" i="3"/>
  <c r="Y87" i="3"/>
  <c r="V87" i="3"/>
  <c r="U87" i="3"/>
  <c r="N87" i="3"/>
  <c r="Q87" i="3" s="1"/>
  <c r="L87" i="3"/>
  <c r="J87" i="3"/>
  <c r="AJ87" i="3"/>
  <c r="AH87" i="3"/>
  <c r="AG87" i="3"/>
  <c r="B87" i="3"/>
  <c r="G87" i="3"/>
  <c r="AA86" i="3"/>
  <c r="AB86" i="3" s="1"/>
  <c r="Z86" i="3"/>
  <c r="Y86" i="3"/>
  <c r="V86" i="3"/>
  <c r="U86" i="3"/>
  <c r="N86" i="3"/>
  <c r="Q86" i="3" s="1"/>
  <c r="L86" i="3"/>
  <c r="J86" i="3"/>
  <c r="AJ86" i="3"/>
  <c r="AH86" i="3"/>
  <c r="AG86" i="3"/>
  <c r="B86" i="3"/>
  <c r="G86" i="3"/>
  <c r="AA85" i="3"/>
  <c r="AB85" i="3" s="1"/>
  <c r="Z85" i="3"/>
  <c r="Y85" i="3"/>
  <c r="V85" i="3"/>
  <c r="U85" i="3"/>
  <c r="N85" i="3"/>
  <c r="Q85" i="3" s="1"/>
  <c r="L85" i="3"/>
  <c r="J85" i="3"/>
  <c r="AJ85" i="3"/>
  <c r="AH85" i="3"/>
  <c r="AG85" i="3"/>
  <c r="B85" i="3"/>
  <c r="G85" i="3"/>
  <c r="AA84" i="3"/>
  <c r="AB84" i="3" s="1"/>
  <c r="Z84" i="3"/>
  <c r="Y84" i="3"/>
  <c r="V84" i="3"/>
  <c r="U84" i="3"/>
  <c r="N84" i="3"/>
  <c r="Q84" i="3" s="1"/>
  <c r="L84" i="3"/>
  <c r="J84" i="3"/>
  <c r="AJ84" i="3"/>
  <c r="AH84" i="3"/>
  <c r="AG84" i="3"/>
  <c r="B84" i="3"/>
  <c r="G84" i="3"/>
  <c r="AA83" i="3"/>
  <c r="AB83" i="3" s="1"/>
  <c r="Z83" i="3"/>
  <c r="Y83" i="3"/>
  <c r="V83" i="3"/>
  <c r="U83" i="3"/>
  <c r="N83" i="3"/>
  <c r="L83" i="3"/>
  <c r="J83" i="3"/>
  <c r="AJ83" i="3"/>
  <c r="AH83" i="3"/>
  <c r="AG83" i="3"/>
  <c r="B83" i="3"/>
  <c r="G83" i="3"/>
  <c r="AA82" i="3"/>
  <c r="AB82" i="3" s="1"/>
  <c r="Z82" i="3"/>
  <c r="Y82" i="3"/>
  <c r="V82" i="3"/>
  <c r="U82" i="3"/>
  <c r="N82" i="3"/>
  <c r="Q82" i="3" s="1"/>
  <c r="L82" i="3"/>
  <c r="J82" i="3"/>
  <c r="AJ82" i="3"/>
  <c r="AH82" i="3"/>
  <c r="AG82" i="3"/>
  <c r="B82" i="3"/>
  <c r="G82" i="3"/>
  <c r="AA81" i="3"/>
  <c r="AB81" i="3" s="1"/>
  <c r="Z81" i="3"/>
  <c r="Y81" i="3"/>
  <c r="V81" i="3"/>
  <c r="U81" i="3"/>
  <c r="N81" i="3"/>
  <c r="Q81" i="3" s="1"/>
  <c r="L81" i="3"/>
  <c r="J81" i="3"/>
  <c r="AJ81" i="3"/>
  <c r="AH81" i="3"/>
  <c r="AG81" i="3"/>
  <c r="B81" i="3"/>
  <c r="G81" i="3"/>
  <c r="AA80" i="3"/>
  <c r="AB80" i="3" s="1"/>
  <c r="Z80" i="3"/>
  <c r="Y80" i="3"/>
  <c r="V80" i="3"/>
  <c r="U80" i="3"/>
  <c r="N80" i="3"/>
  <c r="Q80" i="3" s="1"/>
  <c r="L80" i="3"/>
  <c r="J80" i="3"/>
  <c r="AJ80" i="3"/>
  <c r="AH80" i="3"/>
  <c r="AG80" i="3"/>
  <c r="B80" i="3"/>
  <c r="G80" i="3"/>
  <c r="AA79" i="3"/>
  <c r="AB79" i="3" s="1"/>
  <c r="Z79" i="3"/>
  <c r="Y79" i="3"/>
  <c r="V79" i="3"/>
  <c r="U79" i="3"/>
  <c r="N79" i="3"/>
  <c r="Q79" i="3" s="1"/>
  <c r="L79" i="3"/>
  <c r="J79" i="3"/>
  <c r="AJ79" i="3"/>
  <c r="AH79" i="3"/>
  <c r="AG79" i="3"/>
  <c r="B79" i="3"/>
  <c r="G79" i="3"/>
  <c r="AA78" i="3"/>
  <c r="AB78" i="3" s="1"/>
  <c r="Z78" i="3"/>
  <c r="Y78" i="3"/>
  <c r="V78" i="3"/>
  <c r="U78" i="3"/>
  <c r="N78" i="3"/>
  <c r="Q78" i="3" s="1"/>
  <c r="L78" i="3"/>
  <c r="J78" i="3"/>
  <c r="AJ78" i="3"/>
  <c r="AH78" i="3"/>
  <c r="AG78" i="3"/>
  <c r="B78" i="3"/>
  <c r="G78" i="3"/>
  <c r="AA77" i="3"/>
  <c r="AB77" i="3" s="1"/>
  <c r="Z77" i="3"/>
  <c r="Y77" i="3"/>
  <c r="V77" i="3"/>
  <c r="U77" i="3"/>
  <c r="N77" i="3"/>
  <c r="Q77" i="3" s="1"/>
  <c r="L77" i="3"/>
  <c r="J77" i="3"/>
  <c r="AJ77" i="3"/>
  <c r="AH77" i="3"/>
  <c r="AG77" i="3"/>
  <c r="B77" i="3"/>
  <c r="G77" i="3"/>
  <c r="AA76" i="3"/>
  <c r="AB76" i="3" s="1"/>
  <c r="Z76" i="3"/>
  <c r="Y76" i="3"/>
  <c r="V76" i="3"/>
  <c r="U76" i="3"/>
  <c r="N76" i="3"/>
  <c r="Q76" i="3" s="1"/>
  <c r="L76" i="3"/>
  <c r="J76" i="3"/>
  <c r="AJ76" i="3"/>
  <c r="AH76" i="3"/>
  <c r="AG76" i="3"/>
  <c r="B76" i="3"/>
  <c r="G76" i="3"/>
  <c r="AA75" i="3"/>
  <c r="AB75" i="3" s="1"/>
  <c r="Z75" i="3"/>
  <c r="Y75" i="3"/>
  <c r="V75" i="3"/>
  <c r="U75" i="3"/>
  <c r="N75" i="3"/>
  <c r="L75" i="3"/>
  <c r="J75" i="3"/>
  <c r="AJ75" i="3"/>
  <c r="AH75" i="3"/>
  <c r="AG75" i="3"/>
  <c r="B75" i="3"/>
  <c r="G75" i="3"/>
  <c r="AA74" i="3"/>
  <c r="AB74" i="3" s="1"/>
  <c r="Z74" i="3"/>
  <c r="Y74" i="3"/>
  <c r="V74" i="3"/>
  <c r="U74" i="3"/>
  <c r="N74" i="3"/>
  <c r="Q74" i="3" s="1"/>
  <c r="L74" i="3"/>
  <c r="J74" i="3"/>
  <c r="AJ74" i="3"/>
  <c r="AH74" i="3"/>
  <c r="AG74" i="3"/>
  <c r="B74" i="3"/>
  <c r="G74" i="3"/>
  <c r="AA73" i="3"/>
  <c r="AB73" i="3" s="1"/>
  <c r="Z73" i="3"/>
  <c r="Y73" i="3"/>
  <c r="V73" i="3"/>
  <c r="U73" i="3"/>
  <c r="N73" i="3"/>
  <c r="Q73" i="3" s="1"/>
  <c r="L73" i="3"/>
  <c r="J73" i="3"/>
  <c r="AJ73" i="3"/>
  <c r="AH73" i="3"/>
  <c r="AG73" i="3"/>
  <c r="B73" i="3"/>
  <c r="G73" i="3"/>
  <c r="AA72" i="3"/>
  <c r="AB72" i="3" s="1"/>
  <c r="Z72" i="3"/>
  <c r="Y72" i="3"/>
  <c r="V72" i="3"/>
  <c r="U72" i="3"/>
  <c r="N72" i="3"/>
  <c r="Q72" i="3" s="1"/>
  <c r="L72" i="3"/>
  <c r="J72" i="3"/>
  <c r="AJ72" i="3"/>
  <c r="AH72" i="3"/>
  <c r="AG72" i="3"/>
  <c r="B72" i="3"/>
  <c r="G72" i="3"/>
  <c r="AA71" i="3"/>
  <c r="AB71" i="3" s="1"/>
  <c r="Z71" i="3"/>
  <c r="Y71" i="3"/>
  <c r="V71" i="3"/>
  <c r="U71" i="3"/>
  <c r="N71" i="3"/>
  <c r="Q71" i="3" s="1"/>
  <c r="L71" i="3"/>
  <c r="J71" i="3"/>
  <c r="AJ71" i="3"/>
  <c r="AH71" i="3"/>
  <c r="AG71" i="3"/>
  <c r="B71" i="3"/>
  <c r="G71" i="3"/>
  <c r="AA70" i="3"/>
  <c r="AB70" i="3" s="1"/>
  <c r="Z70" i="3"/>
  <c r="Y70" i="3"/>
  <c r="V70" i="3"/>
  <c r="U70" i="3"/>
  <c r="N70" i="3"/>
  <c r="Q70" i="3" s="1"/>
  <c r="L70" i="3"/>
  <c r="J70" i="3"/>
  <c r="AJ70" i="3"/>
  <c r="AH70" i="3"/>
  <c r="AG70" i="3"/>
  <c r="B70" i="3"/>
  <c r="G70" i="3"/>
  <c r="AA69" i="3"/>
  <c r="AB69" i="3" s="1"/>
  <c r="Z69" i="3"/>
  <c r="Y69" i="3"/>
  <c r="V69" i="3"/>
  <c r="U69" i="3"/>
  <c r="N69" i="3"/>
  <c r="Q69" i="3" s="1"/>
  <c r="L69" i="3"/>
  <c r="J69" i="3"/>
  <c r="AJ69" i="3"/>
  <c r="AH69" i="3"/>
  <c r="AG69" i="3"/>
  <c r="B69" i="3"/>
  <c r="G69" i="3"/>
  <c r="AA68" i="3"/>
  <c r="AB68" i="3" s="1"/>
  <c r="Z68" i="3"/>
  <c r="Y68" i="3"/>
  <c r="V68" i="3"/>
  <c r="U68" i="3"/>
  <c r="N68" i="3"/>
  <c r="Q68" i="3" s="1"/>
  <c r="L68" i="3"/>
  <c r="J68" i="3"/>
  <c r="AJ68" i="3"/>
  <c r="AH68" i="3"/>
  <c r="AG68" i="3"/>
  <c r="B68" i="3"/>
  <c r="G68" i="3"/>
  <c r="AA67" i="3"/>
  <c r="AB67" i="3" s="1"/>
  <c r="Z67" i="3"/>
  <c r="Y67" i="3"/>
  <c r="V67" i="3"/>
  <c r="U67" i="3"/>
  <c r="N67" i="3"/>
  <c r="L67" i="3"/>
  <c r="J67" i="3"/>
  <c r="AJ67" i="3"/>
  <c r="AH67" i="3"/>
  <c r="AG67" i="3"/>
  <c r="B67" i="3"/>
  <c r="G67" i="3"/>
  <c r="AA66" i="3"/>
  <c r="AB66" i="3" s="1"/>
  <c r="Z66" i="3"/>
  <c r="Y66" i="3"/>
  <c r="V66" i="3"/>
  <c r="U66" i="3"/>
  <c r="N66" i="3"/>
  <c r="Q66" i="3" s="1"/>
  <c r="L66" i="3"/>
  <c r="J66" i="3"/>
  <c r="AJ66" i="3"/>
  <c r="AH66" i="3"/>
  <c r="AG66" i="3"/>
  <c r="B66" i="3"/>
  <c r="G66" i="3"/>
  <c r="AA65" i="3"/>
  <c r="AB65" i="3" s="1"/>
  <c r="Z65" i="3"/>
  <c r="Y65" i="3"/>
  <c r="V65" i="3"/>
  <c r="U65" i="3"/>
  <c r="N65" i="3"/>
  <c r="Q65" i="3" s="1"/>
  <c r="L65" i="3"/>
  <c r="J65" i="3"/>
  <c r="AJ65" i="3"/>
  <c r="AH65" i="3"/>
  <c r="AG65" i="3"/>
  <c r="B65" i="3"/>
  <c r="G65" i="3"/>
  <c r="AA64" i="3"/>
  <c r="AB64" i="3" s="1"/>
  <c r="Z64" i="3"/>
  <c r="Y64" i="3"/>
  <c r="V64" i="3"/>
  <c r="U64" i="3"/>
  <c r="N64" i="3"/>
  <c r="Q64" i="3" s="1"/>
  <c r="L64" i="3"/>
  <c r="J64" i="3"/>
  <c r="AJ64" i="3"/>
  <c r="AH64" i="3"/>
  <c r="AG64" i="3"/>
  <c r="B64" i="3"/>
  <c r="G64" i="3"/>
  <c r="AA63" i="3"/>
  <c r="AB63" i="3" s="1"/>
  <c r="Z63" i="3"/>
  <c r="Y63" i="3"/>
  <c r="V63" i="3"/>
  <c r="U63" i="3"/>
  <c r="N63" i="3"/>
  <c r="Q63" i="3" s="1"/>
  <c r="L63" i="3"/>
  <c r="J63" i="3"/>
  <c r="AJ63" i="3"/>
  <c r="AH63" i="3"/>
  <c r="AG63" i="3"/>
  <c r="B63" i="3"/>
  <c r="G63" i="3"/>
  <c r="AA62" i="3"/>
  <c r="AB62" i="3" s="1"/>
  <c r="Z62" i="3"/>
  <c r="Y62" i="3"/>
  <c r="V62" i="3"/>
  <c r="U62" i="3"/>
  <c r="N62" i="3"/>
  <c r="Q62" i="3" s="1"/>
  <c r="L62" i="3"/>
  <c r="J62" i="3"/>
  <c r="AJ62" i="3"/>
  <c r="AH62" i="3"/>
  <c r="AG62" i="3"/>
  <c r="B62" i="3"/>
  <c r="G62" i="3"/>
  <c r="AA61" i="3"/>
  <c r="AB61" i="3" s="1"/>
  <c r="Z61" i="3"/>
  <c r="Y61" i="3"/>
  <c r="V61" i="3"/>
  <c r="U61" i="3"/>
  <c r="N61" i="3"/>
  <c r="Q61" i="3" s="1"/>
  <c r="L61" i="3"/>
  <c r="J61" i="3"/>
  <c r="AJ61" i="3"/>
  <c r="AH61" i="3"/>
  <c r="AG61" i="3"/>
  <c r="B61" i="3"/>
  <c r="G61" i="3"/>
  <c r="AA60" i="3"/>
  <c r="AB60" i="3" s="1"/>
  <c r="Z60" i="3"/>
  <c r="Y60" i="3"/>
  <c r="V60" i="3"/>
  <c r="U60" i="3"/>
  <c r="N60" i="3"/>
  <c r="Q60" i="3" s="1"/>
  <c r="L60" i="3"/>
  <c r="J60" i="3"/>
  <c r="AJ60" i="3"/>
  <c r="AH60" i="3"/>
  <c r="AG60" i="3"/>
  <c r="B60" i="3"/>
  <c r="G60" i="3"/>
  <c r="AA59" i="3"/>
  <c r="AB59" i="3" s="1"/>
  <c r="Z59" i="3"/>
  <c r="Y59" i="3"/>
  <c r="V59" i="3"/>
  <c r="U59" i="3"/>
  <c r="N59" i="3"/>
  <c r="L59" i="3"/>
  <c r="J59" i="3"/>
  <c r="AJ59" i="3"/>
  <c r="AH59" i="3"/>
  <c r="AG59" i="3"/>
  <c r="B59" i="3"/>
  <c r="G59" i="3"/>
  <c r="AA58" i="3"/>
  <c r="AB58" i="3" s="1"/>
  <c r="Z58" i="3"/>
  <c r="Y58" i="3"/>
  <c r="V58" i="3"/>
  <c r="U58" i="3"/>
  <c r="N58" i="3"/>
  <c r="Q58" i="3" s="1"/>
  <c r="L58" i="3"/>
  <c r="J58" i="3"/>
  <c r="AJ58" i="3"/>
  <c r="AH58" i="3"/>
  <c r="AG58" i="3"/>
  <c r="B58" i="3"/>
  <c r="G58" i="3"/>
  <c r="AA57" i="3"/>
  <c r="AB57" i="3" s="1"/>
  <c r="Z57" i="3"/>
  <c r="Y57" i="3"/>
  <c r="V57" i="3"/>
  <c r="U57" i="3"/>
  <c r="N57" i="3"/>
  <c r="Q57" i="3" s="1"/>
  <c r="L57" i="3"/>
  <c r="J57" i="3"/>
  <c r="AJ57" i="3"/>
  <c r="AH57" i="3"/>
  <c r="AG57" i="3"/>
  <c r="B57" i="3"/>
  <c r="G57" i="3"/>
  <c r="AA56" i="3"/>
  <c r="AB56" i="3" s="1"/>
  <c r="Z56" i="3"/>
  <c r="Y56" i="3"/>
  <c r="V56" i="3"/>
  <c r="U56" i="3"/>
  <c r="N56" i="3"/>
  <c r="Q56" i="3" s="1"/>
  <c r="L56" i="3"/>
  <c r="J56" i="3"/>
  <c r="AJ56" i="3"/>
  <c r="AH56" i="3"/>
  <c r="AG56" i="3"/>
  <c r="B56" i="3"/>
  <c r="G56" i="3"/>
  <c r="AA55" i="3"/>
  <c r="AB55" i="3" s="1"/>
  <c r="Z55" i="3"/>
  <c r="Y55" i="3"/>
  <c r="V55" i="3"/>
  <c r="U55" i="3"/>
  <c r="N55" i="3"/>
  <c r="L55" i="3"/>
  <c r="J55" i="3"/>
  <c r="AJ55" i="3"/>
  <c r="AH55" i="3"/>
  <c r="AG55" i="3"/>
  <c r="B55" i="3"/>
  <c r="G55" i="3"/>
  <c r="AA54" i="3"/>
  <c r="AB54" i="3" s="1"/>
  <c r="Z54" i="3"/>
  <c r="Y54" i="3"/>
  <c r="V54" i="3"/>
  <c r="U54" i="3"/>
  <c r="N54" i="3"/>
  <c r="Q54" i="3" s="1"/>
  <c r="L54" i="3"/>
  <c r="J54" i="3"/>
  <c r="AJ54" i="3"/>
  <c r="AH54" i="3"/>
  <c r="AG54" i="3"/>
  <c r="B54" i="3"/>
  <c r="G54" i="3"/>
  <c r="AA53" i="3"/>
  <c r="AB53" i="3" s="1"/>
  <c r="Z53" i="3"/>
  <c r="Y53" i="3"/>
  <c r="V53" i="3"/>
  <c r="U53" i="3"/>
  <c r="N53" i="3"/>
  <c r="Q53" i="3" s="1"/>
  <c r="L53" i="3"/>
  <c r="J53" i="3"/>
  <c r="AJ53" i="3"/>
  <c r="AH53" i="3"/>
  <c r="AG53" i="3"/>
  <c r="B53" i="3"/>
  <c r="G53" i="3"/>
  <c r="AA52" i="3"/>
  <c r="AB52" i="3" s="1"/>
  <c r="Z52" i="3"/>
  <c r="Y52" i="3"/>
  <c r="V52" i="3"/>
  <c r="U52" i="3"/>
  <c r="N52" i="3"/>
  <c r="Q52" i="3" s="1"/>
  <c r="L52" i="3"/>
  <c r="J52" i="3"/>
  <c r="AJ52" i="3"/>
  <c r="AH52" i="3"/>
  <c r="AG52" i="3"/>
  <c r="B52" i="3"/>
  <c r="G52" i="3"/>
  <c r="AA51" i="3"/>
  <c r="AB51" i="3" s="1"/>
  <c r="Z51" i="3"/>
  <c r="Y51" i="3"/>
  <c r="V51" i="3"/>
  <c r="U51" i="3"/>
  <c r="N51" i="3"/>
  <c r="L51" i="3"/>
  <c r="J51" i="3"/>
  <c r="AJ51" i="3"/>
  <c r="AH51" i="3"/>
  <c r="AG51" i="3"/>
  <c r="B51" i="3"/>
  <c r="G51" i="3"/>
  <c r="AA50" i="3"/>
  <c r="AB50" i="3" s="1"/>
  <c r="Z50" i="3"/>
  <c r="Y50" i="3"/>
  <c r="V50" i="3"/>
  <c r="U50" i="3"/>
  <c r="N50" i="3"/>
  <c r="Q50" i="3" s="1"/>
  <c r="L50" i="3"/>
  <c r="J50" i="3"/>
  <c r="AJ50" i="3"/>
  <c r="AH50" i="3"/>
  <c r="AG50" i="3"/>
  <c r="B50" i="3"/>
  <c r="G50" i="3"/>
  <c r="AA49" i="3"/>
  <c r="AB49" i="3" s="1"/>
  <c r="Z49" i="3"/>
  <c r="Y49" i="3"/>
  <c r="V49" i="3"/>
  <c r="U49" i="3"/>
  <c r="N49" i="3"/>
  <c r="Q49" i="3" s="1"/>
  <c r="L49" i="3"/>
  <c r="J49" i="3"/>
  <c r="AJ49" i="3"/>
  <c r="AH49" i="3"/>
  <c r="AG49" i="3"/>
  <c r="B49" i="3"/>
  <c r="G49" i="3"/>
  <c r="AA48" i="3"/>
  <c r="AB48" i="3" s="1"/>
  <c r="Z48" i="3"/>
  <c r="Y48" i="3"/>
  <c r="V48" i="3"/>
  <c r="U48" i="3"/>
  <c r="N48" i="3"/>
  <c r="Q48" i="3" s="1"/>
  <c r="L48" i="3"/>
  <c r="J48" i="3"/>
  <c r="AJ48" i="3"/>
  <c r="AH48" i="3"/>
  <c r="AG48" i="3"/>
  <c r="B48" i="3"/>
  <c r="G48" i="3"/>
  <c r="AA47" i="3"/>
  <c r="AB47" i="3" s="1"/>
  <c r="Z47" i="3"/>
  <c r="Y47" i="3"/>
  <c r="V47" i="3"/>
  <c r="U47" i="3"/>
  <c r="N47" i="3"/>
  <c r="L47" i="3"/>
  <c r="J47" i="3"/>
  <c r="AJ47" i="3"/>
  <c r="AH47" i="3"/>
  <c r="AG47" i="3"/>
  <c r="B47" i="3"/>
  <c r="G47" i="3"/>
  <c r="AA46" i="3"/>
  <c r="AB46" i="3" s="1"/>
  <c r="Z46" i="3"/>
  <c r="Y46" i="3"/>
  <c r="V46" i="3"/>
  <c r="U46" i="3"/>
  <c r="N46" i="3"/>
  <c r="Q46" i="3" s="1"/>
  <c r="L46" i="3"/>
  <c r="J46" i="3"/>
  <c r="AJ46" i="3"/>
  <c r="AH46" i="3"/>
  <c r="AG46" i="3"/>
  <c r="B46" i="3"/>
  <c r="G46" i="3"/>
  <c r="AA45" i="3"/>
  <c r="AB45" i="3" s="1"/>
  <c r="Z45" i="3"/>
  <c r="Y45" i="3"/>
  <c r="V45" i="3"/>
  <c r="U45" i="3"/>
  <c r="N45" i="3"/>
  <c r="Q45" i="3" s="1"/>
  <c r="L45" i="3"/>
  <c r="J45" i="3"/>
  <c r="AJ45" i="3"/>
  <c r="AH45" i="3"/>
  <c r="AG45" i="3"/>
  <c r="B45" i="3"/>
  <c r="G45" i="3"/>
  <c r="AA44" i="3"/>
  <c r="AB44" i="3" s="1"/>
  <c r="Z44" i="3"/>
  <c r="Y44" i="3"/>
  <c r="V44" i="3"/>
  <c r="U44" i="3"/>
  <c r="N44" i="3"/>
  <c r="Q44" i="3" s="1"/>
  <c r="L44" i="3"/>
  <c r="J44" i="3"/>
  <c r="AJ44" i="3"/>
  <c r="AH44" i="3"/>
  <c r="AG44" i="3"/>
  <c r="B44" i="3"/>
  <c r="G44" i="3"/>
  <c r="AA43" i="3"/>
  <c r="AB43" i="3" s="1"/>
  <c r="Z43" i="3"/>
  <c r="Y43" i="3"/>
  <c r="V43" i="3"/>
  <c r="U43" i="3"/>
  <c r="N43" i="3"/>
  <c r="L43" i="3"/>
  <c r="J43" i="3"/>
  <c r="AJ43" i="3"/>
  <c r="AH43" i="3"/>
  <c r="AG43" i="3"/>
  <c r="B43" i="3"/>
  <c r="G43" i="3"/>
  <c r="AA42" i="3"/>
  <c r="AB42" i="3" s="1"/>
  <c r="Z42" i="3"/>
  <c r="Y42" i="3"/>
  <c r="V42" i="3"/>
  <c r="U42" i="3"/>
  <c r="N42" i="3"/>
  <c r="Q42" i="3" s="1"/>
  <c r="L42" i="3"/>
  <c r="J42" i="3"/>
  <c r="AJ42" i="3"/>
  <c r="AH42" i="3"/>
  <c r="AG42" i="3"/>
  <c r="B42" i="3"/>
  <c r="G42" i="3"/>
  <c r="AA41" i="3"/>
  <c r="AB41" i="3" s="1"/>
  <c r="Z41" i="3"/>
  <c r="Y41" i="3"/>
  <c r="V41" i="3"/>
  <c r="U41" i="3"/>
  <c r="N41" i="3"/>
  <c r="Q41" i="3" s="1"/>
  <c r="L41" i="3"/>
  <c r="J41" i="3"/>
  <c r="AJ41" i="3"/>
  <c r="AH41" i="3"/>
  <c r="AG41" i="3"/>
  <c r="B41" i="3"/>
  <c r="G41" i="3"/>
  <c r="AA40" i="3"/>
  <c r="AB40" i="3" s="1"/>
  <c r="Z40" i="3"/>
  <c r="Y40" i="3"/>
  <c r="V40" i="3"/>
  <c r="U40" i="3"/>
  <c r="N40" i="3"/>
  <c r="Q40" i="3" s="1"/>
  <c r="L40" i="3"/>
  <c r="J40" i="3"/>
  <c r="AJ40" i="3"/>
  <c r="AH40" i="3"/>
  <c r="AG40" i="3"/>
  <c r="B40" i="3"/>
  <c r="G40" i="3"/>
  <c r="AA39" i="3"/>
  <c r="AB39" i="3" s="1"/>
  <c r="Z39" i="3"/>
  <c r="Y39" i="3"/>
  <c r="V39" i="3"/>
  <c r="U39" i="3"/>
  <c r="N39" i="3"/>
  <c r="L39" i="3"/>
  <c r="J39" i="3"/>
  <c r="AJ39" i="3"/>
  <c r="AH39" i="3"/>
  <c r="AG39" i="3"/>
  <c r="B39" i="3"/>
  <c r="G39" i="3"/>
  <c r="AA38" i="3"/>
  <c r="AB38" i="3" s="1"/>
  <c r="Z38" i="3"/>
  <c r="Y38" i="3"/>
  <c r="V38" i="3"/>
  <c r="U38" i="3"/>
  <c r="N38" i="3"/>
  <c r="Q38" i="3" s="1"/>
  <c r="L38" i="3"/>
  <c r="J38" i="3"/>
  <c r="AJ38" i="3"/>
  <c r="AH38" i="3"/>
  <c r="AG38" i="3"/>
  <c r="B38" i="3"/>
  <c r="G38" i="3"/>
  <c r="AA37" i="3"/>
  <c r="AB37" i="3" s="1"/>
  <c r="Z37" i="3"/>
  <c r="Y37" i="3"/>
  <c r="V37" i="3"/>
  <c r="U37" i="3"/>
  <c r="N37" i="3"/>
  <c r="Q37" i="3" s="1"/>
  <c r="L37" i="3"/>
  <c r="J37" i="3"/>
  <c r="AJ37" i="3"/>
  <c r="AH37" i="3"/>
  <c r="AG37" i="3"/>
  <c r="B37" i="3"/>
  <c r="G37" i="3"/>
  <c r="AA36" i="3"/>
  <c r="AB36" i="3" s="1"/>
  <c r="Z36" i="3"/>
  <c r="Y36" i="3"/>
  <c r="V36" i="3"/>
  <c r="U36" i="3"/>
  <c r="N36" i="3"/>
  <c r="Q36" i="3" s="1"/>
  <c r="L36" i="3"/>
  <c r="J36" i="3"/>
  <c r="AJ36" i="3"/>
  <c r="AH36" i="3"/>
  <c r="AG36" i="3"/>
  <c r="B36" i="3"/>
  <c r="G36" i="3"/>
  <c r="AA35" i="3"/>
  <c r="AB35" i="3" s="1"/>
  <c r="Z35" i="3"/>
  <c r="Y35" i="3"/>
  <c r="V35" i="3"/>
  <c r="U35" i="3"/>
  <c r="N35" i="3"/>
  <c r="L35" i="3"/>
  <c r="J35" i="3"/>
  <c r="AJ35" i="3"/>
  <c r="AH35" i="3"/>
  <c r="AG35" i="3"/>
  <c r="B35" i="3"/>
  <c r="G35" i="3"/>
  <c r="AA34" i="3"/>
  <c r="AB34" i="3" s="1"/>
  <c r="Z34" i="3"/>
  <c r="Y34" i="3"/>
  <c r="V34" i="3"/>
  <c r="U34" i="3"/>
  <c r="N34" i="3"/>
  <c r="Q34" i="3" s="1"/>
  <c r="L34" i="3"/>
  <c r="J34" i="3"/>
  <c r="AJ34" i="3"/>
  <c r="AH34" i="3"/>
  <c r="AG34" i="3"/>
  <c r="B34" i="3"/>
  <c r="G34" i="3"/>
  <c r="AA33" i="3"/>
  <c r="AB33" i="3" s="1"/>
  <c r="Z33" i="3"/>
  <c r="Y33" i="3"/>
  <c r="V33" i="3"/>
  <c r="U33" i="3"/>
  <c r="N33" i="3"/>
  <c r="Q33" i="3" s="1"/>
  <c r="L33" i="3"/>
  <c r="J33" i="3"/>
  <c r="AJ33" i="3"/>
  <c r="AH33" i="3"/>
  <c r="AG33" i="3"/>
  <c r="B33" i="3"/>
  <c r="G33" i="3"/>
  <c r="AA32" i="3"/>
  <c r="AB32" i="3" s="1"/>
  <c r="Z32" i="3"/>
  <c r="Y32" i="3"/>
  <c r="V32" i="3"/>
  <c r="U32" i="3"/>
  <c r="N32" i="3"/>
  <c r="Q32" i="3" s="1"/>
  <c r="L32" i="3"/>
  <c r="J32" i="3"/>
  <c r="AJ32" i="3"/>
  <c r="AH32" i="3"/>
  <c r="AG32" i="3"/>
  <c r="B32" i="3"/>
  <c r="G32" i="3"/>
  <c r="AA31" i="3"/>
  <c r="AB31" i="3" s="1"/>
  <c r="Z31" i="3"/>
  <c r="Y31" i="3"/>
  <c r="V31" i="3"/>
  <c r="U31" i="3"/>
  <c r="N31" i="3"/>
  <c r="L31" i="3"/>
  <c r="J31" i="3"/>
  <c r="AJ31" i="3"/>
  <c r="AH31" i="3"/>
  <c r="AG31" i="3"/>
  <c r="B31" i="3"/>
  <c r="G31" i="3"/>
  <c r="AA30" i="3"/>
  <c r="AB30" i="3" s="1"/>
  <c r="Z30" i="3"/>
  <c r="Y30" i="3"/>
  <c r="V30" i="3"/>
  <c r="U30" i="3"/>
  <c r="N30" i="3"/>
  <c r="L30" i="3"/>
  <c r="J30" i="3"/>
  <c r="AJ30" i="3"/>
  <c r="AH30" i="3"/>
  <c r="AG30" i="3"/>
  <c r="B30" i="3"/>
  <c r="G30" i="3"/>
  <c r="AA29" i="3"/>
  <c r="AB29" i="3" s="1"/>
  <c r="Z29" i="3"/>
  <c r="Y29" i="3"/>
  <c r="V29" i="3"/>
  <c r="U29" i="3"/>
  <c r="N29" i="3"/>
  <c r="Q29" i="3" s="1"/>
  <c r="L29" i="3"/>
  <c r="J29" i="3"/>
  <c r="AJ29" i="3"/>
  <c r="AH29" i="3"/>
  <c r="AG29" i="3"/>
  <c r="B29" i="3"/>
  <c r="G29" i="3"/>
  <c r="AA28" i="3"/>
  <c r="AB28" i="3" s="1"/>
  <c r="Z28" i="3"/>
  <c r="Y28" i="3"/>
  <c r="V28" i="3"/>
  <c r="U28" i="3"/>
  <c r="N28" i="3"/>
  <c r="Q28" i="3" s="1"/>
  <c r="L28" i="3"/>
  <c r="J28" i="3"/>
  <c r="AJ28" i="3"/>
  <c r="AH28" i="3"/>
  <c r="AG28" i="3"/>
  <c r="B28" i="3"/>
  <c r="G28" i="3"/>
  <c r="AA27" i="3"/>
  <c r="AB27" i="3" s="1"/>
  <c r="Z27" i="3"/>
  <c r="Y27" i="3"/>
  <c r="V27" i="3"/>
  <c r="U27" i="3"/>
  <c r="N27" i="3"/>
  <c r="L27" i="3"/>
  <c r="J27" i="3"/>
  <c r="AJ27" i="3"/>
  <c r="AH27" i="3"/>
  <c r="AG27" i="3"/>
  <c r="B27" i="3"/>
  <c r="G27" i="3"/>
  <c r="AA26" i="3"/>
  <c r="AB26" i="3" s="1"/>
  <c r="Z26" i="3"/>
  <c r="Y26" i="3"/>
  <c r="V26" i="3"/>
  <c r="U26" i="3"/>
  <c r="N26" i="3"/>
  <c r="L26" i="3"/>
  <c r="J26" i="3"/>
  <c r="AJ26" i="3"/>
  <c r="AH26" i="3"/>
  <c r="AG26" i="3"/>
  <c r="B26" i="3"/>
  <c r="G26" i="3"/>
  <c r="AA25" i="3"/>
  <c r="AB25" i="3" s="1"/>
  <c r="Z25" i="3"/>
  <c r="Y25" i="3"/>
  <c r="V25" i="3"/>
  <c r="U25" i="3"/>
  <c r="N25" i="3"/>
  <c r="Q25" i="3" s="1"/>
  <c r="L25" i="3"/>
  <c r="J25" i="3"/>
  <c r="AJ25" i="3"/>
  <c r="AH25" i="3"/>
  <c r="AG25" i="3"/>
  <c r="B25" i="3"/>
  <c r="G25" i="3"/>
  <c r="AA24" i="3"/>
  <c r="AB24" i="3" s="1"/>
  <c r="Z24" i="3"/>
  <c r="Y24" i="3"/>
  <c r="V24" i="3"/>
  <c r="U24" i="3"/>
  <c r="N24" i="3"/>
  <c r="Q24" i="3" s="1"/>
  <c r="L24" i="3"/>
  <c r="J24" i="3"/>
  <c r="AJ24" i="3"/>
  <c r="AH24" i="3"/>
  <c r="AG24" i="3"/>
  <c r="B24" i="3"/>
  <c r="G24" i="3"/>
  <c r="AA23" i="3"/>
  <c r="AB23" i="3" s="1"/>
  <c r="Z23" i="3"/>
  <c r="Y23" i="3"/>
  <c r="V23" i="3"/>
  <c r="U23" i="3"/>
  <c r="N23" i="3"/>
  <c r="L23" i="3"/>
  <c r="J23" i="3"/>
  <c r="AJ23" i="3"/>
  <c r="AH23" i="3"/>
  <c r="AG23" i="3"/>
  <c r="B23" i="3"/>
  <c r="G23" i="3"/>
  <c r="AA22" i="3"/>
  <c r="AB22" i="3" s="1"/>
  <c r="Z22" i="3"/>
  <c r="Y22" i="3"/>
  <c r="V22" i="3"/>
  <c r="U22" i="3"/>
  <c r="N22" i="3"/>
  <c r="L22" i="3"/>
  <c r="J22" i="3"/>
  <c r="AJ22" i="3"/>
  <c r="AH22" i="3"/>
  <c r="AG22" i="3"/>
  <c r="B22" i="3"/>
  <c r="G22" i="3"/>
  <c r="AA21" i="3"/>
  <c r="AB21" i="3" s="1"/>
  <c r="Z21" i="3"/>
  <c r="Y21" i="3"/>
  <c r="V21" i="3"/>
  <c r="U21" i="3"/>
  <c r="N21" i="3"/>
  <c r="Q21" i="3" s="1"/>
  <c r="L21" i="3"/>
  <c r="J21" i="3"/>
  <c r="AJ21" i="3"/>
  <c r="AH21" i="3"/>
  <c r="AG21" i="3"/>
  <c r="B21" i="3"/>
  <c r="G21" i="3"/>
  <c r="AA20" i="3"/>
  <c r="AB20" i="3" s="1"/>
  <c r="Z20" i="3"/>
  <c r="Y20" i="3"/>
  <c r="V20" i="3"/>
  <c r="U20" i="3"/>
  <c r="N20" i="3"/>
  <c r="Q20" i="3" s="1"/>
  <c r="L20" i="3"/>
  <c r="J20" i="3"/>
  <c r="AJ20" i="3"/>
  <c r="AH20" i="3"/>
  <c r="AG20" i="3"/>
  <c r="B20" i="3"/>
  <c r="G20" i="3"/>
  <c r="AA19" i="3"/>
  <c r="AB19" i="3" s="1"/>
  <c r="Z19" i="3"/>
  <c r="Y19" i="3"/>
  <c r="V19" i="3"/>
  <c r="U19" i="3"/>
  <c r="N19" i="3"/>
  <c r="L19" i="3"/>
  <c r="J19" i="3"/>
  <c r="AJ19" i="3"/>
  <c r="AH19" i="3"/>
  <c r="AG19" i="3"/>
  <c r="B19" i="3"/>
  <c r="G19" i="3"/>
  <c r="AA18" i="3"/>
  <c r="AB18" i="3" s="1"/>
  <c r="Z18" i="3"/>
  <c r="Y18" i="3"/>
  <c r="V18" i="3"/>
  <c r="U18" i="3"/>
  <c r="N18" i="3"/>
  <c r="L18" i="3"/>
  <c r="J18" i="3"/>
  <c r="AJ18" i="3"/>
  <c r="AH18" i="3"/>
  <c r="AG18" i="3"/>
  <c r="B18" i="3"/>
  <c r="G18" i="3"/>
  <c r="AA17" i="3"/>
  <c r="AB17" i="3" s="1"/>
  <c r="Z17" i="3"/>
  <c r="Y17" i="3"/>
  <c r="V17" i="3"/>
  <c r="U17" i="3"/>
  <c r="N17" i="3"/>
  <c r="Q17" i="3" s="1"/>
  <c r="L17" i="3"/>
  <c r="J17" i="3"/>
  <c r="AJ17" i="3"/>
  <c r="AH17" i="3"/>
  <c r="AG17" i="3"/>
  <c r="B17" i="3"/>
  <c r="G17" i="3"/>
  <c r="AA16" i="3"/>
  <c r="AB16" i="3" s="1"/>
  <c r="Z16" i="3"/>
  <c r="Y16" i="3"/>
  <c r="V16" i="3"/>
  <c r="U16" i="3"/>
  <c r="N16" i="3"/>
  <c r="Q16" i="3" s="1"/>
  <c r="L16" i="3"/>
  <c r="J16" i="3"/>
  <c r="AJ16" i="3"/>
  <c r="AH16" i="3"/>
  <c r="AG16" i="3"/>
  <c r="B16" i="3"/>
  <c r="G16" i="3"/>
  <c r="AA15" i="3"/>
  <c r="AB15" i="3" s="1"/>
  <c r="Z15" i="3"/>
  <c r="Y15" i="3"/>
  <c r="V15" i="3"/>
  <c r="U15" i="3"/>
  <c r="N15" i="3"/>
  <c r="L15" i="3"/>
  <c r="J15" i="3"/>
  <c r="AJ15" i="3"/>
  <c r="AH15" i="3"/>
  <c r="AG15" i="3"/>
  <c r="B15" i="3"/>
  <c r="G15" i="3"/>
  <c r="AA14" i="3"/>
  <c r="AB14" i="3" s="1"/>
  <c r="Z14" i="3"/>
  <c r="Y14" i="3"/>
  <c r="V14" i="3"/>
  <c r="U14" i="3"/>
  <c r="N14" i="3"/>
  <c r="L14" i="3"/>
  <c r="J14" i="3"/>
  <c r="AJ14" i="3"/>
  <c r="AH14" i="3"/>
  <c r="AG14" i="3"/>
  <c r="B14" i="3"/>
  <c r="G14" i="3"/>
  <c r="AA13" i="3"/>
  <c r="AB13" i="3" s="1"/>
  <c r="Z13" i="3"/>
  <c r="Y13" i="3"/>
  <c r="V13" i="3"/>
  <c r="U13" i="3"/>
  <c r="N13" i="3"/>
  <c r="Q13" i="3" s="1"/>
  <c r="L13" i="3"/>
  <c r="J13" i="3"/>
  <c r="AJ13" i="3"/>
  <c r="AH13" i="3"/>
  <c r="AG13" i="3"/>
  <c r="B13" i="3"/>
  <c r="G13" i="3"/>
  <c r="AA12" i="3"/>
  <c r="AB12" i="3" s="1"/>
  <c r="Z12" i="3"/>
  <c r="Y12" i="3"/>
  <c r="V12" i="3"/>
  <c r="U12" i="3"/>
  <c r="N12" i="3"/>
  <c r="Q12" i="3" s="1"/>
  <c r="L12" i="3"/>
  <c r="J12" i="3"/>
  <c r="AJ12" i="3"/>
  <c r="AH12" i="3"/>
  <c r="AG12" i="3"/>
  <c r="B12" i="3"/>
  <c r="G12" i="3"/>
  <c r="AA11" i="3"/>
  <c r="AB11" i="3" s="1"/>
  <c r="Z11" i="3"/>
  <c r="Y11" i="3"/>
  <c r="V11" i="3"/>
  <c r="U11" i="3"/>
  <c r="N11" i="3"/>
  <c r="L11" i="3"/>
  <c r="J11" i="3"/>
  <c r="AJ11" i="3"/>
  <c r="B11" i="3"/>
  <c r="G11" i="3"/>
  <c r="AA10" i="3"/>
  <c r="AB10" i="3" s="1"/>
  <c r="Z10" i="3"/>
  <c r="Y10" i="3"/>
  <c r="V10" i="3"/>
  <c r="U10" i="3"/>
  <c r="N10" i="3"/>
  <c r="Q10" i="3" s="1"/>
  <c r="L10" i="3"/>
  <c r="J10" i="3"/>
  <c r="AJ10" i="3"/>
  <c r="B10" i="3"/>
  <c r="G10" i="3"/>
  <c r="AA9" i="3"/>
  <c r="AB9" i="3" s="1"/>
  <c r="Z9" i="3"/>
  <c r="Y9" i="3"/>
  <c r="V9" i="3"/>
  <c r="U9" i="3"/>
  <c r="N9" i="3"/>
  <c r="Q9" i="3" s="1"/>
  <c r="L9" i="3"/>
  <c r="J9" i="3"/>
  <c r="AJ9" i="3"/>
  <c r="B9" i="3"/>
  <c r="G9" i="3"/>
  <c r="AA8" i="3"/>
  <c r="AB8" i="3" s="1"/>
  <c r="Z8" i="3"/>
  <c r="Y8" i="3"/>
  <c r="V8" i="3"/>
  <c r="U8" i="3"/>
  <c r="N8" i="3"/>
  <c r="L8" i="3"/>
  <c r="J8" i="3"/>
  <c r="AJ8" i="3"/>
  <c r="B8" i="3"/>
  <c r="G8" i="3"/>
  <c r="AA7" i="3"/>
  <c r="AB7" i="3" s="1"/>
  <c r="Z7" i="3"/>
  <c r="Y7" i="3"/>
  <c r="V7" i="3"/>
  <c r="U7" i="3"/>
  <c r="N7" i="3"/>
  <c r="Q7" i="3" s="1"/>
  <c r="L7" i="3"/>
  <c r="J7" i="3"/>
  <c r="AJ7" i="3"/>
  <c r="B7" i="3"/>
  <c r="G7" i="3"/>
  <c r="AA6" i="3"/>
  <c r="AB6" i="3" s="1"/>
  <c r="Z6" i="3"/>
  <c r="Y6" i="3"/>
  <c r="V6" i="3"/>
  <c r="U6" i="3"/>
  <c r="N6" i="3"/>
  <c r="Q6" i="3" s="1"/>
  <c r="L6" i="3"/>
  <c r="J6" i="3"/>
  <c r="AJ6" i="3"/>
  <c r="B6" i="3"/>
  <c r="G6" i="3"/>
  <c r="AC5" i="3"/>
  <c r="AA5" i="3"/>
  <c r="AB5" i="3" s="1"/>
  <c r="Z5" i="3"/>
  <c r="Y5" i="3"/>
  <c r="V5" i="3"/>
  <c r="U5" i="3"/>
  <c r="N5" i="3"/>
  <c r="Q5" i="3" s="1"/>
  <c r="L5" i="3"/>
  <c r="J5" i="3"/>
  <c r="AJ5" i="3"/>
  <c r="B5" i="3"/>
  <c r="G5" i="3"/>
  <c r="T136" i="2"/>
  <c r="S136" i="2"/>
  <c r="R136" i="2"/>
  <c r="P136" i="2"/>
  <c r="N136" i="2"/>
  <c r="K136" i="2"/>
  <c r="I136" i="2"/>
  <c r="J136" i="2" s="1"/>
  <c r="H136" i="2"/>
  <c r="M136" i="2" s="1"/>
  <c r="T135" i="2"/>
  <c r="S135" i="2"/>
  <c r="R135" i="2"/>
  <c r="P135" i="2"/>
  <c r="N135" i="2"/>
  <c r="O135" i="2" s="1"/>
  <c r="K135" i="2"/>
  <c r="I135" i="2"/>
  <c r="J135" i="2" s="1"/>
  <c r="H135" i="2"/>
  <c r="B135" i="2" s="1"/>
  <c r="T134" i="2"/>
  <c r="S134" i="2"/>
  <c r="R134" i="2"/>
  <c r="P134" i="2"/>
  <c r="N134" i="2"/>
  <c r="K134" i="2"/>
  <c r="I134" i="2"/>
  <c r="H134" i="2"/>
  <c r="M134" i="2" s="1"/>
  <c r="B134" i="2"/>
  <c r="T133" i="2"/>
  <c r="S133" i="2"/>
  <c r="R133" i="2"/>
  <c r="P133" i="2"/>
  <c r="N133" i="2"/>
  <c r="O133" i="2" s="1"/>
  <c r="M133" i="2"/>
  <c r="K133" i="2"/>
  <c r="I133" i="2"/>
  <c r="H133" i="2"/>
  <c r="B133" i="2" s="1"/>
  <c r="T132" i="2"/>
  <c r="S132" i="2"/>
  <c r="R132" i="2"/>
  <c r="P132" i="2"/>
  <c r="N132" i="2"/>
  <c r="O132" i="2" s="1"/>
  <c r="K132" i="2"/>
  <c r="I132" i="2"/>
  <c r="J132" i="2" s="1"/>
  <c r="H132" i="2"/>
  <c r="M132" i="2" s="1"/>
  <c r="T131" i="2"/>
  <c r="S131" i="2"/>
  <c r="R131" i="2"/>
  <c r="P131" i="2"/>
  <c r="N131" i="2"/>
  <c r="O131" i="2" s="1"/>
  <c r="K131" i="2"/>
  <c r="I131" i="2"/>
  <c r="H131" i="2"/>
  <c r="B131" i="2" s="1"/>
  <c r="T130" i="2"/>
  <c r="S130" i="2"/>
  <c r="R130" i="2"/>
  <c r="P130" i="2"/>
  <c r="N130" i="2"/>
  <c r="O130" i="2" s="1"/>
  <c r="K130" i="2"/>
  <c r="I130" i="2"/>
  <c r="J130" i="2" s="1"/>
  <c r="H130" i="2"/>
  <c r="M130" i="2" s="1"/>
  <c r="T129" i="2"/>
  <c r="S129" i="2"/>
  <c r="R129" i="2"/>
  <c r="P129" i="2"/>
  <c r="N129" i="2"/>
  <c r="O129" i="2" s="1"/>
  <c r="K129" i="2"/>
  <c r="I129" i="2"/>
  <c r="H129" i="2"/>
  <c r="B129" i="2" s="1"/>
  <c r="T128" i="2"/>
  <c r="S128" i="2"/>
  <c r="R128" i="2"/>
  <c r="P128" i="2"/>
  <c r="N128" i="2"/>
  <c r="O128" i="2" s="1"/>
  <c r="K128" i="2"/>
  <c r="I128" i="2"/>
  <c r="J128" i="2" s="1"/>
  <c r="H128" i="2"/>
  <c r="M128" i="2" s="1"/>
  <c r="T127" i="2"/>
  <c r="S127" i="2"/>
  <c r="R127" i="2"/>
  <c r="P127" i="2"/>
  <c r="N127" i="2"/>
  <c r="O127" i="2" s="1"/>
  <c r="M127" i="2"/>
  <c r="K127" i="2"/>
  <c r="I127" i="2"/>
  <c r="H127" i="2"/>
  <c r="B127" i="2" s="1"/>
  <c r="T126" i="2"/>
  <c r="S126" i="2"/>
  <c r="R126" i="2"/>
  <c r="P126" i="2"/>
  <c r="N126" i="2"/>
  <c r="O126" i="2" s="1"/>
  <c r="K126" i="2"/>
  <c r="I126" i="2"/>
  <c r="J126" i="2" s="1"/>
  <c r="H126" i="2"/>
  <c r="M126" i="2" s="1"/>
  <c r="T125" i="2"/>
  <c r="S125" i="2"/>
  <c r="R125" i="2"/>
  <c r="P125" i="2"/>
  <c r="N125" i="2"/>
  <c r="O125" i="2" s="1"/>
  <c r="K125" i="2"/>
  <c r="I125" i="2"/>
  <c r="H125" i="2"/>
  <c r="B125" i="2" s="1"/>
  <c r="T124" i="2"/>
  <c r="S124" i="2"/>
  <c r="R124" i="2"/>
  <c r="P124" i="2"/>
  <c r="N124" i="2"/>
  <c r="O124" i="2" s="1"/>
  <c r="K124" i="2"/>
  <c r="I124" i="2"/>
  <c r="J124" i="2" s="1"/>
  <c r="H124" i="2"/>
  <c r="M124" i="2" s="1"/>
  <c r="T123" i="2"/>
  <c r="S123" i="2"/>
  <c r="R123" i="2"/>
  <c r="P123" i="2"/>
  <c r="N123" i="2"/>
  <c r="O123" i="2" s="1"/>
  <c r="K123" i="2"/>
  <c r="I123" i="2"/>
  <c r="H123" i="2"/>
  <c r="B123" i="2" s="1"/>
  <c r="T122" i="2"/>
  <c r="S122" i="2"/>
  <c r="R122" i="2"/>
  <c r="P122" i="2"/>
  <c r="N122" i="2"/>
  <c r="O122" i="2" s="1"/>
  <c r="K122" i="2"/>
  <c r="I122" i="2"/>
  <c r="J122" i="2" s="1"/>
  <c r="H122" i="2"/>
  <c r="M122" i="2" s="1"/>
  <c r="T121" i="2"/>
  <c r="S121" i="2"/>
  <c r="R121" i="2"/>
  <c r="P121" i="2"/>
  <c r="N121" i="2"/>
  <c r="O121" i="2" s="1"/>
  <c r="M121" i="2"/>
  <c r="K121" i="2"/>
  <c r="I121" i="2"/>
  <c r="H121" i="2"/>
  <c r="B121" i="2" s="1"/>
  <c r="T120" i="2"/>
  <c r="S120" i="2"/>
  <c r="R120" i="2"/>
  <c r="P120" i="2"/>
  <c r="N120" i="2"/>
  <c r="O120" i="2" s="1"/>
  <c r="K120" i="2"/>
  <c r="I120" i="2"/>
  <c r="H120" i="2"/>
  <c r="M120" i="2" s="1"/>
  <c r="T119" i="2"/>
  <c r="S119" i="2"/>
  <c r="R119" i="2"/>
  <c r="P119" i="2"/>
  <c r="N119" i="2"/>
  <c r="O119" i="2" s="1"/>
  <c r="M119" i="2"/>
  <c r="K119" i="2"/>
  <c r="I119" i="2"/>
  <c r="J119" i="2" s="1"/>
  <c r="H119" i="2"/>
  <c r="Q119" i="2" s="1"/>
  <c r="B119" i="2"/>
  <c r="T118" i="2"/>
  <c r="S118" i="2"/>
  <c r="R118" i="2"/>
  <c r="P118" i="2"/>
  <c r="N118" i="2"/>
  <c r="Q118" i="2" s="1"/>
  <c r="K118" i="2"/>
  <c r="I118" i="2"/>
  <c r="L118" i="2" s="1"/>
  <c r="H118" i="2"/>
  <c r="M118" i="2" s="1"/>
  <c r="T117" i="2"/>
  <c r="S117" i="2"/>
  <c r="R117" i="2"/>
  <c r="P117" i="2"/>
  <c r="N117" i="2"/>
  <c r="Q117" i="2" s="1"/>
  <c r="K117" i="2"/>
  <c r="I117" i="2"/>
  <c r="J117" i="2" s="1"/>
  <c r="H117" i="2"/>
  <c r="M117" i="2" s="1"/>
  <c r="T116" i="2"/>
  <c r="S116" i="2"/>
  <c r="R116" i="2"/>
  <c r="P116" i="2"/>
  <c r="N116" i="2"/>
  <c r="Q116" i="2" s="1"/>
  <c r="K116" i="2"/>
  <c r="I116" i="2"/>
  <c r="H116" i="2"/>
  <c r="M116" i="2" s="1"/>
  <c r="T115" i="2"/>
  <c r="S115" i="2"/>
  <c r="R115" i="2"/>
  <c r="P115" i="2"/>
  <c r="O115" i="2"/>
  <c r="N115" i="2"/>
  <c r="K115" i="2"/>
  <c r="I115" i="2"/>
  <c r="J115" i="2" s="1"/>
  <c r="H115" i="2"/>
  <c r="M115" i="2" s="1"/>
  <c r="T114" i="2"/>
  <c r="S114" i="2"/>
  <c r="R114" i="2"/>
  <c r="P114" i="2"/>
  <c r="N114" i="2"/>
  <c r="Q114" i="2" s="1"/>
  <c r="K114" i="2"/>
  <c r="I114" i="2"/>
  <c r="L114" i="2" s="1"/>
  <c r="H114" i="2"/>
  <c r="M114" i="2" s="1"/>
  <c r="T113" i="2"/>
  <c r="S113" i="2"/>
  <c r="R113" i="2"/>
  <c r="P113" i="2"/>
  <c r="N113" i="2"/>
  <c r="Q113" i="2" s="1"/>
  <c r="K113" i="2"/>
  <c r="I113" i="2"/>
  <c r="J113" i="2" s="1"/>
  <c r="H113" i="2"/>
  <c r="M113" i="2" s="1"/>
  <c r="T111" i="2"/>
  <c r="S111" i="2"/>
  <c r="T110" i="2"/>
  <c r="S110" i="2"/>
  <c r="T109" i="2"/>
  <c r="S109" i="2"/>
  <c r="T108" i="2"/>
  <c r="S108" i="2"/>
  <c r="T107" i="2"/>
  <c r="S107" i="2"/>
  <c r="T106" i="2"/>
  <c r="S106" i="2"/>
  <c r="T105" i="2"/>
  <c r="S105" i="2"/>
  <c r="T104" i="2"/>
  <c r="S104" i="2"/>
  <c r="T103" i="2"/>
  <c r="S103" i="2"/>
  <c r="T102" i="2"/>
  <c r="S102" i="2"/>
  <c r="T101" i="2"/>
  <c r="S101" i="2"/>
  <c r="T100" i="2"/>
  <c r="S100" i="2"/>
  <c r="T99" i="2"/>
  <c r="S99" i="2"/>
  <c r="T98" i="2"/>
  <c r="S98" i="2"/>
  <c r="T97" i="2"/>
  <c r="S97" i="2"/>
  <c r="T96" i="2"/>
  <c r="S96" i="2"/>
  <c r="T95" i="2"/>
  <c r="S95" i="2"/>
  <c r="T94" i="2"/>
  <c r="S94" i="2"/>
  <c r="T93" i="2"/>
  <c r="S93" i="2"/>
  <c r="T92" i="2"/>
  <c r="S92" i="2"/>
  <c r="T91" i="2"/>
  <c r="S91" i="2"/>
  <c r="T90" i="2"/>
  <c r="S90" i="2"/>
  <c r="T89" i="2"/>
  <c r="S89" i="2"/>
  <c r="T88" i="2"/>
  <c r="S88" i="2"/>
  <c r="T86" i="2"/>
  <c r="S86" i="2"/>
  <c r="T85" i="2"/>
  <c r="S85" i="2"/>
  <c r="T84" i="2"/>
  <c r="S84" i="2"/>
  <c r="T83" i="2"/>
  <c r="S83" i="2"/>
  <c r="T82" i="2"/>
  <c r="S82" i="2"/>
  <c r="T81" i="2"/>
  <c r="S81" i="2"/>
  <c r="T80" i="2"/>
  <c r="S80" i="2"/>
  <c r="T79" i="2"/>
  <c r="S79" i="2"/>
  <c r="T78" i="2"/>
  <c r="S78" i="2"/>
  <c r="T77" i="2"/>
  <c r="S77" i="2"/>
  <c r="T76" i="2"/>
  <c r="S76" i="2"/>
  <c r="T75" i="2"/>
  <c r="S75" i="2"/>
  <c r="T74" i="2"/>
  <c r="S74" i="2"/>
  <c r="T73" i="2"/>
  <c r="S73" i="2"/>
  <c r="T72" i="2"/>
  <c r="S72" i="2"/>
  <c r="T71" i="2"/>
  <c r="S71" i="2"/>
  <c r="T70" i="2"/>
  <c r="S70" i="2"/>
  <c r="T69" i="2"/>
  <c r="S69" i="2"/>
  <c r="T68" i="2"/>
  <c r="S68" i="2"/>
  <c r="T67" i="2"/>
  <c r="S67" i="2"/>
  <c r="T66" i="2"/>
  <c r="S66" i="2"/>
  <c r="T65" i="2"/>
  <c r="S65" i="2"/>
  <c r="T64" i="2"/>
  <c r="S64" i="2"/>
  <c r="T63" i="2"/>
  <c r="S63" i="2"/>
  <c r="T61" i="2"/>
  <c r="S61" i="2"/>
  <c r="T60" i="2"/>
  <c r="S60" i="2"/>
  <c r="T59" i="2"/>
  <c r="S59" i="2"/>
  <c r="T58" i="2"/>
  <c r="S58" i="2"/>
  <c r="T57" i="2"/>
  <c r="S57" i="2"/>
  <c r="T56" i="2"/>
  <c r="S56" i="2"/>
  <c r="T55" i="2"/>
  <c r="S55" i="2"/>
  <c r="T54" i="2"/>
  <c r="S54" i="2"/>
  <c r="T53" i="2"/>
  <c r="S53" i="2"/>
  <c r="T52" i="2"/>
  <c r="S52" i="2"/>
  <c r="T51" i="2"/>
  <c r="S51" i="2"/>
  <c r="T50" i="2"/>
  <c r="S50" i="2"/>
  <c r="T49" i="2"/>
  <c r="S49" i="2"/>
  <c r="T48" i="2"/>
  <c r="S48" i="2"/>
  <c r="T47" i="2"/>
  <c r="S47" i="2"/>
  <c r="T46" i="2"/>
  <c r="S46" i="2"/>
  <c r="T45" i="2"/>
  <c r="S45" i="2"/>
  <c r="T44" i="2"/>
  <c r="S44" i="2"/>
  <c r="T43" i="2"/>
  <c r="S43" i="2"/>
  <c r="T42" i="2"/>
  <c r="S42" i="2"/>
  <c r="T40" i="2"/>
  <c r="S40" i="2"/>
  <c r="R40" i="2"/>
  <c r="Q40" i="2"/>
  <c r="P40" i="2"/>
  <c r="O40" i="2"/>
  <c r="N40" i="2"/>
  <c r="M40" i="2"/>
  <c r="K40" i="2"/>
  <c r="I40" i="2"/>
  <c r="L40" i="2" s="1"/>
  <c r="H40" i="2"/>
  <c r="B40" i="2"/>
  <c r="T39" i="2"/>
  <c r="S39" i="2"/>
  <c r="R39" i="2"/>
  <c r="Q39" i="2"/>
  <c r="P39" i="2"/>
  <c r="O39" i="2"/>
  <c r="N39" i="2"/>
  <c r="M39" i="2"/>
  <c r="K39" i="2"/>
  <c r="I39" i="2"/>
  <c r="J39" i="2" s="1"/>
  <c r="H39" i="2"/>
  <c r="B39" i="2"/>
  <c r="T38" i="2"/>
  <c r="S38" i="2"/>
  <c r="R38" i="2"/>
  <c r="Q38" i="2"/>
  <c r="P38" i="2"/>
  <c r="O38" i="2"/>
  <c r="N38" i="2"/>
  <c r="M38" i="2"/>
  <c r="K38" i="2"/>
  <c r="I38" i="2"/>
  <c r="L38" i="2" s="1"/>
  <c r="H38" i="2"/>
  <c r="B38" i="2"/>
  <c r="T37" i="2"/>
  <c r="S37" i="2"/>
  <c r="R37" i="2"/>
  <c r="Q37" i="2"/>
  <c r="P37" i="2"/>
  <c r="O37" i="2"/>
  <c r="N37" i="2"/>
  <c r="M37" i="2"/>
  <c r="K37" i="2"/>
  <c r="I37" i="2"/>
  <c r="J37" i="2" s="1"/>
  <c r="H37" i="2"/>
  <c r="B37" i="2"/>
  <c r="T36" i="2"/>
  <c r="S36" i="2"/>
  <c r="R36" i="2"/>
  <c r="Q36" i="2"/>
  <c r="P36" i="2"/>
  <c r="O36" i="2"/>
  <c r="N36" i="2"/>
  <c r="M36" i="2"/>
  <c r="K36" i="2"/>
  <c r="I36" i="2"/>
  <c r="L36" i="2" s="1"/>
  <c r="H36" i="2"/>
  <c r="B36" i="2"/>
  <c r="T35" i="2"/>
  <c r="S35" i="2"/>
  <c r="R35" i="2"/>
  <c r="Q35" i="2"/>
  <c r="P35" i="2"/>
  <c r="O35" i="2"/>
  <c r="N35" i="2"/>
  <c r="M35" i="2"/>
  <c r="K35" i="2"/>
  <c r="I35" i="2"/>
  <c r="J35" i="2" s="1"/>
  <c r="H35" i="2"/>
  <c r="B35" i="2"/>
  <c r="T34" i="2"/>
  <c r="S34" i="2"/>
  <c r="R34" i="2"/>
  <c r="Q34" i="2"/>
  <c r="P34" i="2"/>
  <c r="O34" i="2"/>
  <c r="N34" i="2"/>
  <c r="M34" i="2"/>
  <c r="K34" i="2"/>
  <c r="I34" i="2"/>
  <c r="L34" i="2" s="1"/>
  <c r="H34" i="2"/>
  <c r="B34" i="2"/>
  <c r="T33" i="2"/>
  <c r="S33" i="2"/>
  <c r="R33" i="2"/>
  <c r="Q33" i="2"/>
  <c r="P33" i="2"/>
  <c r="O33" i="2"/>
  <c r="N33" i="2"/>
  <c r="M33" i="2"/>
  <c r="K33" i="2"/>
  <c r="I33" i="2"/>
  <c r="J33" i="2" s="1"/>
  <c r="H33" i="2"/>
  <c r="B33" i="2"/>
  <c r="T32" i="2"/>
  <c r="S32" i="2"/>
  <c r="R32" i="2"/>
  <c r="P32" i="2"/>
  <c r="N32" i="2"/>
  <c r="Q32" i="2" s="1"/>
  <c r="K32" i="2"/>
  <c r="I32" i="2"/>
  <c r="H32" i="2"/>
  <c r="M32" i="2" s="1"/>
  <c r="T31" i="2"/>
  <c r="S31" i="2"/>
  <c r="R31" i="2"/>
  <c r="P31" i="2"/>
  <c r="O31" i="2"/>
  <c r="N31" i="2"/>
  <c r="K31" i="2"/>
  <c r="I31" i="2"/>
  <c r="J31" i="2" s="1"/>
  <c r="H31" i="2"/>
  <c r="M31" i="2" s="1"/>
  <c r="T30" i="2"/>
  <c r="S30" i="2"/>
  <c r="R30" i="2"/>
  <c r="P30" i="2"/>
  <c r="N30" i="2"/>
  <c r="Q30" i="2" s="1"/>
  <c r="K30" i="2"/>
  <c r="I30" i="2"/>
  <c r="L30" i="2" s="1"/>
  <c r="H30" i="2"/>
  <c r="M30" i="2" s="1"/>
  <c r="T29" i="2"/>
  <c r="S29" i="2"/>
  <c r="R29" i="2"/>
  <c r="P29" i="2"/>
  <c r="N29" i="2"/>
  <c r="Q29" i="2" s="1"/>
  <c r="K29" i="2"/>
  <c r="I29" i="2"/>
  <c r="J29" i="2" s="1"/>
  <c r="H29" i="2"/>
  <c r="M29" i="2" s="1"/>
  <c r="T28" i="2"/>
  <c r="S28" i="2"/>
  <c r="R28" i="2"/>
  <c r="P28" i="2"/>
  <c r="N28" i="2"/>
  <c r="Q28" i="2" s="1"/>
  <c r="K28" i="2"/>
  <c r="I28" i="2"/>
  <c r="H28" i="2"/>
  <c r="M28" i="2" s="1"/>
  <c r="T27" i="2"/>
  <c r="S27" i="2"/>
  <c r="R27" i="2"/>
  <c r="P27" i="2"/>
  <c r="O27" i="2"/>
  <c r="N27" i="2"/>
  <c r="K27" i="2"/>
  <c r="I27" i="2"/>
  <c r="J27" i="2" s="1"/>
  <c r="H27" i="2"/>
  <c r="M27" i="2" s="1"/>
  <c r="T26" i="2"/>
  <c r="S26" i="2"/>
  <c r="R26" i="2"/>
  <c r="P26" i="2"/>
  <c r="N26" i="2"/>
  <c r="Q26" i="2" s="1"/>
  <c r="K26" i="2"/>
  <c r="I26" i="2"/>
  <c r="L26" i="2" s="1"/>
  <c r="H26" i="2"/>
  <c r="M26" i="2" s="1"/>
  <c r="T25" i="2"/>
  <c r="S25" i="2"/>
  <c r="R25" i="2"/>
  <c r="P25" i="2"/>
  <c r="N25" i="2"/>
  <c r="Q25" i="2" s="1"/>
  <c r="K25" i="2"/>
  <c r="I25" i="2"/>
  <c r="J25" i="2" s="1"/>
  <c r="H25" i="2"/>
  <c r="M25" i="2" s="1"/>
  <c r="T24" i="2"/>
  <c r="S24" i="2"/>
  <c r="R24" i="2"/>
  <c r="P24" i="2"/>
  <c r="N24" i="2"/>
  <c r="Q24" i="2" s="1"/>
  <c r="K24" i="2"/>
  <c r="I24" i="2"/>
  <c r="H24" i="2"/>
  <c r="M24" i="2" s="1"/>
  <c r="T23" i="2"/>
  <c r="S23" i="2"/>
  <c r="R23" i="2"/>
  <c r="P23" i="2"/>
  <c r="O23" i="2"/>
  <c r="N23" i="2"/>
  <c r="K23" i="2"/>
  <c r="I23" i="2"/>
  <c r="J23" i="2" s="1"/>
  <c r="H23" i="2"/>
  <c r="M23" i="2" s="1"/>
  <c r="T21" i="2"/>
  <c r="S21" i="2"/>
  <c r="T20" i="2"/>
  <c r="S20" i="2"/>
  <c r="T19" i="2"/>
  <c r="S19" i="2"/>
  <c r="T18" i="2"/>
  <c r="S18" i="2"/>
  <c r="T17" i="2"/>
  <c r="S17" i="2"/>
  <c r="T16" i="2"/>
  <c r="S16" i="2"/>
  <c r="T15" i="2"/>
  <c r="S15" i="2"/>
  <c r="T14" i="2"/>
  <c r="S14" i="2"/>
  <c r="T13" i="2"/>
  <c r="S13" i="2"/>
  <c r="T12" i="2"/>
  <c r="S12" i="2"/>
  <c r="T11" i="2"/>
  <c r="S11" i="2"/>
  <c r="T10" i="2"/>
  <c r="S10" i="2"/>
  <c r="T9" i="2"/>
  <c r="S9" i="2"/>
  <c r="T8" i="2"/>
  <c r="S8" i="2"/>
  <c r="T7" i="2"/>
  <c r="S7" i="2"/>
  <c r="T6" i="2"/>
  <c r="S6" i="2"/>
  <c r="T5" i="2"/>
  <c r="S5" i="2"/>
  <c r="T4" i="2"/>
  <c r="S4" i="2"/>
  <c r="E74" i="7" l="1"/>
  <c r="E62" i="7"/>
  <c r="H54" i="7"/>
  <c r="H66" i="7"/>
  <c r="Q96" i="26"/>
  <c r="E105" i="26" s="1"/>
  <c r="G107" i="26" s="1"/>
  <c r="H55" i="7"/>
  <c r="H67" i="7"/>
  <c r="J109" i="28"/>
  <c r="F107" i="28" s="1"/>
  <c r="H68" i="7"/>
  <c r="H56" i="7"/>
  <c r="H57" i="7"/>
  <c r="H69" i="7"/>
  <c r="H70" i="7"/>
  <c r="H58" i="7"/>
  <c r="H59" i="7"/>
  <c r="H71" i="7"/>
  <c r="H60" i="7"/>
  <c r="H72" i="7"/>
  <c r="I130" i="28"/>
  <c r="E129" i="28" s="1"/>
  <c r="I137" i="28"/>
  <c r="I134" i="28" s="1"/>
  <c r="I125" i="28"/>
  <c r="E124" i="28" s="1"/>
  <c r="I89" i="28"/>
  <c r="E88" i="28" s="1"/>
  <c r="M68" i="26"/>
  <c r="E235" i="27"/>
  <c r="E233" i="27" s="1"/>
  <c r="E231" i="27" s="1"/>
  <c r="J230" i="27" s="1"/>
  <c r="N32" i="27" s="1"/>
  <c r="F86" i="27"/>
  <c r="J83" i="27" s="1"/>
  <c r="F249" i="27"/>
  <c r="F245" i="27" s="1"/>
  <c r="F242" i="27" s="1"/>
  <c r="F240" i="27" s="1"/>
  <c r="Q20" i="24"/>
  <c r="F22" i="24" s="1"/>
  <c r="H50" i="7"/>
  <c r="E50" i="7"/>
  <c r="F49" i="7"/>
  <c r="G49" i="7"/>
  <c r="H48" i="7"/>
  <c r="E48" i="7"/>
  <c r="O3" i="7"/>
  <c r="E6" i="24"/>
  <c r="O16" i="7"/>
  <c r="N11" i="26" s="1"/>
  <c r="M11" i="26"/>
  <c r="O9" i="7"/>
  <c r="M41" i="26"/>
  <c r="H99" i="5"/>
  <c r="H114" i="5"/>
  <c r="L114" i="5" s="1"/>
  <c r="H118" i="5"/>
  <c r="L118" i="5" s="1"/>
  <c r="H132" i="5"/>
  <c r="H201" i="5"/>
  <c r="L201" i="5" s="1"/>
  <c r="H204" i="5"/>
  <c r="H208" i="5"/>
  <c r="R265" i="5"/>
  <c r="H30" i="5"/>
  <c r="H10" i="5"/>
  <c r="H46" i="5"/>
  <c r="H152" i="5"/>
  <c r="B152" i="5" s="1"/>
  <c r="H176" i="5"/>
  <c r="H275" i="5"/>
  <c r="L275" i="5" s="1"/>
  <c r="H22" i="5"/>
  <c r="H72" i="5"/>
  <c r="L72" i="5" s="1"/>
  <c r="H102" i="5"/>
  <c r="L102" i="5" s="1"/>
  <c r="H277" i="5"/>
  <c r="R277" i="5"/>
  <c r="H12" i="5"/>
  <c r="H16" i="5"/>
  <c r="H26" i="5"/>
  <c r="B26" i="5" s="1"/>
  <c r="H28" i="5"/>
  <c r="H32" i="5"/>
  <c r="H42" i="5"/>
  <c r="H44" i="5"/>
  <c r="B44" i="5" s="1"/>
  <c r="H48" i="5"/>
  <c r="H58" i="5"/>
  <c r="H75" i="5"/>
  <c r="L75" i="5" s="1"/>
  <c r="H76" i="5"/>
  <c r="L76" i="5" s="1"/>
  <c r="R76" i="5"/>
  <c r="H95" i="5"/>
  <c r="H96" i="5"/>
  <c r="R96" i="5"/>
  <c r="H106" i="5"/>
  <c r="H121" i="5"/>
  <c r="H136" i="5"/>
  <c r="B137" i="5"/>
  <c r="L137" i="5"/>
  <c r="H141" i="5"/>
  <c r="H153" i="5"/>
  <c r="H178" i="5"/>
  <c r="L178" i="5" s="1"/>
  <c r="R178" i="5"/>
  <c r="H185" i="5"/>
  <c r="L185" i="5" s="1"/>
  <c r="H188" i="5"/>
  <c r="H198" i="5"/>
  <c r="L198" i="5" s="1"/>
  <c r="R198" i="5"/>
  <c r="H210" i="5"/>
  <c r="R210" i="5"/>
  <c r="H217" i="5"/>
  <c r="L217" i="5" s="1"/>
  <c r="H220" i="5"/>
  <c r="H269" i="5"/>
  <c r="R269" i="5"/>
  <c r="H113" i="5"/>
  <c r="Q113" i="5" s="1"/>
  <c r="R121" i="5"/>
  <c r="R153" i="5"/>
  <c r="H225" i="5"/>
  <c r="R225" i="5"/>
  <c r="H227" i="5"/>
  <c r="Q227" i="5" s="1"/>
  <c r="R227" i="5"/>
  <c r="H229" i="5"/>
  <c r="R229" i="5"/>
  <c r="H231" i="5"/>
  <c r="R231" i="5"/>
  <c r="H233" i="5"/>
  <c r="R233" i="5"/>
  <c r="H235" i="5"/>
  <c r="Q235" i="5" s="1"/>
  <c r="R235" i="5"/>
  <c r="H237" i="5"/>
  <c r="R237" i="5"/>
  <c r="H239" i="5"/>
  <c r="R239" i="5"/>
  <c r="H241" i="5"/>
  <c r="R241" i="5"/>
  <c r="H243" i="5"/>
  <c r="Q243" i="5" s="1"/>
  <c r="R243" i="5"/>
  <c r="H245" i="5"/>
  <c r="R245" i="5"/>
  <c r="H247" i="5"/>
  <c r="R247" i="5"/>
  <c r="H249" i="5"/>
  <c r="R249" i="5"/>
  <c r="R251" i="5"/>
  <c r="R257" i="5"/>
  <c r="H18" i="5"/>
  <c r="H20" i="5"/>
  <c r="B20" i="5" s="1"/>
  <c r="H24" i="5"/>
  <c r="Q24" i="5" s="1"/>
  <c r="H34" i="5"/>
  <c r="H36" i="5"/>
  <c r="H40" i="5"/>
  <c r="B40" i="5" s="1"/>
  <c r="H50" i="5"/>
  <c r="H52" i="5"/>
  <c r="H56" i="5"/>
  <c r="H60" i="5"/>
  <c r="L60" i="5" s="1"/>
  <c r="R60" i="5"/>
  <c r="H74" i="5"/>
  <c r="H79" i="5"/>
  <c r="H82" i="5"/>
  <c r="Q82" i="5" s="1"/>
  <c r="H92" i="5"/>
  <c r="R92" i="5"/>
  <c r="H107" i="5"/>
  <c r="H108" i="5"/>
  <c r="Q108" i="5" s="1"/>
  <c r="R108" i="5"/>
  <c r="H125" i="5"/>
  <c r="Q125" i="5" s="1"/>
  <c r="R137" i="5"/>
  <c r="H157" i="5"/>
  <c r="L157" i="5" s="1"/>
  <c r="R157" i="5"/>
  <c r="H182" i="5"/>
  <c r="R182" i="5"/>
  <c r="H194" i="5"/>
  <c r="B194" i="5" s="1"/>
  <c r="R194" i="5"/>
  <c r="H214" i="5"/>
  <c r="R214" i="5"/>
  <c r="H281" i="5"/>
  <c r="L281" i="5" s="1"/>
  <c r="R281" i="5"/>
  <c r="G63" i="16"/>
  <c r="I182" i="2" s="1"/>
  <c r="G46" i="16"/>
  <c r="G17" i="16"/>
  <c r="K180" i="2" s="1"/>
  <c r="G75" i="16"/>
  <c r="Q182" i="2" s="1"/>
  <c r="N182" i="2"/>
  <c r="O28" i="2"/>
  <c r="L32" i="2"/>
  <c r="O113" i="2"/>
  <c r="L116" i="2"/>
  <c r="O117" i="2"/>
  <c r="M129" i="2"/>
  <c r="L133" i="2"/>
  <c r="O24" i="2"/>
  <c r="O32" i="2"/>
  <c r="L24" i="2"/>
  <c r="O25" i="2"/>
  <c r="L28" i="2"/>
  <c r="O29" i="2"/>
  <c r="Q23" i="2"/>
  <c r="O26" i="2"/>
  <c r="Q27" i="2"/>
  <c r="O30" i="2"/>
  <c r="Q31" i="2"/>
  <c r="O114" i="2"/>
  <c r="Q115" i="2"/>
  <c r="O118" i="2"/>
  <c r="B120" i="2"/>
  <c r="M125" i="2"/>
  <c r="B136" i="2"/>
  <c r="O116" i="2"/>
  <c r="L120" i="2"/>
  <c r="L125" i="2"/>
  <c r="M78" i="5"/>
  <c r="H78" i="5"/>
  <c r="R98" i="5"/>
  <c r="L132" i="5"/>
  <c r="B132" i="5"/>
  <c r="H215" i="5"/>
  <c r="R215" i="5"/>
  <c r="J35" i="6"/>
  <c r="L35" i="6"/>
  <c r="R9" i="5"/>
  <c r="M110" i="5"/>
  <c r="H110" i="5"/>
  <c r="J165" i="6"/>
  <c r="L165" i="6"/>
  <c r="L123" i="2"/>
  <c r="L131" i="2"/>
  <c r="Q134" i="2"/>
  <c r="H8" i="4"/>
  <c r="L8" i="4" s="1"/>
  <c r="H11" i="4"/>
  <c r="L11" i="4" s="1"/>
  <c r="H15" i="4"/>
  <c r="H19" i="4"/>
  <c r="H23" i="4"/>
  <c r="H27" i="4"/>
  <c r="H31" i="4"/>
  <c r="H35" i="4"/>
  <c r="H39" i="4"/>
  <c r="H43" i="4"/>
  <c r="H47" i="4"/>
  <c r="H51" i="4"/>
  <c r="H55" i="4"/>
  <c r="H59" i="4"/>
  <c r="H63" i="4"/>
  <c r="H67" i="4"/>
  <c r="H71" i="4"/>
  <c r="H75" i="4"/>
  <c r="H79" i="4"/>
  <c r="H83" i="4"/>
  <c r="H87" i="4"/>
  <c r="H91" i="4"/>
  <c r="H95" i="4"/>
  <c r="H99" i="4"/>
  <c r="H103" i="4"/>
  <c r="H107" i="4"/>
  <c r="H111" i="4"/>
  <c r="H115" i="4"/>
  <c r="H119" i="4"/>
  <c r="H123" i="4"/>
  <c r="H127" i="4"/>
  <c r="H131" i="4"/>
  <c r="H135" i="4"/>
  <c r="H139" i="4"/>
  <c r="H143" i="4"/>
  <c r="H148" i="4"/>
  <c r="H152" i="4"/>
  <c r="H156" i="4"/>
  <c r="H160" i="4"/>
  <c r="H164" i="4"/>
  <c r="H168" i="4"/>
  <c r="H172" i="4"/>
  <c r="H176" i="4"/>
  <c r="H180" i="4"/>
  <c r="H184" i="4"/>
  <c r="H188" i="4"/>
  <c r="H192" i="4"/>
  <c r="H196" i="4"/>
  <c r="H200" i="4"/>
  <c r="H204" i="4"/>
  <c r="H208" i="4"/>
  <c r="L208" i="4" s="1"/>
  <c r="H212" i="4"/>
  <c r="L212" i="4" s="1"/>
  <c r="H216" i="4"/>
  <c r="L216" i="4" s="1"/>
  <c r="H220" i="4"/>
  <c r="L220" i="4" s="1"/>
  <c r="H224" i="4"/>
  <c r="L224" i="4" s="1"/>
  <c r="H228" i="4"/>
  <c r="L228" i="4" s="1"/>
  <c r="H232" i="4"/>
  <c r="L232" i="4" s="1"/>
  <c r="H236" i="4"/>
  <c r="L236" i="4" s="1"/>
  <c r="H240" i="4"/>
  <c r="L240" i="4" s="1"/>
  <c r="H244" i="4"/>
  <c r="L244" i="4" s="1"/>
  <c r="H248" i="4"/>
  <c r="L248" i="4" s="1"/>
  <c r="H252" i="4"/>
  <c r="L252" i="4" s="1"/>
  <c r="R4" i="5"/>
  <c r="R8" i="5"/>
  <c r="H71" i="5"/>
  <c r="L71" i="5" s="1"/>
  <c r="M80" i="5"/>
  <c r="R80" i="5"/>
  <c r="H83" i="5"/>
  <c r="H98" i="5"/>
  <c r="L98" i="5" s="1"/>
  <c r="M113" i="5"/>
  <c r="R113" i="5"/>
  <c r="R128" i="5"/>
  <c r="H128" i="5"/>
  <c r="H130" i="5"/>
  <c r="L130" i="5" s="1"/>
  <c r="L136" i="5"/>
  <c r="Q136" i="5"/>
  <c r="M145" i="5"/>
  <c r="R145" i="5"/>
  <c r="H158" i="5"/>
  <c r="R160" i="5"/>
  <c r="H160" i="5"/>
  <c r="H179" i="5"/>
  <c r="L179" i="5" s="1"/>
  <c r="H181" i="5"/>
  <c r="B181" i="5" s="1"/>
  <c r="H195" i="5"/>
  <c r="H197" i="5"/>
  <c r="L197" i="5" s="1"/>
  <c r="H211" i="5"/>
  <c r="B211" i="5" s="1"/>
  <c r="H213" i="5"/>
  <c r="J27" i="6"/>
  <c r="L27" i="6"/>
  <c r="J181" i="6"/>
  <c r="L181" i="6"/>
  <c r="R117" i="5"/>
  <c r="R149" i="5"/>
  <c r="H183" i="5"/>
  <c r="R183" i="5"/>
  <c r="H199" i="5"/>
  <c r="Q199" i="5" s="1"/>
  <c r="R199" i="5"/>
  <c r="M271" i="5"/>
  <c r="H271" i="5"/>
  <c r="L271" i="5" s="1"/>
  <c r="B23" i="2"/>
  <c r="B24" i="2"/>
  <c r="B25" i="2"/>
  <c r="B26" i="2"/>
  <c r="B27" i="2"/>
  <c r="B28" i="2"/>
  <c r="B29" i="2"/>
  <c r="B30" i="2"/>
  <c r="B31" i="2"/>
  <c r="B32" i="2"/>
  <c r="B113" i="2"/>
  <c r="B114" i="2"/>
  <c r="B115" i="2"/>
  <c r="B116" i="2"/>
  <c r="B117" i="2"/>
  <c r="B118" i="2"/>
  <c r="L121" i="2"/>
  <c r="L129" i="2"/>
  <c r="L134" i="2"/>
  <c r="H12" i="4"/>
  <c r="L12" i="4" s="1"/>
  <c r="H16" i="4"/>
  <c r="H20" i="4"/>
  <c r="H24" i="4"/>
  <c r="H28" i="4"/>
  <c r="H32" i="4"/>
  <c r="H36" i="4"/>
  <c r="H40" i="4"/>
  <c r="H44" i="4"/>
  <c r="H48" i="4"/>
  <c r="H52" i="4"/>
  <c r="H56" i="4"/>
  <c r="H60" i="4"/>
  <c r="H64" i="4"/>
  <c r="H68" i="4"/>
  <c r="H72" i="4"/>
  <c r="H76" i="4"/>
  <c r="H80" i="4"/>
  <c r="H84" i="4"/>
  <c r="H88" i="4"/>
  <c r="H92" i="4"/>
  <c r="H96" i="4"/>
  <c r="H100" i="4"/>
  <c r="H104" i="4"/>
  <c r="H108" i="4"/>
  <c r="H112" i="4"/>
  <c r="H116" i="4"/>
  <c r="H120" i="4"/>
  <c r="H124" i="4"/>
  <c r="H128" i="4"/>
  <c r="H132" i="4"/>
  <c r="H136" i="4"/>
  <c r="H140" i="4"/>
  <c r="H144" i="4"/>
  <c r="B144" i="4" s="1"/>
  <c r="H149" i="4"/>
  <c r="H153" i="4"/>
  <c r="H157" i="4"/>
  <c r="H161" i="4"/>
  <c r="B161" i="4" s="1"/>
  <c r="H165" i="4"/>
  <c r="H169" i="4"/>
  <c r="H173" i="4"/>
  <c r="H177" i="4"/>
  <c r="B177" i="4" s="1"/>
  <c r="H181" i="4"/>
  <c r="H185" i="4"/>
  <c r="H189" i="4"/>
  <c r="H193" i="4"/>
  <c r="B193" i="4" s="1"/>
  <c r="H197" i="4"/>
  <c r="H201" i="4"/>
  <c r="H205" i="4"/>
  <c r="L205" i="4" s="1"/>
  <c r="H209" i="4"/>
  <c r="L209" i="4" s="1"/>
  <c r="H213" i="4"/>
  <c r="L213" i="4" s="1"/>
  <c r="H217" i="4"/>
  <c r="L217" i="4" s="1"/>
  <c r="H221" i="4"/>
  <c r="L221" i="4" s="1"/>
  <c r="H225" i="4"/>
  <c r="L225" i="4" s="1"/>
  <c r="H229" i="4"/>
  <c r="L229" i="4" s="1"/>
  <c r="H233" i="4"/>
  <c r="L233" i="4" s="1"/>
  <c r="H237" i="4"/>
  <c r="L237" i="4" s="1"/>
  <c r="H241" i="4"/>
  <c r="L241" i="4" s="1"/>
  <c r="H245" i="4"/>
  <c r="L245" i="4" s="1"/>
  <c r="H249" i="4"/>
  <c r="L249" i="4" s="1"/>
  <c r="H4" i="5"/>
  <c r="L4" i="5" s="1"/>
  <c r="H6" i="5"/>
  <c r="Q6" i="5" s="1"/>
  <c r="H8" i="5"/>
  <c r="H63" i="5"/>
  <c r="H68" i="5"/>
  <c r="L68" i="5" s="1"/>
  <c r="R68" i="5"/>
  <c r="R72" i="5"/>
  <c r="Q79" i="5"/>
  <c r="R84" i="5"/>
  <c r="H91" i="5"/>
  <c r="L91" i="5" s="1"/>
  <c r="M94" i="5"/>
  <c r="H94" i="5"/>
  <c r="L94" i="5" s="1"/>
  <c r="H116" i="5"/>
  <c r="H129" i="5"/>
  <c r="R133" i="5"/>
  <c r="B136" i="5"/>
  <c r="H148" i="5"/>
  <c r="R156" i="5"/>
  <c r="H156" i="5"/>
  <c r="L156" i="5" s="1"/>
  <c r="M161" i="5"/>
  <c r="R161" i="5"/>
  <c r="M174" i="5"/>
  <c r="R174" i="5"/>
  <c r="R177" i="5"/>
  <c r="H177" i="5"/>
  <c r="L177" i="5" s="1"/>
  <c r="M190" i="5"/>
  <c r="R190" i="5"/>
  <c r="R193" i="5"/>
  <c r="H193" i="5"/>
  <c r="L193" i="5" s="1"/>
  <c r="M206" i="5"/>
  <c r="R206" i="5"/>
  <c r="R209" i="5"/>
  <c r="H209" i="5"/>
  <c r="L209" i="5" s="1"/>
  <c r="M222" i="5"/>
  <c r="R222" i="5"/>
  <c r="J19" i="6"/>
  <c r="L19" i="6"/>
  <c r="J133" i="6"/>
  <c r="L133" i="6"/>
  <c r="M64" i="5"/>
  <c r="R64" i="5"/>
  <c r="M100" i="5"/>
  <c r="R100" i="5"/>
  <c r="L145" i="5"/>
  <c r="B145" i="5"/>
  <c r="Q120" i="2"/>
  <c r="M123" i="2"/>
  <c r="L127" i="2"/>
  <c r="M131" i="2"/>
  <c r="J134" i="2"/>
  <c r="Q136" i="2"/>
  <c r="H5" i="4"/>
  <c r="L5" i="4" s="1"/>
  <c r="H13" i="4"/>
  <c r="H17" i="4"/>
  <c r="L17" i="4" s="1"/>
  <c r="H25" i="4"/>
  <c r="H29" i="4"/>
  <c r="H33" i="4"/>
  <c r="H37" i="4"/>
  <c r="L37" i="4" s="1"/>
  <c r="H41" i="4"/>
  <c r="H45" i="4"/>
  <c r="H49" i="4"/>
  <c r="H53" i="4"/>
  <c r="L53" i="4" s="1"/>
  <c r="H57" i="4"/>
  <c r="H61" i="4"/>
  <c r="H69" i="4"/>
  <c r="H73" i="4"/>
  <c r="L73" i="4" s="1"/>
  <c r="H77" i="4"/>
  <c r="H81" i="4"/>
  <c r="H85" i="4"/>
  <c r="H89" i="4"/>
  <c r="L89" i="4" s="1"/>
  <c r="H93" i="4"/>
  <c r="H97" i="4"/>
  <c r="H101" i="4"/>
  <c r="H105" i="4"/>
  <c r="L105" i="4" s="1"/>
  <c r="H113" i="4"/>
  <c r="H117" i="4"/>
  <c r="H121" i="4"/>
  <c r="H125" i="4"/>
  <c r="L125" i="4" s="1"/>
  <c r="H133" i="4"/>
  <c r="H137" i="4"/>
  <c r="L137" i="4" s="1"/>
  <c r="H145" i="4"/>
  <c r="H154" i="4"/>
  <c r="L154" i="4" s="1"/>
  <c r="H158" i="4"/>
  <c r="H166" i="4"/>
  <c r="L166" i="4" s="1"/>
  <c r="H170" i="4"/>
  <c r="H186" i="4"/>
  <c r="L186" i="4" s="1"/>
  <c r="H190" i="4"/>
  <c r="H194" i="4"/>
  <c r="L194" i="4" s="1"/>
  <c r="H226" i="4"/>
  <c r="L226" i="4" s="1"/>
  <c r="H238" i="4"/>
  <c r="L238" i="4" s="1"/>
  <c r="H242" i="4"/>
  <c r="L242" i="4" s="1"/>
  <c r="H246" i="4"/>
  <c r="L246" i="4" s="1"/>
  <c r="H250" i="4"/>
  <c r="L250" i="4" s="1"/>
  <c r="R5" i="5"/>
  <c r="R10" i="5"/>
  <c r="R12" i="5"/>
  <c r="M14" i="5"/>
  <c r="R14" i="5"/>
  <c r="M62" i="5"/>
  <c r="H62" i="5"/>
  <c r="L62" i="5" s="1"/>
  <c r="M70" i="5"/>
  <c r="H70" i="5"/>
  <c r="L70" i="5" s="1"/>
  <c r="R78" i="5"/>
  <c r="M86" i="5"/>
  <c r="H86" i="5"/>
  <c r="R110" i="5"/>
  <c r="R112" i="5"/>
  <c r="H112" i="5"/>
  <c r="L112" i="5" s="1"/>
  <c r="L120" i="5"/>
  <c r="Q120" i="5"/>
  <c r="B125" i="5"/>
  <c r="L125" i="5"/>
  <c r="M129" i="5"/>
  <c r="R129" i="5"/>
  <c r="Q132" i="5"/>
  <c r="R144" i="5"/>
  <c r="H144" i="5"/>
  <c r="L152" i="5"/>
  <c r="Q152" i="5"/>
  <c r="M165" i="5"/>
  <c r="R165" i="5"/>
  <c r="H170" i="5"/>
  <c r="R170" i="5"/>
  <c r="H186" i="5"/>
  <c r="R186" i="5"/>
  <c r="H202" i="5"/>
  <c r="B202" i="5" s="1"/>
  <c r="R202" i="5"/>
  <c r="H218" i="5"/>
  <c r="R218" i="5"/>
  <c r="R271" i="5"/>
  <c r="M273" i="5"/>
  <c r="R273" i="5"/>
  <c r="J11" i="6"/>
  <c r="L11" i="6"/>
  <c r="J149" i="6"/>
  <c r="L149" i="6"/>
  <c r="R259" i="5"/>
  <c r="R261" i="5"/>
  <c r="R267" i="5"/>
  <c r="H278" i="5"/>
  <c r="L4" i="6"/>
  <c r="L12" i="6"/>
  <c r="L20" i="6"/>
  <c r="L28" i="6"/>
  <c r="L36" i="6"/>
  <c r="L44" i="6"/>
  <c r="L52" i="6"/>
  <c r="L60" i="6"/>
  <c r="L68" i="6"/>
  <c r="L76" i="6"/>
  <c r="L84" i="6"/>
  <c r="L92" i="6"/>
  <c r="L100" i="6"/>
  <c r="L108" i="6"/>
  <c r="L127" i="6"/>
  <c r="L139" i="6"/>
  <c r="B139" i="6"/>
  <c r="L143" i="6"/>
  <c r="L155" i="6"/>
  <c r="B155" i="6"/>
  <c r="L159" i="6"/>
  <c r="L171" i="6"/>
  <c r="B171" i="6"/>
  <c r="L175" i="6"/>
  <c r="L304" i="6"/>
  <c r="J304" i="6"/>
  <c r="J338" i="6"/>
  <c r="L338" i="6"/>
  <c r="L420" i="6"/>
  <c r="J420" i="6"/>
  <c r="L436" i="6"/>
  <c r="J436" i="6"/>
  <c r="R90" i="5"/>
  <c r="H103" i="5"/>
  <c r="B103" i="5" s="1"/>
  <c r="H104" i="5"/>
  <c r="R104" i="5"/>
  <c r="R106" i="5"/>
  <c r="H126" i="5"/>
  <c r="L126" i="5" s="1"/>
  <c r="H142" i="5"/>
  <c r="H166" i="5"/>
  <c r="L166" i="5" s="1"/>
  <c r="R166" i="5"/>
  <c r="H175" i="5"/>
  <c r="B175" i="5" s="1"/>
  <c r="H184" i="5"/>
  <c r="H191" i="5"/>
  <c r="H200" i="5"/>
  <c r="H207" i="5"/>
  <c r="L207" i="5" s="1"/>
  <c r="H216" i="5"/>
  <c r="L216" i="5" s="1"/>
  <c r="H223" i="5"/>
  <c r="H259" i="5"/>
  <c r="R263" i="5"/>
  <c r="H267" i="5"/>
  <c r="H274" i="5"/>
  <c r="R279" i="5"/>
  <c r="L5" i="6"/>
  <c r="L6" i="6"/>
  <c r="L13" i="6"/>
  <c r="L14" i="6"/>
  <c r="L21" i="6"/>
  <c r="L22" i="6"/>
  <c r="L29" i="6"/>
  <c r="L30" i="6"/>
  <c r="L37" i="6"/>
  <c r="L38" i="6"/>
  <c r="L42" i="6"/>
  <c r="L50" i="6"/>
  <c r="L58" i="6"/>
  <c r="L66" i="6"/>
  <c r="L74" i="6"/>
  <c r="L82" i="6"/>
  <c r="L90" i="6"/>
  <c r="L98" i="6"/>
  <c r="L106" i="6"/>
  <c r="L129" i="6"/>
  <c r="L145" i="6"/>
  <c r="L161" i="6"/>
  <c r="L177" i="6"/>
  <c r="R16" i="5"/>
  <c r="R18" i="5"/>
  <c r="R20" i="5"/>
  <c r="R22" i="5"/>
  <c r="R24" i="5"/>
  <c r="R26" i="5"/>
  <c r="R28" i="5"/>
  <c r="R30" i="5"/>
  <c r="R32" i="5"/>
  <c r="R34" i="5"/>
  <c r="R36" i="5"/>
  <c r="R38" i="5"/>
  <c r="R40" i="5"/>
  <c r="R42" i="5"/>
  <c r="R44" i="5"/>
  <c r="R46" i="5"/>
  <c r="R48" i="5"/>
  <c r="R50" i="5"/>
  <c r="R52" i="5"/>
  <c r="R54" i="5"/>
  <c r="R56" i="5"/>
  <c r="R58" i="5"/>
  <c r="H64" i="5"/>
  <c r="R66" i="5"/>
  <c r="H67" i="5"/>
  <c r="R74" i="5"/>
  <c r="H80" i="5"/>
  <c r="R82" i="5"/>
  <c r="H84" i="5"/>
  <c r="L84" i="5" s="1"/>
  <c r="H90" i="5"/>
  <c r="Q90" i="5" s="1"/>
  <c r="H100" i="5"/>
  <c r="R102" i="5"/>
  <c r="H111" i="5"/>
  <c r="H117" i="5"/>
  <c r="H122" i="5"/>
  <c r="H124" i="5"/>
  <c r="R125" i="5"/>
  <c r="H133" i="5"/>
  <c r="H138" i="5"/>
  <c r="H140" i="5"/>
  <c r="R141" i="5"/>
  <c r="H149" i="5"/>
  <c r="H154" i="5"/>
  <c r="H161" i="5"/>
  <c r="Q161" i="5" s="1"/>
  <c r="H164" i="5"/>
  <c r="H165" i="5"/>
  <c r="L165" i="5" s="1"/>
  <c r="H168" i="5"/>
  <c r="B168" i="5" s="1"/>
  <c r="H173" i="5"/>
  <c r="L173" i="5" s="1"/>
  <c r="H174" i="5"/>
  <c r="H180" i="5"/>
  <c r="L180" i="5" s="1"/>
  <c r="H187" i="5"/>
  <c r="L187" i="5" s="1"/>
  <c r="H189" i="5"/>
  <c r="L189" i="5" s="1"/>
  <c r="H190" i="5"/>
  <c r="H196" i="5"/>
  <c r="B196" i="5" s="1"/>
  <c r="H203" i="5"/>
  <c r="L203" i="5" s="1"/>
  <c r="H205" i="5"/>
  <c r="L205" i="5" s="1"/>
  <c r="H206" i="5"/>
  <c r="H212" i="5"/>
  <c r="Q212" i="5" s="1"/>
  <c r="H219" i="5"/>
  <c r="H221" i="5"/>
  <c r="L221" i="5" s="1"/>
  <c r="H222" i="5"/>
  <c r="H263" i="5"/>
  <c r="L263" i="5" s="1"/>
  <c r="H270" i="5"/>
  <c r="H273" i="5"/>
  <c r="R275" i="5"/>
  <c r="H279" i="5"/>
  <c r="L279" i="5" s="1"/>
  <c r="L7" i="6"/>
  <c r="L8" i="6"/>
  <c r="L15" i="6"/>
  <c r="L16" i="6"/>
  <c r="L23" i="6"/>
  <c r="L24" i="6"/>
  <c r="L31" i="6"/>
  <c r="L32" i="6"/>
  <c r="L39" i="6"/>
  <c r="L40" i="6"/>
  <c r="L45" i="6"/>
  <c r="L48" i="6"/>
  <c r="L53" i="6"/>
  <c r="L56" i="6"/>
  <c r="L61" i="6"/>
  <c r="L64" i="6"/>
  <c r="L69" i="6"/>
  <c r="L72" i="6"/>
  <c r="L77" i="6"/>
  <c r="L80" i="6"/>
  <c r="L85" i="6"/>
  <c r="L88" i="6"/>
  <c r="L93" i="6"/>
  <c r="L96" i="6"/>
  <c r="L101" i="6"/>
  <c r="L104" i="6"/>
  <c r="L109" i="6"/>
  <c r="L118" i="6"/>
  <c r="L131" i="6"/>
  <c r="B131" i="6"/>
  <c r="L135" i="6"/>
  <c r="L141" i="6"/>
  <c r="L147" i="6"/>
  <c r="B147" i="6"/>
  <c r="L151" i="6"/>
  <c r="L157" i="6"/>
  <c r="L163" i="6"/>
  <c r="B163" i="6"/>
  <c r="L167" i="6"/>
  <c r="L173" i="6"/>
  <c r="L179" i="6"/>
  <c r="B179" i="6"/>
  <c r="L184" i="6"/>
  <c r="L185" i="6"/>
  <c r="J185" i="6"/>
  <c r="L280" i="6"/>
  <c r="J280" i="6"/>
  <c r="L111" i="6"/>
  <c r="L114" i="6"/>
  <c r="L119" i="6"/>
  <c r="L122" i="6"/>
  <c r="L236" i="6"/>
  <c r="J236" i="6"/>
  <c r="L240" i="6"/>
  <c r="J240" i="6"/>
  <c r="L252" i="6"/>
  <c r="L253" i="6"/>
  <c r="L298" i="6"/>
  <c r="L312" i="6"/>
  <c r="J312" i="6"/>
  <c r="J330" i="6"/>
  <c r="L330" i="6"/>
  <c r="L382" i="6"/>
  <c r="L388" i="6"/>
  <c r="J388" i="6"/>
  <c r="L398" i="6"/>
  <c r="L404" i="6"/>
  <c r="J404" i="6"/>
  <c r="L414" i="6"/>
  <c r="G68" i="16"/>
  <c r="G69" i="16"/>
  <c r="G61" i="16"/>
  <c r="B182" i="2" s="1"/>
  <c r="L288" i="6"/>
  <c r="J288" i="6"/>
  <c r="J322" i="6"/>
  <c r="L322" i="6"/>
  <c r="J354" i="6"/>
  <c r="L354" i="6"/>
  <c r="L381" i="6"/>
  <c r="J381" i="6"/>
  <c r="L422" i="6"/>
  <c r="L428" i="6"/>
  <c r="J428" i="6"/>
  <c r="L123" i="6"/>
  <c r="L186" i="6"/>
  <c r="L188" i="6"/>
  <c r="L238" i="6"/>
  <c r="J238" i="6"/>
  <c r="L241" i="6"/>
  <c r="L242" i="6"/>
  <c r="J242" i="6"/>
  <c r="L268" i="6"/>
  <c r="L269" i="6"/>
  <c r="L282" i="6"/>
  <c r="J282" i="6"/>
  <c r="L296" i="6"/>
  <c r="J296" i="6"/>
  <c r="J346" i="6"/>
  <c r="L346" i="6"/>
  <c r="L390" i="6"/>
  <c r="L396" i="6"/>
  <c r="J396" i="6"/>
  <c r="L406" i="6"/>
  <c r="L412" i="6"/>
  <c r="J412" i="6"/>
  <c r="G72" i="16"/>
  <c r="O182" i="2" s="1"/>
  <c r="L363" i="6"/>
  <c r="L371" i="6"/>
  <c r="L379" i="6"/>
  <c r="L397" i="6"/>
  <c r="L405" i="6"/>
  <c r="L413" i="6"/>
  <c r="L421" i="6"/>
  <c r="L429" i="6"/>
  <c r="L437" i="6"/>
  <c r="L439" i="6"/>
  <c r="L59" i="16"/>
  <c r="L244" i="6"/>
  <c r="L246" i="6"/>
  <c r="L248" i="6"/>
  <c r="L250" i="6"/>
  <c r="L251" i="6"/>
  <c r="L256" i="6"/>
  <c r="L259" i="6"/>
  <c r="L264" i="6"/>
  <c r="L267" i="6"/>
  <c r="L272" i="6"/>
  <c r="L275" i="6"/>
  <c r="J290" i="6"/>
  <c r="J298" i="6"/>
  <c r="J306" i="6"/>
  <c r="L314" i="6"/>
  <c r="L316" i="6"/>
  <c r="L324" i="6"/>
  <c r="L332" i="6"/>
  <c r="L340" i="6"/>
  <c r="L348" i="6"/>
  <c r="L361" i="6"/>
  <c r="L369" i="6"/>
  <c r="L377" i="6"/>
  <c r="J382" i="6"/>
  <c r="J390" i="6"/>
  <c r="J398" i="6"/>
  <c r="L399" i="6"/>
  <c r="J406" i="6"/>
  <c r="L407" i="6"/>
  <c r="J414" i="6"/>
  <c r="L415" i="6"/>
  <c r="J422" i="6"/>
  <c r="L423" i="6"/>
  <c r="J430" i="6"/>
  <c r="L431" i="6"/>
  <c r="L438" i="6"/>
  <c r="R62" i="16"/>
  <c r="J244" i="6"/>
  <c r="L254" i="6"/>
  <c r="L262" i="6"/>
  <c r="L270" i="6"/>
  <c r="L278" i="6"/>
  <c r="L318" i="6"/>
  <c r="L326" i="6"/>
  <c r="L334" i="6"/>
  <c r="L342" i="6"/>
  <c r="L350" i="6"/>
  <c r="L356" i="6"/>
  <c r="L359" i="6"/>
  <c r="L364" i="6"/>
  <c r="L367" i="6"/>
  <c r="L372" i="6"/>
  <c r="L375" i="6"/>
  <c r="L380" i="6"/>
  <c r="L393" i="6"/>
  <c r="L401" i="6"/>
  <c r="L409" i="6"/>
  <c r="L417" i="6"/>
  <c r="R61" i="16"/>
  <c r="R65" i="16" s="1"/>
  <c r="K61" i="16"/>
  <c r="O72" i="16"/>
  <c r="L77" i="16" s="1"/>
  <c r="G19" i="16"/>
  <c r="L180" i="2" s="1"/>
  <c r="G16" i="16"/>
  <c r="J180" i="2" s="1"/>
  <c r="R22" i="16"/>
  <c r="R21" i="16"/>
  <c r="G67" i="16"/>
  <c r="L182" i="2" s="1"/>
  <c r="R69" i="16"/>
  <c r="G64" i="16"/>
  <c r="J182" i="2" s="1"/>
  <c r="R70" i="16"/>
  <c r="G40" i="16"/>
  <c r="I181" i="2" s="1"/>
  <c r="U37" i="16"/>
  <c r="L50" i="16" s="1"/>
  <c r="O49" i="16"/>
  <c r="K38" i="16"/>
  <c r="G55" i="16"/>
  <c r="T181" i="2" s="1"/>
  <c r="L36" i="16"/>
  <c r="G38" i="16"/>
  <c r="B181" i="2" s="1"/>
  <c r="G45" i="16"/>
  <c r="R66" i="16"/>
  <c r="U38" i="16"/>
  <c r="L55" i="16"/>
  <c r="R39" i="16"/>
  <c r="R43" i="16" s="1"/>
  <c r="G52" i="16"/>
  <c r="Q181" i="2" s="1"/>
  <c r="L48" i="16"/>
  <c r="G49" i="16"/>
  <c r="O181" i="2" s="1"/>
  <c r="R38" i="16"/>
  <c r="R67" i="16"/>
  <c r="G73" i="16" s="1"/>
  <c r="P182" i="2" s="1"/>
  <c r="H49" i="7"/>
  <c r="O15" i="3"/>
  <c r="O55" i="3"/>
  <c r="O23" i="3"/>
  <c r="O39" i="3"/>
  <c r="O47" i="3"/>
  <c r="O65" i="3"/>
  <c r="O76" i="3"/>
  <c r="O83" i="3"/>
  <c r="O97" i="3"/>
  <c r="O31" i="3"/>
  <c r="O67" i="3"/>
  <c r="O81" i="3"/>
  <c r="O92" i="3"/>
  <c r="O6" i="3"/>
  <c r="O68" i="3"/>
  <c r="O73" i="3"/>
  <c r="O75" i="3"/>
  <c r="O84" i="3"/>
  <c r="O89" i="3"/>
  <c r="O91" i="3"/>
  <c r="O11" i="3"/>
  <c r="O19" i="3"/>
  <c r="O27" i="3"/>
  <c r="O35" i="3"/>
  <c r="O43" i="3"/>
  <c r="O51" i="3"/>
  <c r="O59" i="3"/>
  <c r="O9" i="3"/>
  <c r="O10" i="3"/>
  <c r="Q11" i="3"/>
  <c r="O13" i="3"/>
  <c r="O16" i="3"/>
  <c r="Q19" i="3"/>
  <c r="O21" i="3"/>
  <c r="O24" i="3"/>
  <c r="Q27" i="3"/>
  <c r="O29" i="3"/>
  <c r="O32" i="3"/>
  <c r="Q35" i="3"/>
  <c r="O37" i="3"/>
  <c r="O40" i="3"/>
  <c r="Q43" i="3"/>
  <c r="O45" i="3"/>
  <c r="O48" i="3"/>
  <c r="Q51" i="3"/>
  <c r="O53" i="3"/>
  <c r="O56" i="3"/>
  <c r="Q59" i="3"/>
  <c r="O61" i="3"/>
  <c r="O64" i="3"/>
  <c r="Q67" i="3"/>
  <c r="O69" i="3"/>
  <c r="O72" i="3"/>
  <c r="Q75" i="3"/>
  <c r="O77" i="3"/>
  <c r="O80" i="3"/>
  <c r="Q83" i="3"/>
  <c r="O85" i="3"/>
  <c r="O88" i="3"/>
  <c r="Q91" i="3"/>
  <c r="O93" i="3"/>
  <c r="O96" i="3"/>
  <c r="O63" i="3"/>
  <c r="O71" i="3"/>
  <c r="O79" i="3"/>
  <c r="O87" i="3"/>
  <c r="O95" i="3"/>
  <c r="O5" i="3"/>
  <c r="O7" i="3"/>
  <c r="O12" i="3"/>
  <c r="Q15" i="3"/>
  <c r="O17" i="3"/>
  <c r="O20" i="3"/>
  <c r="Q23" i="3"/>
  <c r="O25" i="3"/>
  <c r="O28" i="3"/>
  <c r="Q31" i="3"/>
  <c r="O33" i="3"/>
  <c r="O36" i="3"/>
  <c r="Q39" i="3"/>
  <c r="O41" i="3"/>
  <c r="O44" i="3"/>
  <c r="Q47" i="3"/>
  <c r="O49" i="3"/>
  <c r="O52" i="3"/>
  <c r="Q55" i="3"/>
  <c r="O57" i="3"/>
  <c r="O60" i="3"/>
  <c r="L122" i="2"/>
  <c r="L124" i="2"/>
  <c r="L126" i="2"/>
  <c r="Q26" i="3"/>
  <c r="O26" i="3"/>
  <c r="L23" i="2"/>
  <c r="J24" i="2"/>
  <c r="L25" i="2"/>
  <c r="J26" i="2"/>
  <c r="L27" i="2"/>
  <c r="J28" i="2"/>
  <c r="L29" i="2"/>
  <c r="J30" i="2"/>
  <c r="L31" i="2"/>
  <c r="J32" i="2"/>
  <c r="L33" i="2"/>
  <c r="J34" i="2"/>
  <c r="L35" i="2"/>
  <c r="J36" i="2"/>
  <c r="L37" i="2"/>
  <c r="J38" i="2"/>
  <c r="L39" i="2"/>
  <c r="J40" i="2"/>
  <c r="L113" i="2"/>
  <c r="J114" i="2"/>
  <c r="L115" i="2"/>
  <c r="J116" i="2"/>
  <c r="L117" i="2"/>
  <c r="J118" i="2"/>
  <c r="L119" i="2"/>
  <c r="J120" i="2"/>
  <c r="J121" i="2"/>
  <c r="Q122" i="2"/>
  <c r="J123" i="2"/>
  <c r="Q124" i="2"/>
  <c r="J125" i="2"/>
  <c r="Q126" i="2"/>
  <c r="J127" i="2"/>
  <c r="Q128" i="2"/>
  <c r="J129" i="2"/>
  <c r="Q130" i="2"/>
  <c r="J131" i="2"/>
  <c r="Q132" i="2"/>
  <c r="J133" i="2"/>
  <c r="O134" i="2"/>
  <c r="L135" i="2"/>
  <c r="Q135" i="2"/>
  <c r="Q8" i="3"/>
  <c r="O8" i="3"/>
  <c r="Q22" i="3"/>
  <c r="O22" i="3"/>
  <c r="M135" i="2"/>
  <c r="Q18" i="3"/>
  <c r="O18" i="3"/>
  <c r="L128" i="2"/>
  <c r="L130" i="2"/>
  <c r="L132" i="2"/>
  <c r="Q121" i="2"/>
  <c r="B122" i="2"/>
  <c r="Q123" i="2"/>
  <c r="B124" i="2"/>
  <c r="Q125" i="2"/>
  <c r="B126" i="2"/>
  <c r="Q127" i="2"/>
  <c r="B128" i="2"/>
  <c r="Q129" i="2"/>
  <c r="B130" i="2"/>
  <c r="Q131" i="2"/>
  <c r="B132" i="2"/>
  <c r="Q133" i="2"/>
  <c r="O136" i="2"/>
  <c r="Q14" i="3"/>
  <c r="O14" i="3"/>
  <c r="Q30" i="3"/>
  <c r="O30" i="3"/>
  <c r="L136" i="2"/>
  <c r="O34" i="3"/>
  <c r="O38" i="3"/>
  <c r="O42" i="3"/>
  <c r="O46" i="3"/>
  <c r="O50" i="3"/>
  <c r="O54" i="3"/>
  <c r="O58" i="3"/>
  <c r="O62" i="3"/>
  <c r="O66" i="3"/>
  <c r="O70" i="3"/>
  <c r="O74" i="3"/>
  <c r="O78" i="3"/>
  <c r="O82" i="3"/>
  <c r="O86" i="3"/>
  <c r="O90" i="3"/>
  <c r="O94" i="3"/>
  <c r="L15" i="4"/>
  <c r="B15" i="4"/>
  <c r="L19" i="4"/>
  <c r="B19" i="4"/>
  <c r="L23" i="4"/>
  <c r="B23" i="4"/>
  <c r="L27" i="4"/>
  <c r="B27" i="4"/>
  <c r="L31" i="4"/>
  <c r="B31" i="4"/>
  <c r="L35" i="4"/>
  <c r="B35" i="4"/>
  <c r="L39" i="4"/>
  <c r="B39" i="4"/>
  <c r="L43" i="4"/>
  <c r="B43" i="4"/>
  <c r="L47" i="4"/>
  <c r="B47" i="4"/>
  <c r="L51" i="4"/>
  <c r="B51" i="4"/>
  <c r="L55" i="4"/>
  <c r="B55" i="4"/>
  <c r="L59" i="4"/>
  <c r="B59" i="4"/>
  <c r="L63" i="4"/>
  <c r="B63" i="4"/>
  <c r="L67" i="4"/>
  <c r="B67" i="4"/>
  <c r="L71" i="4"/>
  <c r="B71" i="4"/>
  <c r="L75" i="4"/>
  <c r="B75" i="4"/>
  <c r="L79" i="4"/>
  <c r="B79" i="4"/>
  <c r="L83" i="4"/>
  <c r="B83" i="4"/>
  <c r="L87" i="4"/>
  <c r="B87" i="4"/>
  <c r="L91" i="4"/>
  <c r="B91" i="4"/>
  <c r="L95" i="4"/>
  <c r="B95" i="4"/>
  <c r="L99" i="4"/>
  <c r="B99" i="4"/>
  <c r="L103" i="4"/>
  <c r="B103" i="4"/>
  <c r="L107" i="4"/>
  <c r="B107" i="4"/>
  <c r="L111" i="4"/>
  <c r="B111" i="4"/>
  <c r="L115" i="4"/>
  <c r="B115" i="4"/>
  <c r="L119" i="4"/>
  <c r="B119" i="4"/>
  <c r="L123" i="4"/>
  <c r="B123" i="4"/>
  <c r="L127" i="4"/>
  <c r="B127" i="4"/>
  <c r="L131" i="4"/>
  <c r="B131" i="4"/>
  <c r="L135" i="4"/>
  <c r="B135" i="4"/>
  <c r="L139" i="4"/>
  <c r="B139" i="4"/>
  <c r="L143" i="4"/>
  <c r="B143" i="4"/>
  <c r="L148" i="4"/>
  <c r="B148" i="4"/>
  <c r="L152" i="4"/>
  <c r="B152" i="4"/>
  <c r="L156" i="4"/>
  <c r="B156" i="4"/>
  <c r="L160" i="4"/>
  <c r="B160" i="4"/>
  <c r="L164" i="4"/>
  <c r="B164" i="4"/>
  <c r="L168" i="4"/>
  <c r="B168" i="4"/>
  <c r="L172" i="4"/>
  <c r="B172" i="4"/>
  <c r="L176" i="4"/>
  <c r="B176" i="4"/>
  <c r="L180" i="4"/>
  <c r="B180" i="4"/>
  <c r="L184" i="4"/>
  <c r="B184" i="4"/>
  <c r="L188" i="4"/>
  <c r="B188" i="4"/>
  <c r="L192" i="4"/>
  <c r="B192" i="4"/>
  <c r="L196" i="4"/>
  <c r="B196" i="4"/>
  <c r="L200" i="4"/>
  <c r="B200" i="4"/>
  <c r="L204" i="4"/>
  <c r="B204" i="4"/>
  <c r="M11" i="4"/>
  <c r="L16" i="4"/>
  <c r="B16" i="4"/>
  <c r="L20" i="4"/>
  <c r="B20" i="4"/>
  <c r="L24" i="4"/>
  <c r="B24" i="4"/>
  <c r="L28" i="4"/>
  <c r="B28" i="4"/>
  <c r="L32" i="4"/>
  <c r="B32" i="4"/>
  <c r="L36" i="4"/>
  <c r="B36" i="4"/>
  <c r="L40" i="4"/>
  <c r="B40" i="4"/>
  <c r="L44" i="4"/>
  <c r="B44" i="4"/>
  <c r="L48" i="4"/>
  <c r="B48" i="4"/>
  <c r="L52" i="4"/>
  <c r="B52" i="4"/>
  <c r="L56" i="4"/>
  <c r="B56" i="4"/>
  <c r="L60" i="4"/>
  <c r="B60" i="4"/>
  <c r="L64" i="4"/>
  <c r="B64" i="4"/>
  <c r="L68" i="4"/>
  <c r="B68" i="4"/>
  <c r="L72" i="4"/>
  <c r="B72" i="4"/>
  <c r="L76" i="4"/>
  <c r="B76" i="4"/>
  <c r="L80" i="4"/>
  <c r="B80" i="4"/>
  <c r="L84" i="4"/>
  <c r="B84" i="4"/>
  <c r="L88" i="4"/>
  <c r="B88" i="4"/>
  <c r="L92" i="4"/>
  <c r="B92" i="4"/>
  <c r="L96" i="4"/>
  <c r="B96" i="4"/>
  <c r="L100" i="4"/>
  <c r="B100" i="4"/>
  <c r="L104" i="4"/>
  <c r="B104" i="4"/>
  <c r="L108" i="4"/>
  <c r="B108" i="4"/>
  <c r="L112" i="4"/>
  <c r="B112" i="4"/>
  <c r="L116" i="4"/>
  <c r="B116" i="4"/>
  <c r="L120" i="4"/>
  <c r="B120" i="4"/>
  <c r="L124" i="4"/>
  <c r="B124" i="4"/>
  <c r="L128" i="4"/>
  <c r="B128" i="4"/>
  <c r="L132" i="4"/>
  <c r="B132" i="4"/>
  <c r="L136" i="4"/>
  <c r="B136" i="4"/>
  <c r="L140" i="4"/>
  <c r="B140" i="4"/>
  <c r="L144" i="4"/>
  <c r="L149" i="4"/>
  <c r="B149" i="4"/>
  <c r="L153" i="4"/>
  <c r="B153" i="4"/>
  <c r="L157" i="4"/>
  <c r="B157" i="4"/>
  <c r="L161" i="4"/>
  <c r="L165" i="4"/>
  <c r="B165" i="4"/>
  <c r="L169" i="4"/>
  <c r="B169" i="4"/>
  <c r="L173" i="4"/>
  <c r="B173" i="4"/>
  <c r="L177" i="4"/>
  <c r="L181" i="4"/>
  <c r="B181" i="4"/>
  <c r="L185" i="4"/>
  <c r="B185" i="4"/>
  <c r="L189" i="4"/>
  <c r="B189" i="4"/>
  <c r="L193" i="4"/>
  <c r="L197" i="4"/>
  <c r="B197" i="4"/>
  <c r="L201" i="4"/>
  <c r="B201" i="4"/>
  <c r="M7" i="4"/>
  <c r="H10" i="4"/>
  <c r="L10" i="4" s="1"/>
  <c r="L13" i="4"/>
  <c r="B13" i="4"/>
  <c r="B17" i="4"/>
  <c r="L21" i="4"/>
  <c r="B21" i="4"/>
  <c r="L25" i="4"/>
  <c r="B25" i="4"/>
  <c r="L29" i="4"/>
  <c r="B29" i="4"/>
  <c r="L33" i="4"/>
  <c r="B33" i="4"/>
  <c r="B37" i="4"/>
  <c r="L41" i="4"/>
  <c r="B41" i="4"/>
  <c r="L45" i="4"/>
  <c r="B45" i="4"/>
  <c r="L49" i="4"/>
  <c r="B49" i="4"/>
  <c r="B53" i="4"/>
  <c r="L57" i="4"/>
  <c r="B57" i="4"/>
  <c r="L61" i="4"/>
  <c r="B61" i="4"/>
  <c r="L65" i="4"/>
  <c r="B65" i="4"/>
  <c r="L69" i="4"/>
  <c r="B69" i="4"/>
  <c r="B73" i="4"/>
  <c r="L77" i="4"/>
  <c r="B77" i="4"/>
  <c r="L81" i="4"/>
  <c r="B81" i="4"/>
  <c r="L85" i="4"/>
  <c r="B85" i="4"/>
  <c r="B89" i="4"/>
  <c r="L93" i="4"/>
  <c r="B93" i="4"/>
  <c r="L97" i="4"/>
  <c r="B97" i="4"/>
  <c r="L101" i="4"/>
  <c r="B101" i="4"/>
  <c r="B105" i="4"/>
  <c r="L109" i="4"/>
  <c r="B109" i="4"/>
  <c r="L113" i="4"/>
  <c r="B113" i="4"/>
  <c r="L117" i="4"/>
  <c r="B117" i="4"/>
  <c r="L121" i="4"/>
  <c r="B121" i="4"/>
  <c r="B125" i="4"/>
  <c r="L129" i="4"/>
  <c r="B129" i="4"/>
  <c r="L133" i="4"/>
  <c r="B133" i="4"/>
  <c r="B137" i="4"/>
  <c r="L141" i="4"/>
  <c r="B141" i="4"/>
  <c r="L145" i="4"/>
  <c r="B145" i="4"/>
  <c r="L150" i="4"/>
  <c r="B150" i="4"/>
  <c r="B154" i="4"/>
  <c r="L158" i="4"/>
  <c r="B158" i="4"/>
  <c r="L162" i="4"/>
  <c r="B162" i="4"/>
  <c r="B166" i="4"/>
  <c r="L170" i="4"/>
  <c r="B170" i="4"/>
  <c r="L174" i="4"/>
  <c r="B174" i="4"/>
  <c r="L178" i="4"/>
  <c r="B178" i="4"/>
  <c r="L182" i="4"/>
  <c r="B182" i="4"/>
  <c r="B186" i="4"/>
  <c r="L190" i="4"/>
  <c r="B190" i="4"/>
  <c r="B194" i="4"/>
  <c r="L198" i="4"/>
  <c r="B198" i="4"/>
  <c r="L202" i="4"/>
  <c r="B202" i="4"/>
  <c r="L14" i="4"/>
  <c r="B14" i="4"/>
  <c r="L18" i="4"/>
  <c r="B18" i="4"/>
  <c r="L22" i="4"/>
  <c r="B22" i="4"/>
  <c r="L26" i="4"/>
  <c r="B26" i="4"/>
  <c r="L30" i="4"/>
  <c r="B30" i="4"/>
  <c r="L34" i="4"/>
  <c r="B34" i="4"/>
  <c r="L38" i="4"/>
  <c r="B38" i="4"/>
  <c r="L42" i="4"/>
  <c r="B42" i="4"/>
  <c r="L46" i="4"/>
  <c r="B46" i="4"/>
  <c r="L50" i="4"/>
  <c r="B50" i="4"/>
  <c r="L54" i="4"/>
  <c r="B54" i="4"/>
  <c r="L58" i="4"/>
  <c r="B58" i="4"/>
  <c r="L62" i="4"/>
  <c r="B62" i="4"/>
  <c r="L66" i="4"/>
  <c r="B66" i="4"/>
  <c r="L70" i="4"/>
  <c r="B70" i="4"/>
  <c r="L74" i="4"/>
  <c r="B74" i="4"/>
  <c r="L78" i="4"/>
  <c r="B78" i="4"/>
  <c r="L82" i="4"/>
  <c r="B82" i="4"/>
  <c r="L86" i="4"/>
  <c r="B86" i="4"/>
  <c r="L90" i="4"/>
  <c r="B90" i="4"/>
  <c r="L94" i="4"/>
  <c r="B94" i="4"/>
  <c r="L98" i="4"/>
  <c r="B98" i="4"/>
  <c r="L102" i="4"/>
  <c r="B102" i="4"/>
  <c r="L106" i="4"/>
  <c r="B106" i="4"/>
  <c r="L110" i="4"/>
  <c r="B110" i="4"/>
  <c r="L114" i="4"/>
  <c r="B114" i="4"/>
  <c r="L118" i="4"/>
  <c r="B118" i="4"/>
  <c r="L122" i="4"/>
  <c r="B122" i="4"/>
  <c r="L126" i="4"/>
  <c r="B126" i="4"/>
  <c r="L130" i="4"/>
  <c r="B130" i="4"/>
  <c r="L134" i="4"/>
  <c r="B134" i="4"/>
  <c r="L138" i="4"/>
  <c r="B138" i="4"/>
  <c r="L142" i="4"/>
  <c r="B142" i="4"/>
  <c r="L147" i="4"/>
  <c r="B147" i="4"/>
  <c r="L151" i="4"/>
  <c r="B151" i="4"/>
  <c r="L155" i="4"/>
  <c r="B155" i="4"/>
  <c r="L159" i="4"/>
  <c r="B159" i="4"/>
  <c r="L163" i="4"/>
  <c r="B163" i="4"/>
  <c r="L167" i="4"/>
  <c r="B167" i="4"/>
  <c r="L171" i="4"/>
  <c r="B171" i="4"/>
  <c r="L175" i="4"/>
  <c r="B175" i="4"/>
  <c r="L179" i="4"/>
  <c r="B179" i="4"/>
  <c r="L183" i="4"/>
  <c r="B183" i="4"/>
  <c r="L187" i="4"/>
  <c r="B187" i="4"/>
  <c r="L191" i="4"/>
  <c r="B191" i="4"/>
  <c r="L195" i="4"/>
  <c r="B195" i="4"/>
  <c r="L199" i="4"/>
  <c r="B199" i="4"/>
  <c r="L203" i="4"/>
  <c r="B203" i="4"/>
  <c r="Q7" i="5"/>
  <c r="B7" i="5"/>
  <c r="L7" i="5"/>
  <c r="H9" i="4"/>
  <c r="L9" i="4" s="1"/>
  <c r="H5" i="5"/>
  <c r="R7" i="5"/>
  <c r="L66" i="5"/>
  <c r="Q66" i="5"/>
  <c r="B66" i="5"/>
  <c r="Q68" i="5"/>
  <c r="B68" i="5"/>
  <c r="R69" i="5"/>
  <c r="H69" i="5"/>
  <c r="B71" i="5"/>
  <c r="Q75" i="5"/>
  <c r="L82" i="5"/>
  <c r="Q84" i="5"/>
  <c r="B84" i="5"/>
  <c r="R85" i="5"/>
  <c r="H85" i="5"/>
  <c r="B87" i="5"/>
  <c r="Q91" i="5"/>
  <c r="Q107" i="5"/>
  <c r="B107" i="5"/>
  <c r="L107" i="5"/>
  <c r="L108" i="5"/>
  <c r="M7" i="5"/>
  <c r="Q10" i="5"/>
  <c r="B10" i="5"/>
  <c r="H11" i="5"/>
  <c r="R11" i="5"/>
  <c r="Q12" i="5"/>
  <c r="B12" i="5"/>
  <c r="R13" i="5"/>
  <c r="H13" i="5"/>
  <c r="Q14" i="5"/>
  <c r="B14" i="5"/>
  <c r="H15" i="5"/>
  <c r="R15" i="5"/>
  <c r="Q16" i="5"/>
  <c r="B16" i="5"/>
  <c r="R17" i="5"/>
  <c r="H17" i="5"/>
  <c r="Q18" i="5"/>
  <c r="B18" i="5"/>
  <c r="H19" i="5"/>
  <c r="R19" i="5"/>
  <c r="Q20" i="5"/>
  <c r="R21" i="5"/>
  <c r="H21" i="5"/>
  <c r="Q22" i="5"/>
  <c r="B22" i="5"/>
  <c r="H23" i="5"/>
  <c r="R23" i="5"/>
  <c r="R25" i="5"/>
  <c r="H25" i="5"/>
  <c r="Q26" i="5"/>
  <c r="H27" i="5"/>
  <c r="R27" i="5"/>
  <c r="R29" i="5"/>
  <c r="H29" i="5"/>
  <c r="Q30" i="5"/>
  <c r="B30" i="5"/>
  <c r="H31" i="5"/>
  <c r="R31" i="5"/>
  <c r="Q32" i="5"/>
  <c r="B32" i="5"/>
  <c r="R33" i="5"/>
  <c r="H33" i="5"/>
  <c r="Q34" i="5"/>
  <c r="B34" i="5"/>
  <c r="H35" i="5"/>
  <c r="R35" i="5"/>
  <c r="Q36" i="5"/>
  <c r="B36" i="5"/>
  <c r="R37" i="5"/>
  <c r="H37" i="5"/>
  <c r="Q38" i="5"/>
  <c r="B38" i="5"/>
  <c r="H39" i="5"/>
  <c r="R39" i="5"/>
  <c r="Q40" i="5"/>
  <c r="R41" i="5"/>
  <c r="H41" i="5"/>
  <c r="Q42" i="5"/>
  <c r="B42" i="5"/>
  <c r="H43" i="5"/>
  <c r="R43" i="5"/>
  <c r="Q44" i="5"/>
  <c r="R45" i="5"/>
  <c r="H45" i="5"/>
  <c r="Q46" i="5"/>
  <c r="B46" i="5"/>
  <c r="H47" i="5"/>
  <c r="R47" i="5"/>
  <c r="R49" i="5"/>
  <c r="H49" i="5"/>
  <c r="H51" i="5"/>
  <c r="R51" i="5"/>
  <c r="Q52" i="5"/>
  <c r="B52" i="5"/>
  <c r="R53" i="5"/>
  <c r="H53" i="5"/>
  <c r="Q54" i="5"/>
  <c r="B54" i="5"/>
  <c r="H55" i="5"/>
  <c r="R55" i="5"/>
  <c r="Q56" i="5"/>
  <c r="B56" i="5"/>
  <c r="R57" i="5"/>
  <c r="H57" i="5"/>
  <c r="Q58" i="5"/>
  <c r="B58" i="5"/>
  <c r="H59" i="5"/>
  <c r="M59" i="5"/>
  <c r="R59" i="5"/>
  <c r="Q62" i="5"/>
  <c r="R65" i="5"/>
  <c r="H65" i="5"/>
  <c r="Q71" i="5"/>
  <c r="L78" i="5"/>
  <c r="Q78" i="5"/>
  <c r="B78" i="5"/>
  <c r="R81" i="5"/>
  <c r="H81" i="5"/>
  <c r="B83" i="5"/>
  <c r="Q87" i="5"/>
  <c r="Q103" i="5"/>
  <c r="M6" i="4"/>
  <c r="M10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4" i="5"/>
  <c r="Q4" i="5"/>
  <c r="M6" i="5"/>
  <c r="Q60" i="5"/>
  <c r="R61" i="5"/>
  <c r="H61" i="5"/>
  <c r="L74" i="5"/>
  <c r="Q74" i="5"/>
  <c r="B74" i="5"/>
  <c r="Q76" i="5"/>
  <c r="B76" i="5"/>
  <c r="R77" i="5"/>
  <c r="H77" i="5"/>
  <c r="L90" i="5"/>
  <c r="B90" i="5"/>
  <c r="R93" i="5"/>
  <c r="H93" i="5"/>
  <c r="Q99" i="5"/>
  <c r="B99" i="5"/>
  <c r="L99" i="5"/>
  <c r="L100" i="5"/>
  <c r="Q111" i="5"/>
  <c r="B111" i="5"/>
  <c r="L111" i="5"/>
  <c r="H9" i="5"/>
  <c r="L10" i="5"/>
  <c r="M11" i="5"/>
  <c r="L12" i="5"/>
  <c r="M13" i="5"/>
  <c r="L14" i="5"/>
  <c r="M15" i="5"/>
  <c r="L16" i="5"/>
  <c r="M17" i="5"/>
  <c r="L18" i="5"/>
  <c r="M19" i="5"/>
  <c r="M21" i="5"/>
  <c r="L22" i="5"/>
  <c r="M23" i="5"/>
  <c r="M25" i="5"/>
  <c r="L26" i="5"/>
  <c r="M27" i="5"/>
  <c r="M29" i="5"/>
  <c r="L30" i="5"/>
  <c r="M31" i="5"/>
  <c r="L32" i="5"/>
  <c r="M33" i="5"/>
  <c r="L34" i="5"/>
  <c r="M35" i="5"/>
  <c r="L36" i="5"/>
  <c r="M37" i="5"/>
  <c r="L38" i="5"/>
  <c r="M39" i="5"/>
  <c r="M41" i="5"/>
  <c r="L42" i="5"/>
  <c r="M43" i="5"/>
  <c r="M45" i="5"/>
  <c r="L46" i="5"/>
  <c r="M47" i="5"/>
  <c r="M49" i="5"/>
  <c r="M51" i="5"/>
  <c r="L52" i="5"/>
  <c r="M53" i="5"/>
  <c r="L54" i="5"/>
  <c r="M55" i="5"/>
  <c r="L56" i="5"/>
  <c r="M57" i="5"/>
  <c r="L58" i="5"/>
  <c r="M65" i="5"/>
  <c r="B70" i="5"/>
  <c r="Q72" i="5"/>
  <c r="B72" i="5"/>
  <c r="R73" i="5"/>
  <c r="H73" i="5"/>
  <c r="B75" i="5"/>
  <c r="M81" i="5"/>
  <c r="L86" i="5"/>
  <c r="Q86" i="5"/>
  <c r="B86" i="5"/>
  <c r="Q88" i="5"/>
  <c r="B88" i="5"/>
  <c r="R89" i="5"/>
  <c r="H89" i="5"/>
  <c r="Q95" i="5"/>
  <c r="B95" i="5"/>
  <c r="L95" i="5"/>
  <c r="L96" i="5"/>
  <c r="Q96" i="5"/>
  <c r="B96" i="5"/>
  <c r="R63" i="5"/>
  <c r="R67" i="5"/>
  <c r="R71" i="5"/>
  <c r="R75" i="5"/>
  <c r="R79" i="5"/>
  <c r="R83" i="5"/>
  <c r="R87" i="5"/>
  <c r="R91" i="5"/>
  <c r="B94" i="5"/>
  <c r="Q94" i="5"/>
  <c r="R95" i="5"/>
  <c r="H97" i="5"/>
  <c r="B98" i="5"/>
  <c r="Q98" i="5"/>
  <c r="R99" i="5"/>
  <c r="H101" i="5"/>
  <c r="B102" i="5"/>
  <c r="Q102" i="5"/>
  <c r="R103" i="5"/>
  <c r="H105" i="5"/>
  <c r="B106" i="5"/>
  <c r="R107" i="5"/>
  <c r="H109" i="5"/>
  <c r="M111" i="5"/>
  <c r="B112" i="5"/>
  <c r="R114" i="5"/>
  <c r="H115" i="5"/>
  <c r="R118" i="5"/>
  <c r="H119" i="5"/>
  <c r="R122" i="5"/>
  <c r="H123" i="5"/>
  <c r="R126" i="5"/>
  <c r="H127" i="5"/>
  <c r="R130" i="5"/>
  <c r="H131" i="5"/>
  <c r="R134" i="5"/>
  <c r="H135" i="5"/>
  <c r="R138" i="5"/>
  <c r="H139" i="5"/>
  <c r="R142" i="5"/>
  <c r="H143" i="5"/>
  <c r="R146" i="5"/>
  <c r="H147" i="5"/>
  <c r="R150" i="5"/>
  <c r="H151" i="5"/>
  <c r="R154" i="5"/>
  <c r="L164" i="5"/>
  <c r="Q164" i="5"/>
  <c r="B164" i="5"/>
  <c r="B165" i="5"/>
  <c r="H167" i="5"/>
  <c r="R167" i="5"/>
  <c r="Q170" i="5"/>
  <c r="H171" i="5"/>
  <c r="B179" i="5"/>
  <c r="L182" i="5"/>
  <c r="Q182" i="5"/>
  <c r="B182" i="5"/>
  <c r="Q188" i="5"/>
  <c r="B188" i="5"/>
  <c r="L188" i="5"/>
  <c r="L195" i="5"/>
  <c r="Q195" i="5"/>
  <c r="B195" i="5"/>
  <c r="B198" i="5"/>
  <c r="Q204" i="5"/>
  <c r="B204" i="5"/>
  <c r="L204" i="5"/>
  <c r="L211" i="5"/>
  <c r="Q211" i="5"/>
  <c r="L214" i="5"/>
  <c r="Q214" i="5"/>
  <c r="B214" i="5"/>
  <c r="M63" i="5"/>
  <c r="M67" i="5"/>
  <c r="M71" i="5"/>
  <c r="M75" i="5"/>
  <c r="M79" i="5"/>
  <c r="M83" i="5"/>
  <c r="M87" i="5"/>
  <c r="M91" i="5"/>
  <c r="M95" i="5"/>
  <c r="M99" i="5"/>
  <c r="M103" i="5"/>
  <c r="M107" i="5"/>
  <c r="L160" i="5"/>
  <c r="Q160" i="5"/>
  <c r="B160" i="5"/>
  <c r="H163" i="5"/>
  <c r="R163" i="5"/>
  <c r="Q166" i="5"/>
  <c r="B166" i="5"/>
  <c r="L175" i="5"/>
  <c r="Q175" i="5"/>
  <c r="Q178" i="5"/>
  <c r="B178" i="5"/>
  <c r="L191" i="5"/>
  <c r="Q191" i="5"/>
  <c r="B191" i="5"/>
  <c r="L194" i="5"/>
  <c r="Q194" i="5"/>
  <c r="Q200" i="5"/>
  <c r="B200" i="5"/>
  <c r="L200" i="5"/>
  <c r="B207" i="5"/>
  <c r="L210" i="5"/>
  <c r="Q210" i="5"/>
  <c r="B210" i="5"/>
  <c r="Q216" i="5"/>
  <c r="B216" i="5"/>
  <c r="Q223" i="5"/>
  <c r="L223" i="5"/>
  <c r="B223" i="5"/>
  <c r="R97" i="5"/>
  <c r="R101" i="5"/>
  <c r="R105" i="5"/>
  <c r="R109" i="5"/>
  <c r="M114" i="5"/>
  <c r="M115" i="5"/>
  <c r="M118" i="5"/>
  <c r="M119" i="5"/>
  <c r="M122" i="5"/>
  <c r="M123" i="5"/>
  <c r="M126" i="5"/>
  <c r="M127" i="5"/>
  <c r="M130" i="5"/>
  <c r="M131" i="5"/>
  <c r="M134" i="5"/>
  <c r="M135" i="5"/>
  <c r="M138" i="5"/>
  <c r="M139" i="5"/>
  <c r="M142" i="5"/>
  <c r="M143" i="5"/>
  <c r="M146" i="5"/>
  <c r="M147" i="5"/>
  <c r="M150" i="5"/>
  <c r="M151" i="5"/>
  <c r="M154" i="5"/>
  <c r="Q156" i="5"/>
  <c r="H159" i="5"/>
  <c r="R159" i="5"/>
  <c r="H162" i="5"/>
  <c r="M167" i="5"/>
  <c r="L174" i="5"/>
  <c r="Q174" i="5"/>
  <c r="B174" i="5"/>
  <c r="B187" i="5"/>
  <c r="L190" i="5"/>
  <c r="Q190" i="5"/>
  <c r="B190" i="5"/>
  <c r="Q196" i="5"/>
  <c r="Q203" i="5"/>
  <c r="B203" i="5"/>
  <c r="L206" i="5"/>
  <c r="Q206" i="5"/>
  <c r="B206" i="5"/>
  <c r="B212" i="5"/>
  <c r="L222" i="5"/>
  <c r="Q222" i="5"/>
  <c r="B222" i="5"/>
  <c r="Q112" i="5"/>
  <c r="Q114" i="5"/>
  <c r="B114" i="5"/>
  <c r="Q118" i="5"/>
  <c r="B118" i="5"/>
  <c r="Q122" i="5"/>
  <c r="B126" i="5"/>
  <c r="Q130" i="5"/>
  <c r="Q134" i="5"/>
  <c r="B134" i="5"/>
  <c r="Q138" i="5"/>
  <c r="B142" i="5"/>
  <c r="Q146" i="5"/>
  <c r="B146" i="5"/>
  <c r="Q150" i="5"/>
  <c r="B150" i="5"/>
  <c r="H155" i="5"/>
  <c r="R155" i="5"/>
  <c r="Q157" i="5"/>
  <c r="Q168" i="5"/>
  <c r="H172" i="5"/>
  <c r="R172" i="5"/>
  <c r="Q176" i="5"/>
  <c r="B176" i="5"/>
  <c r="L176" i="5"/>
  <c r="L183" i="5"/>
  <c r="Q183" i="5"/>
  <c r="B183" i="5"/>
  <c r="L186" i="5"/>
  <c r="Q186" i="5"/>
  <c r="B186" i="5"/>
  <c r="Q192" i="5"/>
  <c r="B192" i="5"/>
  <c r="L192" i="5"/>
  <c r="L199" i="5"/>
  <c r="L202" i="5"/>
  <c r="Q202" i="5"/>
  <c r="Q208" i="5"/>
  <c r="B208" i="5"/>
  <c r="L208" i="5"/>
  <c r="L215" i="5"/>
  <c r="Q215" i="5"/>
  <c r="B215" i="5"/>
  <c r="L218" i="5"/>
  <c r="Q218" i="5"/>
  <c r="B218" i="5"/>
  <c r="Q225" i="5"/>
  <c r="B225" i="5"/>
  <c r="L225" i="5"/>
  <c r="B227" i="5"/>
  <c r="Q229" i="5"/>
  <c r="B229" i="5"/>
  <c r="L229" i="5"/>
  <c r="Q233" i="5"/>
  <c r="B233" i="5"/>
  <c r="L233" i="5"/>
  <c r="Q237" i="5"/>
  <c r="B237" i="5"/>
  <c r="L237" i="5"/>
  <c r="Q241" i="5"/>
  <c r="B241" i="5"/>
  <c r="L241" i="5"/>
  <c r="Q245" i="5"/>
  <c r="B245" i="5"/>
  <c r="L245" i="5"/>
  <c r="Q249" i="5"/>
  <c r="B249" i="5"/>
  <c r="L249" i="5"/>
  <c r="Q251" i="5"/>
  <c r="B251" i="5"/>
  <c r="L251" i="5"/>
  <c r="Q253" i="5"/>
  <c r="B253" i="5"/>
  <c r="L253" i="5"/>
  <c r="Q255" i="5"/>
  <c r="B255" i="5"/>
  <c r="L255" i="5"/>
  <c r="Q257" i="5"/>
  <c r="B257" i="5"/>
  <c r="L257" i="5"/>
  <c r="M116" i="5"/>
  <c r="M120" i="5"/>
  <c r="M124" i="5"/>
  <c r="M128" i="5"/>
  <c r="M132" i="5"/>
  <c r="M136" i="5"/>
  <c r="M140" i="5"/>
  <c r="M144" i="5"/>
  <c r="M148" i="5"/>
  <c r="M152" i="5"/>
  <c r="M156" i="5"/>
  <c r="M160" i="5"/>
  <c r="M164" i="5"/>
  <c r="M168" i="5"/>
  <c r="M173" i="5"/>
  <c r="R176" i="5"/>
  <c r="M177" i="5"/>
  <c r="R180" i="5"/>
  <c r="M181" i="5"/>
  <c r="R184" i="5"/>
  <c r="M185" i="5"/>
  <c r="R188" i="5"/>
  <c r="M189" i="5"/>
  <c r="R192" i="5"/>
  <c r="M193" i="5"/>
  <c r="R196" i="5"/>
  <c r="M197" i="5"/>
  <c r="R200" i="5"/>
  <c r="M201" i="5"/>
  <c r="R204" i="5"/>
  <c r="M205" i="5"/>
  <c r="R208" i="5"/>
  <c r="M209" i="5"/>
  <c r="R212" i="5"/>
  <c r="M213" i="5"/>
  <c r="R216" i="5"/>
  <c r="M217" i="5"/>
  <c r="R220" i="5"/>
  <c r="M221" i="5"/>
  <c r="R223" i="5"/>
  <c r="R224" i="5"/>
  <c r="H224" i="5"/>
  <c r="H226" i="5"/>
  <c r="R226" i="5"/>
  <c r="R228" i="5"/>
  <c r="H228" i="5"/>
  <c r="H230" i="5"/>
  <c r="R230" i="5"/>
  <c r="R232" i="5"/>
  <c r="H232" i="5"/>
  <c r="H234" i="5"/>
  <c r="R234" i="5"/>
  <c r="R236" i="5"/>
  <c r="H236" i="5"/>
  <c r="H238" i="5"/>
  <c r="R238" i="5"/>
  <c r="R240" i="5"/>
  <c r="H240" i="5"/>
  <c r="H242" i="5"/>
  <c r="R242" i="5"/>
  <c r="R244" i="5"/>
  <c r="H244" i="5"/>
  <c r="H246" i="5"/>
  <c r="R246" i="5"/>
  <c r="R248" i="5"/>
  <c r="H248" i="5"/>
  <c r="H250" i="5"/>
  <c r="R250" i="5"/>
  <c r="R252" i="5"/>
  <c r="H252" i="5"/>
  <c r="H254" i="5"/>
  <c r="R254" i="5"/>
  <c r="R256" i="5"/>
  <c r="H256" i="5"/>
  <c r="H258" i="5"/>
  <c r="R258" i="5"/>
  <c r="Q278" i="5"/>
  <c r="B278" i="5"/>
  <c r="L278" i="5"/>
  <c r="B281" i="5"/>
  <c r="M176" i="5"/>
  <c r="M180" i="5"/>
  <c r="M184" i="5"/>
  <c r="M188" i="5"/>
  <c r="M192" i="5"/>
  <c r="M196" i="5"/>
  <c r="M200" i="5"/>
  <c r="M204" i="5"/>
  <c r="M208" i="5"/>
  <c r="M212" i="5"/>
  <c r="M216" i="5"/>
  <c r="M220" i="5"/>
  <c r="Q274" i="5"/>
  <c r="B274" i="5"/>
  <c r="L274" i="5"/>
  <c r="L277" i="5"/>
  <c r="Q277" i="5"/>
  <c r="B277" i="5"/>
  <c r="M158" i="5"/>
  <c r="M162" i="5"/>
  <c r="M166" i="5"/>
  <c r="M171" i="5"/>
  <c r="B173" i="5"/>
  <c r="Q173" i="5"/>
  <c r="M175" i="5"/>
  <c r="B177" i="5"/>
  <c r="Q177" i="5"/>
  <c r="M179" i="5"/>
  <c r="M183" i="5"/>
  <c r="B185" i="5"/>
  <c r="Q185" i="5"/>
  <c r="M187" i="5"/>
  <c r="B189" i="5"/>
  <c r="Q189" i="5"/>
  <c r="M191" i="5"/>
  <c r="B193" i="5"/>
  <c r="Q193" i="5"/>
  <c r="M195" i="5"/>
  <c r="B197" i="5"/>
  <c r="Q197" i="5"/>
  <c r="M199" i="5"/>
  <c r="B201" i="5"/>
  <c r="Q201" i="5"/>
  <c r="M203" i="5"/>
  <c r="B205" i="5"/>
  <c r="Q205" i="5"/>
  <c r="M207" i="5"/>
  <c r="B209" i="5"/>
  <c r="Q209" i="5"/>
  <c r="M211" i="5"/>
  <c r="M215" i="5"/>
  <c r="B217" i="5"/>
  <c r="Q217" i="5"/>
  <c r="M219" i="5"/>
  <c r="B221" i="5"/>
  <c r="Q221" i="5"/>
  <c r="M223" i="5"/>
  <c r="B263" i="5"/>
  <c r="Q265" i="5"/>
  <c r="B265" i="5"/>
  <c r="H266" i="5"/>
  <c r="R266" i="5"/>
  <c r="Q270" i="5"/>
  <c r="L273" i="5"/>
  <c r="Q273" i="5"/>
  <c r="B273" i="5"/>
  <c r="L259" i="5"/>
  <c r="Q259" i="5"/>
  <c r="B259" i="5"/>
  <c r="Q261" i="5"/>
  <c r="B261" i="5"/>
  <c r="H262" i="5"/>
  <c r="R262" i="5"/>
  <c r="L269" i="5"/>
  <c r="Q269" i="5"/>
  <c r="B269" i="5"/>
  <c r="H260" i="5"/>
  <c r="H264" i="5"/>
  <c r="H268" i="5"/>
  <c r="R270" i="5"/>
  <c r="H272" i="5"/>
  <c r="R274" i="5"/>
  <c r="H276" i="5"/>
  <c r="R278" i="5"/>
  <c r="H280" i="5"/>
  <c r="B41" i="6"/>
  <c r="J42" i="6"/>
  <c r="B45" i="6"/>
  <c r="J46" i="6"/>
  <c r="B49" i="6"/>
  <c r="J50" i="6"/>
  <c r="B53" i="6"/>
  <c r="J54" i="6"/>
  <c r="B57" i="6"/>
  <c r="J58" i="6"/>
  <c r="B61" i="6"/>
  <c r="J62" i="6"/>
  <c r="B65" i="6"/>
  <c r="J66" i="6"/>
  <c r="B69" i="6"/>
  <c r="J70" i="6"/>
  <c r="B73" i="6"/>
  <c r="J74" i="6"/>
  <c r="B77" i="6"/>
  <c r="J78" i="6"/>
  <c r="B81" i="6"/>
  <c r="J82" i="6"/>
  <c r="B85" i="6"/>
  <c r="J86" i="6"/>
  <c r="B89" i="6"/>
  <c r="J90" i="6"/>
  <c r="B93" i="6"/>
  <c r="J94" i="6"/>
  <c r="B97" i="6"/>
  <c r="J98" i="6"/>
  <c r="B101" i="6"/>
  <c r="J102" i="6"/>
  <c r="B105" i="6"/>
  <c r="J106" i="6"/>
  <c r="B109" i="6"/>
  <c r="J110" i="6"/>
  <c r="B113" i="6"/>
  <c r="J114" i="6"/>
  <c r="B117" i="6"/>
  <c r="J118" i="6"/>
  <c r="B121" i="6"/>
  <c r="J122" i="6"/>
  <c r="B125" i="6"/>
  <c r="M270" i="5"/>
  <c r="M274" i="5"/>
  <c r="M278" i="5"/>
  <c r="R260" i="5"/>
  <c r="R264" i="5"/>
  <c r="R268" i="5"/>
  <c r="B271" i="5"/>
  <c r="Q271" i="5"/>
  <c r="R272" i="5"/>
  <c r="B275" i="5"/>
  <c r="Q275" i="5"/>
  <c r="R276" i="5"/>
  <c r="Q279" i="5"/>
  <c r="R280" i="5"/>
  <c r="J4" i="6"/>
  <c r="J6" i="6"/>
  <c r="J8" i="6"/>
  <c r="J10" i="6"/>
  <c r="J12" i="6"/>
  <c r="J14" i="6"/>
  <c r="J16" i="6"/>
  <c r="J18" i="6"/>
  <c r="J20" i="6"/>
  <c r="J22" i="6"/>
  <c r="J24" i="6"/>
  <c r="J26" i="6"/>
  <c r="J28" i="6"/>
  <c r="J30" i="6"/>
  <c r="J32" i="6"/>
  <c r="J34" i="6"/>
  <c r="J36" i="6"/>
  <c r="J38" i="6"/>
  <c r="J40" i="6"/>
  <c r="B43" i="6"/>
  <c r="J44" i="6"/>
  <c r="B47" i="6"/>
  <c r="J48" i="6"/>
  <c r="B51" i="6"/>
  <c r="J52" i="6"/>
  <c r="B55" i="6"/>
  <c r="J56" i="6"/>
  <c r="B59" i="6"/>
  <c r="J60" i="6"/>
  <c r="B63" i="6"/>
  <c r="J64" i="6"/>
  <c r="B67" i="6"/>
  <c r="J68" i="6"/>
  <c r="B71" i="6"/>
  <c r="J72" i="6"/>
  <c r="B75" i="6"/>
  <c r="J76" i="6"/>
  <c r="B79" i="6"/>
  <c r="J80" i="6"/>
  <c r="B83" i="6"/>
  <c r="J84" i="6"/>
  <c r="B87" i="6"/>
  <c r="J88" i="6"/>
  <c r="B91" i="6"/>
  <c r="J92" i="6"/>
  <c r="B95" i="6"/>
  <c r="J96" i="6"/>
  <c r="B99" i="6"/>
  <c r="J100" i="6"/>
  <c r="B103" i="6"/>
  <c r="J104" i="6"/>
  <c r="B107" i="6"/>
  <c r="J108" i="6"/>
  <c r="B111" i="6"/>
  <c r="J112" i="6"/>
  <c r="B115" i="6"/>
  <c r="J116" i="6"/>
  <c r="B119" i="6"/>
  <c r="J120" i="6"/>
  <c r="B123" i="6"/>
  <c r="J124" i="6"/>
  <c r="L126" i="6"/>
  <c r="L128" i="6"/>
  <c r="L130" i="6"/>
  <c r="L132" i="6"/>
  <c r="L134" i="6"/>
  <c r="L136" i="6"/>
  <c r="L138" i="6"/>
  <c r="L140" i="6"/>
  <c r="L142" i="6"/>
  <c r="L144" i="6"/>
  <c r="L146" i="6"/>
  <c r="L148" i="6"/>
  <c r="L150" i="6"/>
  <c r="L152" i="6"/>
  <c r="L154" i="6"/>
  <c r="L156" i="6"/>
  <c r="L158" i="6"/>
  <c r="L160" i="6"/>
  <c r="L162" i="6"/>
  <c r="L164" i="6"/>
  <c r="L166" i="6"/>
  <c r="L168" i="6"/>
  <c r="L170" i="6"/>
  <c r="L172" i="6"/>
  <c r="L174" i="6"/>
  <c r="L176" i="6"/>
  <c r="L178" i="6"/>
  <c r="L180" i="6"/>
  <c r="B182" i="6"/>
  <c r="B186" i="6"/>
  <c r="L189" i="6"/>
  <c r="L191" i="6"/>
  <c r="L193" i="6"/>
  <c r="L195" i="6"/>
  <c r="L197" i="6"/>
  <c r="L199" i="6"/>
  <c r="L201" i="6"/>
  <c r="L203" i="6"/>
  <c r="L205" i="6"/>
  <c r="L207" i="6"/>
  <c r="L209" i="6"/>
  <c r="L211" i="6"/>
  <c r="L213" i="6"/>
  <c r="L215" i="6"/>
  <c r="L217" i="6"/>
  <c r="L219" i="6"/>
  <c r="L221" i="6"/>
  <c r="L223" i="6"/>
  <c r="L226" i="6"/>
  <c r="L228" i="6"/>
  <c r="L230" i="6"/>
  <c r="L232" i="6"/>
  <c r="L234" i="6"/>
  <c r="L183" i="6"/>
  <c r="L187" i="6"/>
  <c r="L190" i="6"/>
  <c r="B190" i="6"/>
  <c r="L192" i="6"/>
  <c r="B192" i="6"/>
  <c r="L194" i="6"/>
  <c r="B194" i="6"/>
  <c r="L196" i="6"/>
  <c r="B196" i="6"/>
  <c r="L198" i="6"/>
  <c r="B198" i="6"/>
  <c r="L200" i="6"/>
  <c r="B200" i="6"/>
  <c r="L202" i="6"/>
  <c r="B202" i="6"/>
  <c r="L204" i="6"/>
  <c r="B204" i="6"/>
  <c r="L206" i="6"/>
  <c r="B206" i="6"/>
  <c r="L208" i="6"/>
  <c r="B208" i="6"/>
  <c r="L210" i="6"/>
  <c r="B210" i="6"/>
  <c r="L212" i="6"/>
  <c r="B212" i="6"/>
  <c r="L214" i="6"/>
  <c r="B214" i="6"/>
  <c r="L216" i="6"/>
  <c r="B216" i="6"/>
  <c r="L218" i="6"/>
  <c r="B218" i="6"/>
  <c r="L220" i="6"/>
  <c r="B220" i="6"/>
  <c r="L222" i="6"/>
  <c r="B222" i="6"/>
  <c r="L224" i="6"/>
  <c r="B224" i="6"/>
  <c r="L227" i="6"/>
  <c r="B227" i="6"/>
  <c r="L229" i="6"/>
  <c r="B229" i="6"/>
  <c r="L231" i="6"/>
  <c r="B231" i="6"/>
  <c r="L233" i="6"/>
  <c r="B233" i="6"/>
  <c r="L235" i="6"/>
  <c r="B235" i="6"/>
  <c r="L237" i="6"/>
  <c r="B237" i="6"/>
  <c r="L239" i="6"/>
  <c r="B239" i="6"/>
  <c r="B241" i="6"/>
  <c r="B243" i="6"/>
  <c r="B245" i="6"/>
  <c r="B247" i="6"/>
  <c r="B249" i="6"/>
  <c r="B252" i="6"/>
  <c r="J253" i="6"/>
  <c r="B256" i="6"/>
  <c r="J257" i="6"/>
  <c r="B260" i="6"/>
  <c r="J261" i="6"/>
  <c r="B264" i="6"/>
  <c r="J265" i="6"/>
  <c r="B268" i="6"/>
  <c r="J269" i="6"/>
  <c r="B272" i="6"/>
  <c r="J273" i="6"/>
  <c r="B276" i="6"/>
  <c r="J277" i="6"/>
  <c r="L283" i="6"/>
  <c r="J283" i="6"/>
  <c r="L291" i="6"/>
  <c r="J291" i="6"/>
  <c r="L299" i="6"/>
  <c r="J299" i="6"/>
  <c r="L307" i="6"/>
  <c r="J307" i="6"/>
  <c r="L317" i="6"/>
  <c r="J317" i="6"/>
  <c r="L325" i="6"/>
  <c r="J325" i="6"/>
  <c r="L333" i="6"/>
  <c r="J333" i="6"/>
  <c r="L341" i="6"/>
  <c r="J341" i="6"/>
  <c r="L349" i="6"/>
  <c r="J349" i="6"/>
  <c r="L279" i="6"/>
  <c r="L285" i="6"/>
  <c r="J285" i="6"/>
  <c r="L293" i="6"/>
  <c r="J293" i="6"/>
  <c r="L301" i="6"/>
  <c r="J301" i="6"/>
  <c r="L309" i="6"/>
  <c r="J309" i="6"/>
  <c r="L319" i="6"/>
  <c r="J319" i="6"/>
  <c r="L327" i="6"/>
  <c r="J327" i="6"/>
  <c r="L335" i="6"/>
  <c r="J335" i="6"/>
  <c r="L343" i="6"/>
  <c r="J343" i="6"/>
  <c r="L351" i="6"/>
  <c r="J351" i="6"/>
  <c r="J251" i="6"/>
  <c r="B254" i="6"/>
  <c r="J255" i="6"/>
  <c r="B258" i="6"/>
  <c r="J259" i="6"/>
  <c r="B262" i="6"/>
  <c r="J263" i="6"/>
  <c r="B266" i="6"/>
  <c r="J267" i="6"/>
  <c r="B270" i="6"/>
  <c r="J271" i="6"/>
  <c r="B274" i="6"/>
  <c r="J275" i="6"/>
  <c r="B278" i="6"/>
  <c r="J279" i="6"/>
  <c r="L287" i="6"/>
  <c r="J287" i="6"/>
  <c r="L295" i="6"/>
  <c r="J295" i="6"/>
  <c r="L303" i="6"/>
  <c r="J303" i="6"/>
  <c r="L311" i="6"/>
  <c r="J311" i="6"/>
  <c r="L321" i="6"/>
  <c r="J321" i="6"/>
  <c r="L329" i="6"/>
  <c r="J329" i="6"/>
  <c r="L337" i="6"/>
  <c r="J337" i="6"/>
  <c r="L345" i="6"/>
  <c r="J345" i="6"/>
  <c r="L353" i="6"/>
  <c r="J353" i="6"/>
  <c r="L281" i="6"/>
  <c r="J281" i="6"/>
  <c r="L289" i="6"/>
  <c r="J289" i="6"/>
  <c r="L297" i="6"/>
  <c r="J297" i="6"/>
  <c r="L305" i="6"/>
  <c r="J305" i="6"/>
  <c r="L313" i="6"/>
  <c r="J313" i="6"/>
  <c r="L315" i="6"/>
  <c r="J315" i="6"/>
  <c r="L323" i="6"/>
  <c r="J323" i="6"/>
  <c r="L331" i="6"/>
  <c r="J331" i="6"/>
  <c r="L339" i="6"/>
  <c r="J339" i="6"/>
  <c r="L347" i="6"/>
  <c r="J347" i="6"/>
  <c r="L355" i="6"/>
  <c r="J355" i="6"/>
  <c r="L383" i="6"/>
  <c r="J383" i="6"/>
  <c r="L391" i="6"/>
  <c r="J391" i="6"/>
  <c r="B358" i="6"/>
  <c r="J359" i="6"/>
  <c r="B362" i="6"/>
  <c r="J363" i="6"/>
  <c r="B366" i="6"/>
  <c r="J367" i="6"/>
  <c r="B370" i="6"/>
  <c r="J371" i="6"/>
  <c r="B374" i="6"/>
  <c r="J375" i="6"/>
  <c r="B378" i="6"/>
  <c r="J379" i="6"/>
  <c r="L385" i="6"/>
  <c r="J385" i="6"/>
  <c r="L387" i="6"/>
  <c r="J387" i="6"/>
  <c r="B356" i="6"/>
  <c r="J357" i="6"/>
  <c r="B360" i="6"/>
  <c r="J361" i="6"/>
  <c r="B364" i="6"/>
  <c r="J365" i="6"/>
  <c r="B368" i="6"/>
  <c r="J369" i="6"/>
  <c r="B372" i="6"/>
  <c r="J373" i="6"/>
  <c r="B376" i="6"/>
  <c r="J377" i="6"/>
  <c r="B380" i="6"/>
  <c r="L389" i="6"/>
  <c r="J389" i="6"/>
  <c r="J393" i="6"/>
  <c r="J395" i="6"/>
  <c r="J397" i="6"/>
  <c r="J399" i="6"/>
  <c r="J401" i="6"/>
  <c r="J403" i="6"/>
  <c r="J405" i="6"/>
  <c r="J407" i="6"/>
  <c r="J409" i="6"/>
  <c r="J411" i="6"/>
  <c r="J413" i="6"/>
  <c r="J415" i="6"/>
  <c r="J417" i="6"/>
  <c r="J419" i="6"/>
  <c r="J421" i="6"/>
  <c r="J423" i="6"/>
  <c r="J425" i="6"/>
  <c r="J427" i="6"/>
  <c r="J429" i="6"/>
  <c r="J431" i="6"/>
  <c r="J433" i="6"/>
  <c r="J435" i="6"/>
  <c r="J437" i="6"/>
  <c r="J439" i="6"/>
  <c r="G109" i="26" l="1"/>
  <c r="D112" i="26" s="1"/>
  <c r="G20" i="24"/>
  <c r="E22" i="24"/>
  <c r="F20" i="24"/>
  <c r="P25" i="24"/>
  <c r="O25" i="24" s="1"/>
  <c r="F29" i="24"/>
  <c r="H73" i="7"/>
  <c r="H61" i="7"/>
  <c r="H62" i="7"/>
  <c r="H74" i="7"/>
  <c r="G74" i="7"/>
  <c r="G62" i="7"/>
  <c r="F74" i="7"/>
  <c r="F62" i="7"/>
  <c r="E75" i="7"/>
  <c r="H75" i="7"/>
  <c r="I100" i="26"/>
  <c r="I112" i="26"/>
  <c r="E73" i="7"/>
  <c r="E61" i="7"/>
  <c r="P27" i="24"/>
  <c r="O27" i="24" s="1"/>
  <c r="P24" i="24"/>
  <c r="O24" i="24" s="1"/>
  <c r="F298" i="27"/>
  <c r="J296" i="27" s="1"/>
  <c r="N37" i="27" s="1"/>
  <c r="F27" i="24"/>
  <c r="G27" i="24"/>
  <c r="E29" i="24"/>
  <c r="I68" i="26"/>
  <c r="I74" i="26"/>
  <c r="P26" i="24"/>
  <c r="O26" i="24" s="1"/>
  <c r="F134" i="28"/>
  <c r="F48" i="7"/>
  <c r="G48" i="7"/>
  <c r="F50" i="7"/>
  <c r="G50" i="7"/>
  <c r="N41" i="26"/>
  <c r="Q116" i="24"/>
  <c r="F118" i="24" s="1"/>
  <c r="H119" i="24" s="1"/>
  <c r="J114" i="24" s="1"/>
  <c r="I11" i="26"/>
  <c r="I22" i="26"/>
  <c r="E7" i="24"/>
  <c r="S6" i="15"/>
  <c r="L158" i="5"/>
  <c r="Q158" i="5"/>
  <c r="B158" i="5"/>
  <c r="L110" i="5"/>
  <c r="Q110" i="5"/>
  <c r="B50" i="5"/>
  <c r="L50" i="5"/>
  <c r="B239" i="5"/>
  <c r="L239" i="5"/>
  <c r="L106" i="5"/>
  <c r="Q106" i="5"/>
  <c r="B28" i="5"/>
  <c r="L28" i="5"/>
  <c r="B110" i="5"/>
  <c r="L235" i="5"/>
  <c r="B270" i="5"/>
  <c r="L270" i="5"/>
  <c r="L154" i="5"/>
  <c r="B154" i="5"/>
  <c r="L122" i="5"/>
  <c r="B122" i="5"/>
  <c r="L80" i="5"/>
  <c r="B80" i="5"/>
  <c r="Q80" i="5"/>
  <c r="L267" i="5"/>
  <c r="B267" i="5"/>
  <c r="Q267" i="5"/>
  <c r="L142" i="5"/>
  <c r="Q142" i="5"/>
  <c r="L213" i="5"/>
  <c r="Q213" i="5"/>
  <c r="L181" i="5"/>
  <c r="Q181" i="5"/>
  <c r="L92" i="5"/>
  <c r="Q92" i="5"/>
  <c r="B92" i="5"/>
  <c r="B24" i="5"/>
  <c r="L24" i="5"/>
  <c r="B247" i="5"/>
  <c r="L247" i="5"/>
  <c r="B231" i="5"/>
  <c r="L231" i="5"/>
  <c r="Q220" i="5"/>
  <c r="L220" i="5"/>
  <c r="B220" i="5"/>
  <c r="B48" i="5"/>
  <c r="L48" i="5"/>
  <c r="Q247" i="5"/>
  <c r="L243" i="5"/>
  <c r="B213" i="5"/>
  <c r="B243" i="5"/>
  <c r="Q239" i="5"/>
  <c r="Q48" i="5"/>
  <c r="L219" i="5"/>
  <c r="Q219" i="5"/>
  <c r="L138" i="5"/>
  <c r="B138" i="5"/>
  <c r="Q100" i="5"/>
  <c r="B100" i="5"/>
  <c r="L64" i="5"/>
  <c r="B64" i="5"/>
  <c r="Q64" i="5"/>
  <c r="Q184" i="5"/>
  <c r="B184" i="5"/>
  <c r="Q104" i="5"/>
  <c r="L104" i="5"/>
  <c r="L8" i="5"/>
  <c r="Q8" i="5"/>
  <c r="B8" i="5"/>
  <c r="B235" i="5"/>
  <c r="Q231" i="5"/>
  <c r="L227" i="5"/>
  <c r="L168" i="5"/>
  <c r="Q154" i="5"/>
  <c r="B219" i="5"/>
  <c r="Q187" i="5"/>
  <c r="B156" i="5"/>
  <c r="L184" i="5"/>
  <c r="B104" i="5"/>
  <c r="Q50" i="5"/>
  <c r="Q28" i="5"/>
  <c r="Q198" i="5"/>
  <c r="Q179" i="5"/>
  <c r="Q70" i="5"/>
  <c r="B108" i="5"/>
  <c r="B82" i="5"/>
  <c r="B6" i="5"/>
  <c r="B113" i="5"/>
  <c r="L79" i="5"/>
  <c r="B79" i="5"/>
  <c r="Q153" i="5"/>
  <c r="B153" i="5"/>
  <c r="L153" i="5"/>
  <c r="B279" i="5"/>
  <c r="Q263" i="5"/>
  <c r="Q281" i="5"/>
  <c r="B199" i="5"/>
  <c r="Q126" i="5"/>
  <c r="Q207" i="5"/>
  <c r="B130" i="5"/>
  <c r="L196" i="5"/>
  <c r="B180" i="5"/>
  <c r="B157" i="5"/>
  <c r="B91" i="5"/>
  <c r="L44" i="5"/>
  <c r="L40" i="5"/>
  <c r="L20" i="5"/>
  <c r="B60" i="5"/>
  <c r="L103" i="5"/>
  <c r="L6" i="5"/>
  <c r="L113" i="5"/>
  <c r="Q141" i="5"/>
  <c r="L141" i="5"/>
  <c r="B141" i="5"/>
  <c r="Q121" i="5"/>
  <c r="L121" i="5"/>
  <c r="B121" i="5"/>
  <c r="O73" i="16"/>
  <c r="L66" i="16" s="1"/>
  <c r="L212" i="5"/>
  <c r="Q180" i="5"/>
  <c r="B62" i="5"/>
  <c r="G65" i="16"/>
  <c r="K182" i="2" s="1"/>
  <c r="L149" i="5"/>
  <c r="B149" i="5"/>
  <c r="Q149" i="5"/>
  <c r="L133" i="5"/>
  <c r="B133" i="5"/>
  <c r="Q133" i="5"/>
  <c r="L117" i="5"/>
  <c r="B117" i="5"/>
  <c r="Q117" i="5"/>
  <c r="L170" i="5"/>
  <c r="B170" i="5"/>
  <c r="L129" i="5"/>
  <c r="B129" i="5"/>
  <c r="Q129" i="5"/>
  <c r="Q165" i="5"/>
  <c r="L78" i="16"/>
  <c r="O75" i="16"/>
  <c r="L71" i="16" s="1"/>
  <c r="L75" i="16" s="1"/>
  <c r="L67" i="5"/>
  <c r="B67" i="5"/>
  <c r="Q67" i="5"/>
  <c r="L144" i="5"/>
  <c r="B144" i="5"/>
  <c r="Q144" i="5"/>
  <c r="L148" i="5"/>
  <c r="B148" i="5"/>
  <c r="Q148" i="5"/>
  <c r="L116" i="5"/>
  <c r="B116" i="5"/>
  <c r="Q116" i="5"/>
  <c r="L128" i="5"/>
  <c r="B128" i="5"/>
  <c r="Q128" i="5"/>
  <c r="L161" i="5"/>
  <c r="B161" i="5"/>
  <c r="L140" i="5"/>
  <c r="Q140" i="5"/>
  <c r="B140" i="5"/>
  <c r="L124" i="5"/>
  <c r="Q124" i="5"/>
  <c r="B124" i="5"/>
  <c r="L63" i="5"/>
  <c r="Q63" i="5"/>
  <c r="B63" i="5"/>
  <c r="L83" i="5"/>
  <c r="Q83" i="5"/>
  <c r="R46" i="16"/>
  <c r="L40" i="16"/>
  <c r="G44" i="16"/>
  <c r="L181" i="2" s="1"/>
  <c r="G41" i="16"/>
  <c r="J181" i="2" s="1"/>
  <c r="R47" i="16"/>
  <c r="R42" i="16"/>
  <c r="G42" i="16" s="1"/>
  <c r="K181" i="2" s="1"/>
  <c r="L49" i="16"/>
  <c r="L52" i="16"/>
  <c r="L280" i="5"/>
  <c r="Q280" i="5"/>
  <c r="B280" i="5"/>
  <c r="Q262" i="5"/>
  <c r="B262" i="5"/>
  <c r="L262" i="5"/>
  <c r="L256" i="5"/>
  <c r="B256" i="5"/>
  <c r="Q256" i="5"/>
  <c r="L236" i="5"/>
  <c r="B236" i="5"/>
  <c r="Q236" i="5"/>
  <c r="L224" i="5"/>
  <c r="B224" i="5"/>
  <c r="Q224" i="5"/>
  <c r="Q162" i="5"/>
  <c r="B162" i="5"/>
  <c r="L162" i="5"/>
  <c r="L9" i="5"/>
  <c r="B9" i="5"/>
  <c r="Q9" i="5"/>
  <c r="L61" i="5"/>
  <c r="Q61" i="5"/>
  <c r="B61" i="5"/>
  <c r="L59" i="5"/>
  <c r="B59" i="5"/>
  <c r="Q59" i="5"/>
  <c r="L55" i="5"/>
  <c r="B55" i="5"/>
  <c r="Q55" i="5"/>
  <c r="L51" i="5"/>
  <c r="B51" i="5"/>
  <c r="Q51" i="5"/>
  <c r="L47" i="5"/>
  <c r="B47" i="5"/>
  <c r="Q47" i="5"/>
  <c r="L43" i="5"/>
  <c r="B43" i="5"/>
  <c r="Q43" i="5"/>
  <c r="L39" i="5"/>
  <c r="B39" i="5"/>
  <c r="Q39" i="5"/>
  <c r="L35" i="5"/>
  <c r="B35" i="5"/>
  <c r="Q35" i="5"/>
  <c r="L31" i="5"/>
  <c r="B31" i="5"/>
  <c r="Q31" i="5"/>
  <c r="L27" i="5"/>
  <c r="B27" i="5"/>
  <c r="Q27" i="5"/>
  <c r="L23" i="5"/>
  <c r="B23" i="5"/>
  <c r="Q23" i="5"/>
  <c r="L19" i="5"/>
  <c r="B19" i="5"/>
  <c r="Q19" i="5"/>
  <c r="L15" i="5"/>
  <c r="B15" i="5"/>
  <c r="Q15" i="5"/>
  <c r="L11" i="5"/>
  <c r="B11" i="5"/>
  <c r="Q11" i="5"/>
  <c r="L85" i="5"/>
  <c r="Q85" i="5"/>
  <c r="B85" i="5"/>
  <c r="L272" i="5"/>
  <c r="Q272" i="5"/>
  <c r="B272" i="5"/>
  <c r="L252" i="5"/>
  <c r="B252" i="5"/>
  <c r="Q252" i="5"/>
  <c r="L244" i="5"/>
  <c r="B244" i="5"/>
  <c r="Q244" i="5"/>
  <c r="L228" i="5"/>
  <c r="B228" i="5"/>
  <c r="Q228" i="5"/>
  <c r="L276" i="5"/>
  <c r="Q276" i="5"/>
  <c r="B276" i="5"/>
  <c r="L268" i="5"/>
  <c r="Q268" i="5"/>
  <c r="B268" i="5"/>
  <c r="Q266" i="5"/>
  <c r="B266" i="5"/>
  <c r="L266" i="5"/>
  <c r="Q172" i="5"/>
  <c r="B172" i="5"/>
  <c r="L172" i="5"/>
  <c r="Q155" i="5"/>
  <c r="B155" i="5"/>
  <c r="L155" i="5"/>
  <c r="Q167" i="5"/>
  <c r="B167" i="5"/>
  <c r="L167" i="5"/>
  <c r="Q147" i="5"/>
  <c r="B147" i="5"/>
  <c r="L147" i="5"/>
  <c r="Q139" i="5"/>
  <c r="B139" i="5"/>
  <c r="L139" i="5"/>
  <c r="Q131" i="5"/>
  <c r="B131" i="5"/>
  <c r="L131" i="5"/>
  <c r="Q123" i="5"/>
  <c r="B123" i="5"/>
  <c r="L123" i="5"/>
  <c r="Q115" i="5"/>
  <c r="B115" i="5"/>
  <c r="L115" i="5"/>
  <c r="L77" i="5"/>
  <c r="Q77" i="5"/>
  <c r="B77" i="5"/>
  <c r="L69" i="5"/>
  <c r="Q69" i="5"/>
  <c r="B69" i="5"/>
  <c r="L5" i="5"/>
  <c r="Q5" i="5"/>
  <c r="B5" i="5"/>
  <c r="L260" i="5"/>
  <c r="Q260" i="5"/>
  <c r="B260" i="5"/>
  <c r="L248" i="5"/>
  <c r="B248" i="5"/>
  <c r="Q248" i="5"/>
  <c r="L240" i="5"/>
  <c r="B240" i="5"/>
  <c r="Q240" i="5"/>
  <c r="L232" i="5"/>
  <c r="B232" i="5"/>
  <c r="Q232" i="5"/>
  <c r="L264" i="5"/>
  <c r="B264" i="5"/>
  <c r="Q264" i="5"/>
  <c r="Q171" i="5"/>
  <c r="B171" i="5"/>
  <c r="L171" i="5"/>
  <c r="L89" i="5"/>
  <c r="Q89" i="5"/>
  <c r="B89" i="5"/>
  <c r="L93" i="5"/>
  <c r="Q93" i="5"/>
  <c r="B93" i="5"/>
  <c r="Q258" i="5"/>
  <c r="L258" i="5"/>
  <c r="B258" i="5"/>
  <c r="L254" i="5"/>
  <c r="B254" i="5"/>
  <c r="Q254" i="5"/>
  <c r="L250" i="5"/>
  <c r="B250" i="5"/>
  <c r="Q250" i="5"/>
  <c r="L246" i="5"/>
  <c r="B246" i="5"/>
  <c r="Q246" i="5"/>
  <c r="L242" i="5"/>
  <c r="B242" i="5"/>
  <c r="Q242" i="5"/>
  <c r="L238" i="5"/>
  <c r="B238" i="5"/>
  <c r="Q238" i="5"/>
  <c r="L234" i="5"/>
  <c r="B234" i="5"/>
  <c r="Q234" i="5"/>
  <c r="L230" i="5"/>
  <c r="B230" i="5"/>
  <c r="Q230" i="5"/>
  <c r="L226" i="5"/>
  <c r="B226" i="5"/>
  <c r="Q226" i="5"/>
  <c r="Q159" i="5"/>
  <c r="B159" i="5"/>
  <c r="L159" i="5"/>
  <c r="Q163" i="5"/>
  <c r="B163" i="5"/>
  <c r="L163" i="5"/>
  <c r="Q151" i="5"/>
  <c r="B151" i="5"/>
  <c r="L151" i="5"/>
  <c r="Q143" i="5"/>
  <c r="B143" i="5"/>
  <c r="L143" i="5"/>
  <c r="Q135" i="5"/>
  <c r="B135" i="5"/>
  <c r="L135" i="5"/>
  <c r="Q127" i="5"/>
  <c r="B127" i="5"/>
  <c r="L127" i="5"/>
  <c r="Q119" i="5"/>
  <c r="B119" i="5"/>
  <c r="L119" i="5"/>
  <c r="L109" i="5"/>
  <c r="Q109" i="5"/>
  <c r="B109" i="5"/>
  <c r="L105" i="5"/>
  <c r="Q105" i="5"/>
  <c r="B105" i="5"/>
  <c r="L101" i="5"/>
  <c r="Q101" i="5"/>
  <c r="B101" i="5"/>
  <c r="L97" i="5"/>
  <c r="Q97" i="5"/>
  <c r="B97" i="5"/>
  <c r="L73" i="5"/>
  <c r="Q73" i="5"/>
  <c r="B73" i="5"/>
  <c r="L81" i="5"/>
  <c r="Q81" i="5"/>
  <c r="B81" i="5"/>
  <c r="L65" i="5"/>
  <c r="Q65" i="5"/>
  <c r="B65" i="5"/>
  <c r="L57" i="5"/>
  <c r="B57" i="5"/>
  <c r="Q57" i="5"/>
  <c r="L53" i="5"/>
  <c r="B53" i="5"/>
  <c r="Q53" i="5"/>
  <c r="L49" i="5"/>
  <c r="B49" i="5"/>
  <c r="Q49" i="5"/>
  <c r="L45" i="5"/>
  <c r="B45" i="5"/>
  <c r="Q45" i="5"/>
  <c r="L41" i="5"/>
  <c r="B41" i="5"/>
  <c r="Q41" i="5"/>
  <c r="L37" i="5"/>
  <c r="B37" i="5"/>
  <c r="Q37" i="5"/>
  <c r="L33" i="5"/>
  <c r="B33" i="5"/>
  <c r="Q33" i="5"/>
  <c r="L29" i="5"/>
  <c r="B29" i="5"/>
  <c r="Q29" i="5"/>
  <c r="L25" i="5"/>
  <c r="B25" i="5"/>
  <c r="Q25" i="5"/>
  <c r="L21" i="5"/>
  <c r="B21" i="5"/>
  <c r="Q21" i="5"/>
  <c r="L17" i="5"/>
  <c r="B17" i="5"/>
  <c r="Q17" i="5"/>
  <c r="L13" i="5"/>
  <c r="B13" i="5"/>
  <c r="Q13" i="5"/>
  <c r="E81" i="26" l="1"/>
  <c r="I79" i="26" s="1"/>
  <c r="J63" i="26" s="1"/>
  <c r="E30" i="24"/>
  <c r="E23" i="24"/>
  <c r="J91" i="26"/>
  <c r="G75" i="7"/>
  <c r="F75" i="7"/>
  <c r="G73" i="7"/>
  <c r="G61" i="7"/>
  <c r="F73" i="7"/>
  <c r="F61" i="7"/>
  <c r="E21" i="24"/>
  <c r="E28" i="24"/>
  <c r="I8" i="24"/>
  <c r="U60" i="16"/>
  <c r="E29" i="26"/>
  <c r="I27" i="26" s="1"/>
  <c r="J3" i="26" s="1"/>
  <c r="I40" i="26"/>
  <c r="I50" i="26"/>
  <c r="I10" i="24"/>
  <c r="N251" i="15"/>
  <c r="T251" i="15" s="1"/>
  <c r="T250" i="15" s="1"/>
  <c r="Y246" i="15" s="1"/>
  <c r="N224" i="15"/>
  <c r="T224" i="15" s="1"/>
  <c r="T223" i="15" s="1"/>
  <c r="Y219" i="15" s="1"/>
  <c r="N70" i="15"/>
  <c r="T70" i="15" s="1"/>
  <c r="T69" i="15" s="1"/>
  <c r="Y65" i="15" s="1"/>
  <c r="N16" i="15"/>
  <c r="T16" i="15" s="1"/>
  <c r="N211" i="15"/>
  <c r="T211" i="15" s="1"/>
  <c r="T210" i="15" s="1"/>
  <c r="Y206" i="15" s="1"/>
  <c r="N172" i="15"/>
  <c r="T172" i="15" s="1"/>
  <c r="T171" i="15" s="1"/>
  <c r="Y167" i="15" s="1"/>
  <c r="N57" i="15"/>
  <c r="T57" i="15" s="1"/>
  <c r="T56" i="15" s="1"/>
  <c r="Y52" i="15" s="1"/>
  <c r="N146" i="15"/>
  <c r="T146" i="15" s="1"/>
  <c r="T145" i="15" s="1"/>
  <c r="Y141" i="15" s="1"/>
  <c r="N96" i="15"/>
  <c r="T96" i="15" s="1"/>
  <c r="T95" i="15" s="1"/>
  <c r="Y91" i="15" s="1"/>
  <c r="N198" i="15"/>
  <c r="T198" i="15" s="1"/>
  <c r="T197" i="15" s="1"/>
  <c r="Y193" i="15" s="1"/>
  <c r="N159" i="15"/>
  <c r="T159" i="15" s="1"/>
  <c r="T158" i="15" s="1"/>
  <c r="Y154" i="15" s="1"/>
  <c r="N83" i="15"/>
  <c r="T83" i="15" s="1"/>
  <c r="T82" i="15" s="1"/>
  <c r="Y78" i="15" s="1"/>
  <c r="N236" i="15"/>
  <c r="T236" i="15" s="1"/>
  <c r="T235" i="15" s="1"/>
  <c r="Y231" i="15" s="1"/>
  <c r="N38" i="15"/>
  <c r="T38" i="15" s="1"/>
  <c r="T37" i="15" s="1"/>
  <c r="Y33" i="15" s="1"/>
  <c r="N185" i="15"/>
  <c r="T185" i="15" s="1"/>
  <c r="T184" i="15" s="1"/>
  <c r="Y180" i="15" s="1"/>
  <c r="N132" i="15"/>
  <c r="T132" i="15" s="1"/>
  <c r="T131" i="15" s="1"/>
  <c r="Y127" i="15" s="1"/>
  <c r="N120" i="15"/>
  <c r="T120" i="15" s="1"/>
  <c r="T119" i="15" s="1"/>
  <c r="Y115" i="15" s="1"/>
  <c r="O74" i="16"/>
  <c r="L63" i="16" s="1"/>
  <c r="L64" i="16" s="1"/>
  <c r="U61" i="16"/>
  <c r="L72" i="16"/>
  <c r="L44" i="16"/>
  <c r="L41" i="16"/>
  <c r="L42" i="16"/>
  <c r="T15" i="15" l="1"/>
  <c r="Y11" i="15" s="1"/>
  <c r="I26" i="24"/>
  <c r="F81" i="26"/>
  <c r="I19" i="24"/>
  <c r="I13" i="24"/>
  <c r="H13" i="24" s="1"/>
  <c r="E57" i="26"/>
  <c r="L67" i="16"/>
  <c r="F29" i="26"/>
  <c r="I33" i="24" l="1"/>
  <c r="J16" i="24" s="1"/>
  <c r="J3" i="24"/>
  <c r="F57" i="26"/>
  <c r="I55" i="26"/>
  <c r="J35" i="26" s="1"/>
  <c r="G118" i="27"/>
  <c r="H90" i="27"/>
  <c r="E99" i="27" s="1"/>
  <c r="G183" i="27" s="1"/>
  <c r="G181" i="27" l="1"/>
  <c r="G179" i="27" s="1"/>
  <c r="J175" i="27" s="1"/>
  <c r="F106" i="27"/>
  <c r="H91" i="27"/>
  <c r="N29" i="27" l="1"/>
  <c r="H92" i="27"/>
  <c r="O105" i="27"/>
  <c r="E101" i="27"/>
  <c r="F108" i="27"/>
  <c r="Q101" i="27"/>
  <c r="Q102" i="27" l="1"/>
  <c r="Q100" i="27"/>
  <c r="P105" i="27"/>
  <c r="N105" i="27"/>
  <c r="Q99" i="27" l="1"/>
  <c r="Q105" i="27"/>
  <c r="N109" i="27"/>
  <c r="F104" i="27" s="1"/>
  <c r="E102" i="27" l="1"/>
  <c r="H101" i="27" s="1"/>
  <c r="G96" i="27" s="1"/>
  <c r="G94" i="27" s="1"/>
  <c r="J89" i="27" s="1"/>
  <c r="N26" i="27" l="1"/>
  <c r="N25" i="27"/>
  <c r="O143" i="27"/>
  <c r="Q139" i="27"/>
  <c r="F160" i="27"/>
  <c r="D131" i="27"/>
  <c r="E149" i="27" s="1"/>
  <c r="D132" i="27" l="1"/>
  <c r="G168" i="27" s="1"/>
  <c r="G171" i="27" s="1"/>
  <c r="N148" i="27"/>
  <c r="H131" i="27"/>
  <c r="H132" i="27" s="1"/>
  <c r="N143" i="27" l="1"/>
  <c r="P144" i="27"/>
  <c r="P143" i="27"/>
  <c r="Q138" i="27"/>
  <c r="Q140" i="27"/>
  <c r="N144" i="27"/>
  <c r="Q137" i="27" l="1"/>
  <c r="R144" i="27"/>
  <c r="G130" i="27" s="1"/>
  <c r="N149" i="27"/>
  <c r="F158" i="27" s="1"/>
  <c r="Q143" i="27"/>
  <c r="G211" i="27"/>
  <c r="G208" i="27" s="1"/>
  <c r="G206" i="27" s="1"/>
  <c r="G131" i="27" l="1"/>
  <c r="I166" i="27"/>
  <c r="E150" i="27"/>
  <c r="H149" i="27" s="1"/>
  <c r="G132" i="27"/>
  <c r="H130" i="27"/>
  <c r="G152" i="27" s="1"/>
  <c r="G136" i="27" s="1"/>
  <c r="G134" i="27" s="1"/>
  <c r="J128" i="27" s="1"/>
  <c r="G255" i="27" l="1"/>
  <c r="G253" i="27" s="1"/>
  <c r="J252" i="27" s="1"/>
  <c r="N34" i="27" s="1"/>
  <c r="N28" i="27"/>
  <c r="F303" i="27" l="1"/>
  <c r="J301" i="27" s="1"/>
  <c r="N38" i="27" s="1"/>
  <c r="J3" i="2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" authorId="0" shapeId="0" xr:uid="{E6450CEF-B305-413F-B69C-48DDCEE9C027}">
      <text>
        <r>
          <rPr>
            <b/>
            <sz val="9"/>
            <color indexed="81"/>
            <rFont val="Tahoma"/>
            <family val="2"/>
          </rPr>
          <t>Localisation sur la structure ou nom de la File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X36" authorId="0" shapeId="0" xr:uid="{00DE3D47-EE0B-468C-8E8B-74A20993AB3E}">
      <text/>
    </comment>
    <comment ref="E44" authorId="0" shapeId="0" xr:uid="{DD945AEA-53B5-44D5-8675-2F3C320F285A}">
      <text>
        <r>
          <rPr>
            <b/>
            <sz val="9"/>
            <color indexed="81"/>
            <rFont val="Tahoma"/>
            <family val="2"/>
          </rPr>
          <t>Le présent Onlget :
Informations Légales, Contenu, Normes utilisées Légendes et Révisions du Classeur</t>
        </r>
      </text>
    </comment>
    <comment ref="I44" authorId="0" shapeId="0" xr:uid="{D49DCD93-6967-4B5E-9235-02603797D97B}">
      <text>
        <r>
          <rPr>
            <b/>
            <sz val="9"/>
            <color indexed="81"/>
            <rFont val="Tahoma"/>
            <family val="2"/>
          </rPr>
          <t>Configurer la langue et les valeurs de coefficients partiels</t>
        </r>
      </text>
    </comment>
    <comment ref="M44" authorId="0" shapeId="0" xr:uid="{208021E9-741B-4598-9FE9-132CB71CC015}">
      <text>
        <r>
          <rPr>
            <b/>
            <sz val="9"/>
            <color indexed="81"/>
            <rFont val="Tahoma"/>
            <family val="2"/>
          </rPr>
          <t>Eléments d'Assemblages par Boulons</t>
        </r>
      </text>
    </comment>
    <comment ref="P44" authorId="0" shapeId="0" xr:uid="{CEA22A9C-C32F-403F-9C84-13FE54934655}">
      <text>
        <r>
          <rPr>
            <b/>
            <sz val="9"/>
            <color indexed="81"/>
            <rFont val="Tahoma"/>
            <family val="2"/>
          </rPr>
          <t>Eléments d'Assemblages Soudés</t>
        </r>
      </text>
    </comment>
    <comment ref="S44" authorId="0" shapeId="0" xr:uid="{AA761396-D06F-481B-9F8B-CC6E654D839C}">
      <text>
        <r>
          <rPr>
            <b/>
            <sz val="9"/>
            <color indexed="81"/>
            <rFont val="Tahoma"/>
            <family val="2"/>
          </rPr>
          <t>Eléments d'Ancrages dans le béton</t>
        </r>
      </text>
    </comment>
    <comment ref="V44" authorId="0" shapeId="0" xr:uid="{16DE1BF0-3C5A-4D49-ABA6-7A0976D8D481}">
      <text>
        <r>
          <rPr>
            <b/>
            <sz val="9"/>
            <color indexed="81"/>
            <rFont val="Tahoma"/>
            <family val="2"/>
          </rPr>
          <t>Modes de ruine des ancrages dans le béton</t>
        </r>
      </text>
    </comment>
    <comment ref="Y44" authorId="0" shapeId="0" xr:uid="{DF9AD7A6-62AA-4123-AB9C-173E4A232FEB}">
      <text>
        <r>
          <rPr>
            <b/>
            <sz val="9"/>
            <color indexed="81"/>
            <rFont val="Tahoma"/>
            <family val="2"/>
          </rPr>
          <t>Calcul des Tronçons en T Tendus</t>
        </r>
      </text>
    </comment>
    <comment ref="G47" authorId="0" shapeId="0" xr:uid="{269AE135-C6F3-47FE-B93A-A007AE7EE270}">
      <text>
        <r>
          <rPr>
            <b/>
            <sz val="9"/>
            <color indexed="81"/>
            <rFont val="Tahoma"/>
            <family val="2"/>
          </rPr>
          <t>Méthode des composants</t>
        </r>
      </text>
    </comment>
    <comment ref="K47" authorId="0" shapeId="0" xr:uid="{4844CEB8-47CB-4B33-A518-695954CA6C31}">
      <text>
        <r>
          <rPr>
            <b/>
            <sz val="9"/>
            <color indexed="81"/>
            <rFont val="Tahoma"/>
            <family val="2"/>
          </rPr>
          <t>Coefficients de rigidité</t>
        </r>
      </text>
    </comment>
    <comment ref="N47" authorId="0" shapeId="0" xr:uid="{22E7F6AF-626E-465E-91BC-199B69F0EFF4}">
      <text>
        <r>
          <rPr>
            <b/>
            <sz val="9"/>
            <color indexed="81"/>
            <rFont val="Tahoma"/>
            <family val="2"/>
          </rPr>
          <t>Calcul de la distribution des efforts dans les attaches boulonnées</t>
        </r>
      </text>
    </comment>
    <comment ref="Q47" authorId="0" shapeId="0" xr:uid="{858868B4-7E26-4F18-884E-AFA8EC7E2E57}">
      <text>
        <r>
          <rPr>
            <b/>
            <sz val="9"/>
            <color indexed="81"/>
            <rFont val="Tahoma"/>
            <family val="2"/>
          </rPr>
          <t>Vérifications Divers d'Assemblages ou d'Eléments Résistants</t>
        </r>
      </text>
    </comment>
    <comment ref="T47" authorId="0" shapeId="0" xr:uid="{9EA5BAB2-5449-4D4C-BB04-295120CC4EFD}">
      <text>
        <r>
          <rPr>
            <b/>
            <sz val="9"/>
            <color indexed="81"/>
            <rFont val="Tahoma"/>
            <family val="2"/>
          </rPr>
          <t>Permet de définir des PRS pour les attaches</t>
        </r>
      </text>
    </comment>
    <comment ref="E51" authorId="0" shapeId="0" xr:uid="{5395F4D4-0402-4668-AD9B-D10C255E3A94}">
      <text>
        <r>
          <rPr>
            <b/>
            <sz val="9"/>
            <color indexed="81"/>
            <rFont val="Tahoma"/>
            <family val="2"/>
          </rPr>
          <t>Données des Listes de Choix</t>
        </r>
      </text>
    </comment>
    <comment ref="H51" authorId="0" shapeId="0" xr:uid="{E5E8A54E-4A80-44D4-8BA8-8C02DFAA5981}">
      <text>
        <r>
          <rPr>
            <b/>
            <sz val="9"/>
            <color indexed="81"/>
            <rFont val="Tahoma"/>
            <family val="2"/>
          </rPr>
          <t>Catalogue des Profils Laminés et PRS</t>
        </r>
      </text>
    </comment>
    <comment ref="K51" authorId="0" shapeId="0" xr:uid="{93E62570-D156-41C6-AB46-5B32681BC832}">
      <text>
        <r>
          <rPr>
            <b/>
            <sz val="9"/>
            <color indexed="81"/>
            <rFont val="Tahoma"/>
            <family val="2"/>
          </rPr>
          <t>Catalogues des Cornières</t>
        </r>
      </text>
    </comment>
    <comment ref="O51" authorId="0" shapeId="0" xr:uid="{D1B56238-C1A2-4402-88EB-992D2F91AED7}">
      <text>
        <r>
          <rPr>
            <b/>
            <sz val="9"/>
            <color indexed="81"/>
            <rFont val="Tahoma"/>
            <family val="2"/>
          </rPr>
          <t>Catalogue des Tubes Carrés</t>
        </r>
      </text>
    </comment>
    <comment ref="S51" authorId="0" shapeId="0" xr:uid="{8F0A95BA-C12A-4250-8EFC-0E7997FC4A26}">
      <text>
        <r>
          <rPr>
            <b/>
            <sz val="9"/>
            <color indexed="81"/>
            <rFont val="Tahoma"/>
            <family val="2"/>
          </rPr>
          <t>Catalogue des Tubes Rectangulaires</t>
        </r>
      </text>
    </comment>
    <comment ref="W51" authorId="0" shapeId="0" xr:uid="{AD78124F-7E35-47EF-9BD0-C92A3898DF30}">
      <text>
        <r>
          <rPr>
            <b/>
            <sz val="9"/>
            <color indexed="81"/>
            <rFont val="Tahoma"/>
            <family val="2"/>
          </rPr>
          <t>Catalogue des Tubes Ronds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N52" authorId="0" shapeId="0" xr:uid="{ADC56CC3-DEDB-4775-AA84-1345463AAF58}">
      <text>
        <r>
          <rPr>
            <sz val="9"/>
            <color indexed="81"/>
            <rFont val="Tahoma"/>
            <family val="2"/>
          </rPr>
          <t>Les pinces e</t>
        </r>
        <r>
          <rPr>
            <vertAlign val="subscript"/>
            <sz val="9"/>
            <color indexed="81"/>
            <rFont val="Tahoma"/>
            <family val="2"/>
          </rPr>
          <t>1,g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1,d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2,h</t>
        </r>
        <r>
          <rPr>
            <sz val="9"/>
            <color indexed="81"/>
            <rFont val="Tahoma"/>
            <family val="2"/>
          </rPr>
          <t xml:space="preserve"> ; e</t>
        </r>
        <r>
          <rPr>
            <vertAlign val="subscript"/>
            <sz val="9"/>
            <color indexed="81"/>
            <rFont val="Tahoma"/>
            <family val="2"/>
          </rPr>
          <t>2,b</t>
        </r>
        <r>
          <rPr>
            <sz val="9"/>
            <color indexed="81"/>
            <rFont val="Tahoma"/>
            <family val="2"/>
          </rPr>
          <t xml:space="preserve"> sont considérées loin du bord lorsqu'elles sont renseignées égales à 0</t>
        </r>
      </text>
    </comment>
    <comment ref="N53" authorId="0" shapeId="0" xr:uid="{311D84AA-692B-4AD8-BC53-B33D120588D4}">
      <text>
        <r>
          <rPr>
            <sz val="9"/>
            <color indexed="81"/>
            <rFont val="Tahoma"/>
            <family val="2"/>
          </rPr>
          <t>Les pas p</t>
        </r>
        <r>
          <rPr>
            <vertAlign val="subscript"/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Tahoma"/>
            <family val="2"/>
          </rPr>
          <t xml:space="preserve"> ; p</t>
        </r>
        <r>
          <rPr>
            <vertAlign val="subscript"/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Tahoma"/>
            <family val="2"/>
          </rPr>
          <t xml:space="preserve"> sont automatiquement ignorés lorsqu'il n'y a respectivement qu'une colonne ou une ligne.</t>
        </r>
      </text>
    </comment>
    <comment ref="M127" authorId="0" shapeId="0" xr:uid="{DC7FDFD7-CD1D-43A0-8A71-D08B42F46889}">
      <text>
        <r>
          <rPr>
            <sz val="9"/>
            <color indexed="81"/>
            <rFont val="Tahoma"/>
            <family val="2"/>
          </rPr>
          <t>FbEd,ser est l'effort en service à considérer s'il est prévu de pouvoir changer l'axe.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M7" authorId="0" shapeId="0" xr:uid="{2BF01B67-326B-4AC0-A96F-5B9C09380BE1}">
      <text/>
    </comment>
    <comment ref="M14" authorId="0" shapeId="0" xr:uid="{9FC7B051-9A13-4130-BF23-C44084AEA186}">
      <text/>
    </comment>
    <comment ref="M21" authorId="0" shapeId="0" xr:uid="{160FEFF5-9668-443A-A3B9-D08480A65387}">
      <text/>
    </comment>
    <comment ref="M30" authorId="0" shapeId="0" xr:uid="{8B146AAE-B0F0-42E0-98A0-D21293DD17C5}">
      <text/>
    </comment>
    <comment ref="M46" authorId="0" shapeId="0" xr:uid="{317FF038-7733-49FB-A002-1C5C7F811035}">
      <text/>
    </comment>
    <comment ref="M62" authorId="0" shapeId="0" xr:uid="{3A374B62-0F38-4A04-9EE3-449EA1C3E212}">
      <text/>
    </comment>
    <comment ref="M80" authorId="0" shapeId="0" xr:uid="{99E3E8FE-F0B3-441D-A514-6B72F77761DB}">
      <text/>
    </comment>
    <comment ref="M119" authorId="0" shapeId="0" xr:uid="{4F63AD26-A580-45FA-B923-3249280CCCF8}">
      <text/>
    </comment>
    <comment ref="M174" authorId="0" shapeId="0" xr:uid="{7D22FB5C-CF73-47F9-B82B-EB03434636D0}">
      <text/>
    </comment>
    <comment ref="M206" authorId="0" shapeId="0" xr:uid="{A59B814B-3755-4D5C-B4B7-C8CED69C9661}">
      <text/>
    </comment>
    <comment ref="M259" authorId="0" shapeId="0" xr:uid="{99BACE31-F765-415A-A46A-FC189BD28039}">
      <text/>
    </comment>
    <comment ref="M308" authorId="0" shapeId="0" xr:uid="{200542F2-9C64-4ECE-911F-4655D396287E}">
      <text/>
    </comment>
    <comment ref="M329" authorId="0" shapeId="0" xr:uid="{BE43D361-4497-4A7D-9497-7E5EA27A7800}">
      <text/>
    </comment>
    <comment ref="M354" authorId="0" shapeId="0" xr:uid="{0EB12A34-980C-4CB4-B6ED-8338077B5F17}">
      <text/>
    </comment>
    <comment ref="M367" authorId="0" shapeId="0" xr:uid="{0FDBF932-30CB-41A9-8BE4-1328E8C4F973}">
      <text/>
    </comment>
    <comment ref="M433" authorId="0" shapeId="0" xr:uid="{504F229C-5C27-45E3-97A4-8F4ACE5F5ADC}">
      <text/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I37" authorId="0" shapeId="0" xr:uid="{63738B99-BAE9-47B1-B528-E2472A9C4FF4}">
      <text>
        <r>
          <rPr>
            <sz val="9"/>
            <color indexed="81"/>
            <rFont val="Tahoma"/>
            <family val="2"/>
          </rPr>
          <t>Nombre de Lignes de tiges d'ancrage</t>
        </r>
      </text>
    </comment>
    <comment ref="I40" authorId="0" shapeId="0" xr:uid="{E167DECB-15DA-4FE9-9A76-89AD9D216058}">
      <text>
        <r>
          <rPr>
            <sz val="9"/>
            <color indexed="81"/>
            <rFont val="Tahoma"/>
            <family val="2"/>
          </rPr>
          <t>Nombre de Colonnes de tiges d'ancrage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Guillaume RIQUE</author>
  </authors>
  <commentList>
    <comment ref="P4" authorId="0" shapeId="0" xr:uid="{ECED9D33-3D6C-4B95-BFEC-F6F29B8F4940}">
      <text/>
    </comment>
    <comment ref="P5" authorId="0" shapeId="0" xr:uid="{DA803E57-43FC-4C35-84AB-6E150679E055}">
      <text/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RIQUE Guillaume</author>
  </authors>
  <commentList>
    <comment ref="D4" authorId="0" shapeId="0" xr:uid="{560D70D2-8EB8-4AC2-BEED-A0D31CF2B3BE}">
      <text>
        <r>
          <rPr>
            <b/>
            <sz val="9"/>
            <color indexed="81"/>
            <rFont val="Tahoma"/>
            <family val="2"/>
          </rPr>
          <t>Permet de dimensionner la flèche
Med-ELS = Med-ELU / 1.5</t>
        </r>
      </text>
    </comment>
    <comment ref="G7" authorId="0" shapeId="0" xr:uid="{31187AC7-D9E9-4BF5-8208-0FFE26FB8D45}">
      <text>
        <r>
          <rPr>
            <b/>
            <sz val="9"/>
            <color indexed="81"/>
            <rFont val="Tahoma"/>
            <family val="2"/>
          </rPr>
          <t xml:space="preserve">
Flèche sous Med-ELU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" authorId="0" shapeId="0" xr:uid="{92EAED1B-66D2-4691-B639-8F49B9B3D86F}">
      <text>
        <r>
          <rPr>
            <b/>
            <sz val="9"/>
            <color indexed="81"/>
            <rFont val="Tahoma"/>
            <family val="2"/>
          </rPr>
          <t xml:space="preserve">
Flèche sous Med-ELS</t>
        </r>
      </text>
    </comment>
    <comment ref="C27" authorId="0" shapeId="0" xr:uid="{C167EFD4-525F-4F36-AEA5-28B35B2C8F6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52" authorId="0" shapeId="0" xr:uid="{76ABA4B2-E4AC-41AD-BD28-7F43C71CA43D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  <comment ref="C75" authorId="0" shapeId="0" xr:uid="{9105F43D-8110-4D57-BB45-5168A22679E2}">
      <text>
        <r>
          <rPr>
            <b/>
            <sz val="9"/>
            <color indexed="81"/>
            <rFont val="Tahoma"/>
            <family val="2"/>
          </rPr>
          <t>Nuance pour calculer ε à configurer en haut de page.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<sst xmlns="http://schemas.openxmlformats.org/spreadsheetml/2006/main" count="4773" uniqueCount="1989">
  <si>
    <t>Type de profilé</t>
  </si>
  <si>
    <t>Masse</t>
  </si>
  <si>
    <t>Dimensions</t>
  </si>
  <si>
    <t>Aire</t>
  </si>
  <si>
    <t>Inertie</t>
  </si>
  <si>
    <t>Modules de flexion</t>
  </si>
  <si>
    <t>Rayon de giration</t>
  </si>
  <si>
    <t>Aire de cisaillement</t>
  </si>
  <si>
    <t>Inertie de Torsion</t>
  </si>
  <si>
    <t>Inertie de Gauchissement</t>
  </si>
  <si>
    <t>G (kg/ml)</t>
  </si>
  <si>
    <t>h (mm)</t>
  </si>
  <si>
    <t>b (mm)</t>
  </si>
  <si>
    <t>tw (mm)</t>
  </si>
  <si>
    <t>tf (mm)</t>
  </si>
  <si>
    <t>r (mm)</t>
  </si>
  <si>
    <t>A (cm2)</t>
  </si>
  <si>
    <t>Iy (cm4)</t>
  </si>
  <si>
    <t>Wely (cm3)</t>
  </si>
  <si>
    <t>Wply (cm3)</t>
  </si>
  <si>
    <t>iy (cm)</t>
  </si>
  <si>
    <t>Ayz (cm2)</t>
  </si>
  <si>
    <t>Iz (cm4)</t>
  </si>
  <si>
    <t>Welz (cm3)</t>
  </si>
  <si>
    <t>Wplz (cm3)</t>
  </si>
  <si>
    <t>iz (cm)</t>
  </si>
  <si>
    <t>Azy (cm2)</t>
  </si>
  <si>
    <t>It (cm4)</t>
  </si>
  <si>
    <t>Ix (cm6)</t>
  </si>
  <si>
    <t>IPE</t>
  </si>
  <si>
    <t>IPE 80</t>
  </si>
  <si>
    <t>IPE 100</t>
  </si>
  <si>
    <t>IPE 120</t>
  </si>
  <si>
    <t>IPE 140</t>
  </si>
  <si>
    <t>IPE 160</t>
  </si>
  <si>
    <t>IPE 180</t>
  </si>
  <si>
    <t>IPE 200</t>
  </si>
  <si>
    <t>IPE 220</t>
  </si>
  <si>
    <t>IPE 240</t>
  </si>
  <si>
    <t>IPE 270</t>
  </si>
  <si>
    <t>IPE 300</t>
  </si>
  <si>
    <t>IPE 330</t>
  </si>
  <si>
    <t>IPE 360</t>
  </si>
  <si>
    <t>IPE 400</t>
  </si>
  <si>
    <t>IPE 450</t>
  </si>
  <si>
    <t>IPE 500</t>
  </si>
  <si>
    <t>IPE 550</t>
  </si>
  <si>
    <t>IPE 600</t>
  </si>
  <si>
    <t>IPE-A</t>
  </si>
  <si>
    <t>IPE-A 80</t>
  </si>
  <si>
    <t>IPE-A 100</t>
  </si>
  <si>
    <t>IPE-A 120</t>
  </si>
  <si>
    <t>IPE-A 140</t>
  </si>
  <si>
    <t>IPE-A 160</t>
  </si>
  <si>
    <t>IPE-A 180</t>
  </si>
  <si>
    <t>IPE-A 200</t>
  </si>
  <si>
    <t>IPE-A 220</t>
  </si>
  <si>
    <t>IPE-A 240</t>
  </si>
  <si>
    <t>IPE-A 270</t>
  </si>
  <si>
    <t>IPE-A 300</t>
  </si>
  <si>
    <t>IPE-A 330</t>
  </si>
  <si>
    <t>IPE-A 360</t>
  </si>
  <si>
    <t>IPE-A 400</t>
  </si>
  <si>
    <t>IPE-A 450</t>
  </si>
  <si>
    <t>IPE-A 500</t>
  </si>
  <si>
    <t>IPE-A 550</t>
  </si>
  <si>
    <t>IPE-A 600</t>
  </si>
  <si>
    <t>IPN</t>
  </si>
  <si>
    <t>IPN 80</t>
  </si>
  <si>
    <t>IPN 100</t>
  </si>
  <si>
    <t>IPN 120</t>
  </si>
  <si>
    <t>IPN 140</t>
  </si>
  <si>
    <t>IPN 160</t>
  </si>
  <si>
    <t>IPN 180</t>
  </si>
  <si>
    <t>IPN 200</t>
  </si>
  <si>
    <t>IPN 220</t>
  </si>
  <si>
    <t>IPN 240</t>
  </si>
  <si>
    <t>IPN 260</t>
  </si>
  <si>
    <t>IPN 280</t>
  </si>
  <si>
    <t>IPN 300</t>
  </si>
  <si>
    <t>IPN 320</t>
  </si>
  <si>
    <t>IPN 340</t>
  </si>
  <si>
    <t>IPN 360</t>
  </si>
  <si>
    <t>IPN 380</t>
  </si>
  <si>
    <t>IPN 400</t>
  </si>
  <si>
    <t>IPN 450</t>
  </si>
  <si>
    <t>IPN 500</t>
  </si>
  <si>
    <t>IPN 550</t>
  </si>
  <si>
    <t>HEA</t>
  </si>
  <si>
    <t>HEA 100</t>
  </si>
  <si>
    <t>HEA 120</t>
  </si>
  <si>
    <t>HEA 140</t>
  </si>
  <si>
    <t>HEA 160</t>
  </si>
  <si>
    <t>HEA 180</t>
  </si>
  <si>
    <t>HEA 200</t>
  </si>
  <si>
    <t>HEA 220</t>
  </si>
  <si>
    <t>HEA 240</t>
  </si>
  <si>
    <t>HEA 260</t>
  </si>
  <si>
    <t>HEA 280</t>
  </si>
  <si>
    <t>HEA 300</t>
  </si>
  <si>
    <t>HEA 320</t>
  </si>
  <si>
    <t>HEA 340</t>
  </si>
  <si>
    <t>HEA 360</t>
  </si>
  <si>
    <t>HEA 400</t>
  </si>
  <si>
    <t>HEA 450</t>
  </si>
  <si>
    <t>HEA 500</t>
  </si>
  <si>
    <t>HEA 550</t>
  </si>
  <si>
    <t>HEA 600</t>
  </si>
  <si>
    <t>HEA 650</t>
  </si>
  <si>
    <t>HEA 700</t>
  </si>
  <si>
    <t>HEA 800</t>
  </si>
  <si>
    <t>HEA 900</t>
  </si>
  <si>
    <t>HEA 1000</t>
  </si>
  <si>
    <t>HEB</t>
  </si>
  <si>
    <t>HEB 100</t>
  </si>
  <si>
    <t>HEB 120</t>
  </si>
  <si>
    <t>HEB 140</t>
  </si>
  <si>
    <t>HEB 160</t>
  </si>
  <si>
    <t>HEB 180</t>
  </si>
  <si>
    <t>HEB 200</t>
  </si>
  <si>
    <t>HEB 220</t>
  </si>
  <si>
    <t>HEB 240</t>
  </si>
  <si>
    <t>HEB 260</t>
  </si>
  <si>
    <t>HEB 280</t>
  </si>
  <si>
    <t>HEB 300</t>
  </si>
  <si>
    <t>HEB 320</t>
  </si>
  <si>
    <t>HEB 340</t>
  </si>
  <si>
    <t>HEB 360</t>
  </si>
  <si>
    <t>HEB 400</t>
  </si>
  <si>
    <t>HEB 450</t>
  </si>
  <si>
    <t>HEB 500</t>
  </si>
  <si>
    <t>HEB 550</t>
  </si>
  <si>
    <t>HEB 600</t>
  </si>
  <si>
    <t>HEB 650</t>
  </si>
  <si>
    <t>HEB 700</t>
  </si>
  <si>
    <t>HEB 800</t>
  </si>
  <si>
    <t>HEB 900</t>
  </si>
  <si>
    <t>HEB 1000</t>
  </si>
  <si>
    <t>HEM</t>
  </si>
  <si>
    <t>HEM 100</t>
  </si>
  <si>
    <t>HEM 120</t>
  </si>
  <si>
    <t>HEM 140</t>
  </si>
  <si>
    <t>HEM 160</t>
  </si>
  <si>
    <t>HEM 180</t>
  </si>
  <si>
    <t>HEM 200</t>
  </si>
  <si>
    <t>HEM 220</t>
  </si>
  <si>
    <t>HEM 240</t>
  </si>
  <si>
    <t>HEM 260</t>
  </si>
  <si>
    <t>HEM 280</t>
  </si>
  <si>
    <t>HEM 300</t>
  </si>
  <si>
    <t>HEM 320</t>
  </si>
  <si>
    <t>HEM 340</t>
  </si>
  <si>
    <t>HEM 360</t>
  </si>
  <si>
    <t>HEM 400</t>
  </si>
  <si>
    <t>HEM 450</t>
  </si>
  <si>
    <t>HEM 500</t>
  </si>
  <si>
    <t>HEM 550</t>
  </si>
  <si>
    <t>HEM 600</t>
  </si>
  <si>
    <t>HEM 650</t>
  </si>
  <si>
    <t>HEM 700</t>
  </si>
  <si>
    <t>HEM 800</t>
  </si>
  <si>
    <t>HEM 900</t>
  </si>
  <si>
    <t>HEM 1000</t>
  </si>
  <si>
    <t>UPN</t>
  </si>
  <si>
    <t>UPN 80</t>
  </si>
  <si>
    <t>UPN 100</t>
  </si>
  <si>
    <t>UPN 120</t>
  </si>
  <si>
    <t>UPN 140</t>
  </si>
  <si>
    <t>UPN 160</t>
  </si>
  <si>
    <t>UPN 180</t>
  </si>
  <si>
    <t>UPN 200</t>
  </si>
  <si>
    <t>UPN 220</t>
  </si>
  <si>
    <t>UPN 240</t>
  </si>
  <si>
    <t>UPN 260</t>
  </si>
  <si>
    <t>UPN 280</t>
  </si>
  <si>
    <t>UPN 300</t>
  </si>
  <si>
    <t>UPN 320</t>
  </si>
  <si>
    <t>UPN 350</t>
  </si>
  <si>
    <t>UPN 380</t>
  </si>
  <si>
    <t>UPN 400</t>
  </si>
  <si>
    <t>UAP</t>
  </si>
  <si>
    <t>UAP 80</t>
  </si>
  <si>
    <t>UAP 100</t>
  </si>
  <si>
    <t>UAP 130</t>
  </si>
  <si>
    <t>UAP 150</t>
  </si>
  <si>
    <t>UAP 175</t>
  </si>
  <si>
    <t>UAP 200</t>
  </si>
  <si>
    <t>UAP 220</t>
  </si>
  <si>
    <t>UAP 250</t>
  </si>
  <si>
    <t>UAP 300</t>
  </si>
  <si>
    <t>UPE</t>
  </si>
  <si>
    <t>UPE 80</t>
  </si>
  <si>
    <t>UPE 100</t>
  </si>
  <si>
    <t>UPE 120</t>
  </si>
  <si>
    <t>UPE 140</t>
  </si>
  <si>
    <t>UPE 160</t>
  </si>
  <si>
    <t>UPE 180</t>
  </si>
  <si>
    <t>UPE 200</t>
  </si>
  <si>
    <t>UPE 220</t>
  </si>
  <si>
    <t>UPE 240</t>
  </si>
  <si>
    <t>UPE 270</t>
  </si>
  <si>
    <t>UPE 300</t>
  </si>
  <si>
    <t>UPE 330</t>
  </si>
  <si>
    <t>UPE 360</t>
  </si>
  <si>
    <t>UPE 400</t>
  </si>
  <si>
    <t>PRS</t>
  </si>
  <si>
    <t>Trusquinage et diamètres boulons</t>
  </si>
  <si>
    <t>Dist cdg / Dos ailes</t>
  </si>
  <si>
    <t>Inclinaison des axes</t>
  </si>
  <si>
    <t>Module de flexion</t>
  </si>
  <si>
    <t>Axes principaux</t>
  </si>
  <si>
    <t>h</t>
  </si>
  <si>
    <t>b</t>
  </si>
  <si>
    <t>t</t>
  </si>
  <si>
    <t>r1</t>
  </si>
  <si>
    <t>r2</t>
  </si>
  <si>
    <t>A</t>
  </si>
  <si>
    <t>e</t>
  </si>
  <si>
    <t>d</t>
  </si>
  <si>
    <t>dy</t>
  </si>
  <si>
    <t>dz</t>
  </si>
  <si>
    <t>tg (alpha)</t>
  </si>
  <si>
    <t>Iy</t>
  </si>
  <si>
    <t>Wel,y</t>
  </si>
  <si>
    <t>iy</t>
  </si>
  <si>
    <t>Iz</t>
  </si>
  <si>
    <t>Wel,z</t>
  </si>
  <si>
    <t>iz</t>
  </si>
  <si>
    <t>Iz'</t>
  </si>
  <si>
    <t>dz/fibre</t>
  </si>
  <si>
    <t>Wel,z'</t>
  </si>
  <si>
    <t>iz'</t>
  </si>
  <si>
    <t>Iy'</t>
  </si>
  <si>
    <t>dy'/fibre</t>
  </si>
  <si>
    <t>Wel,y'</t>
  </si>
  <si>
    <t>iy'</t>
  </si>
  <si>
    <t>h1/y</t>
  </si>
  <si>
    <t>Wpl,y</t>
  </si>
  <si>
    <t>h1/z</t>
  </si>
  <si>
    <t>Wpl,z</t>
  </si>
  <si>
    <t>mm</t>
  </si>
  <si>
    <t>kg</t>
  </si>
  <si>
    <t>cm²</t>
  </si>
  <si>
    <t>Grande aile</t>
  </si>
  <si>
    <t>Petite aile</t>
  </si>
  <si>
    <t>cm</t>
  </si>
  <si>
    <r>
      <t>cm</t>
    </r>
    <r>
      <rPr>
        <vertAlign val="superscript"/>
        <sz val="10"/>
        <rFont val="Arial"/>
        <family val="2"/>
      </rPr>
      <t>4</t>
    </r>
  </si>
  <si>
    <r>
      <t>cm</t>
    </r>
    <r>
      <rPr>
        <vertAlign val="superscript"/>
        <sz val="10"/>
        <rFont val="Arial"/>
        <family val="2"/>
      </rPr>
      <t>3</t>
    </r>
  </si>
  <si>
    <t>CAE</t>
  </si>
  <si>
    <t>CAE 20x20x3</t>
  </si>
  <si>
    <t>CAE 25x25x3</t>
  </si>
  <si>
    <t>CAE 25x25x4</t>
  </si>
  <si>
    <t>CAE 25x25x5</t>
  </si>
  <si>
    <t>CAE 30x30x3</t>
  </si>
  <si>
    <t>CAE 30x30x3,5</t>
  </si>
  <si>
    <t>CAE 30x30x4</t>
  </si>
  <si>
    <t>CAE 30x30x5</t>
  </si>
  <si>
    <t>CAE 35x35x3,5</t>
  </si>
  <si>
    <t>CAE 35x35x4</t>
  </si>
  <si>
    <t>CAE 35x35x5</t>
  </si>
  <si>
    <t>CAE 40x40x3</t>
  </si>
  <si>
    <t>CAE 40x40x4</t>
  </si>
  <si>
    <t>CAE 40x40x5</t>
  </si>
  <si>
    <t>CAE 40x40x6</t>
  </si>
  <si>
    <t>CAE 45x45x3</t>
  </si>
  <si>
    <t>CAE 45x45x4</t>
  </si>
  <si>
    <t>CAE 45x45x4,5</t>
  </si>
  <si>
    <t>CAE 45x45x5</t>
  </si>
  <si>
    <t>CAE 45x45x6</t>
  </si>
  <si>
    <t>CAE 50x50x3</t>
  </si>
  <si>
    <t>CAE 50x50x4</t>
  </si>
  <si>
    <t>CAE 50x50x5</t>
  </si>
  <si>
    <t>CAE 50x50x6</t>
  </si>
  <si>
    <t>CAE 50x50x7</t>
  </si>
  <si>
    <t>CAE 50x50x8</t>
  </si>
  <si>
    <t>CAE 55x55x6</t>
  </si>
  <si>
    <t>CAE 60x60x4</t>
  </si>
  <si>
    <t>CAE 60x60x5</t>
  </si>
  <si>
    <t>CAE 60x60x6</t>
  </si>
  <si>
    <t>CAE 60x60x7</t>
  </si>
  <si>
    <t>CAE 60x60x8</t>
  </si>
  <si>
    <t>CAE 60x60x10</t>
  </si>
  <si>
    <t>CAE 65x65x5</t>
  </si>
  <si>
    <t>CAE 65x65x6</t>
  </si>
  <si>
    <t>CAE 65x65x7</t>
  </si>
  <si>
    <t>CAE 65x65x8</t>
  </si>
  <si>
    <t>CAE 65x65x9</t>
  </si>
  <si>
    <t>CAE 70x70x5</t>
  </si>
  <si>
    <t>CAE 70x70x6</t>
  </si>
  <si>
    <t>CAE 70x70x7</t>
  </si>
  <si>
    <t>CAE 70x70x9</t>
  </si>
  <si>
    <t>CAE 75x75x5</t>
  </si>
  <si>
    <t>CAE 75x75x6</t>
  </si>
  <si>
    <t>CAE 75x75x7</t>
  </si>
  <si>
    <t>CAE 75x75x8</t>
  </si>
  <si>
    <t>CAE 75x75x10</t>
  </si>
  <si>
    <t>CAE 80x80x5</t>
  </si>
  <si>
    <t>CAE 80x80x5,5</t>
  </si>
  <si>
    <t>CAE 80x80x6</t>
  </si>
  <si>
    <t>CAE 80x80x6,5</t>
  </si>
  <si>
    <t>CAE 80x80x8</t>
  </si>
  <si>
    <t>CAE 80x80x10</t>
  </si>
  <si>
    <t>CAE 90x90x6</t>
  </si>
  <si>
    <t>CAE 90x90x7</t>
  </si>
  <si>
    <t>CAE 90x90x8</t>
  </si>
  <si>
    <t>CAE 90x90x9</t>
  </si>
  <si>
    <t>CAE 90x90x10</t>
  </si>
  <si>
    <t>CAE 90x90x11</t>
  </si>
  <si>
    <t>CAE 90x90x12</t>
  </si>
  <si>
    <t>CAE 100x100x7</t>
  </si>
  <si>
    <t>CAE 100x100x8</t>
  </si>
  <si>
    <t>CAE 100x100x9</t>
  </si>
  <si>
    <t>CAE 100x100x10</t>
  </si>
  <si>
    <t>CAE 100x100x11</t>
  </si>
  <si>
    <t>CAE 100x100x12</t>
  </si>
  <si>
    <t>CAE 110x110x10</t>
  </si>
  <si>
    <t>CAE 110x110x12</t>
  </si>
  <si>
    <t>CAE 120x120x8</t>
  </si>
  <si>
    <t>CAE 120x120x9</t>
  </si>
  <si>
    <t>CAE 120x120x10</t>
  </si>
  <si>
    <t>CAE 120x120x11</t>
  </si>
  <si>
    <t>CAE 120x120x12</t>
  </si>
  <si>
    <t>CAE 120x120x13</t>
  </si>
  <si>
    <t>CAE 120x120x14</t>
  </si>
  <si>
    <t>CAE 120x120x15</t>
  </si>
  <si>
    <t>CAE 130x130x12</t>
  </si>
  <si>
    <t>CAE 140x140x13</t>
  </si>
  <si>
    <t>CAE 150x150x10</t>
  </si>
  <si>
    <t>CAE 150x150x12</t>
  </si>
  <si>
    <t>CAE 150x150x14</t>
  </si>
  <si>
    <t>CAE 150x150x15</t>
  </si>
  <si>
    <t>CAE 150x150x16</t>
  </si>
  <si>
    <t>CAE 150x150x18</t>
  </si>
  <si>
    <t>CAE 160x160x15</t>
  </si>
  <si>
    <t>CAE 160x160x17</t>
  </si>
  <si>
    <t>CAE 180x180x16</t>
  </si>
  <si>
    <t>CAE 180x180x18</t>
  </si>
  <si>
    <t>CAE 180x180x20</t>
  </si>
  <si>
    <t>CAE 200x200x16</t>
  </si>
  <si>
    <t>CAE 200x200x18</t>
  </si>
  <si>
    <t>CAE 200x200x20</t>
  </si>
  <si>
    <t>CAE 200x200x24</t>
  </si>
  <si>
    <t>CAI</t>
  </si>
  <si>
    <t>CAI 30x20x3</t>
  </si>
  <si>
    <t>CAI 30x20x4</t>
  </si>
  <si>
    <t>CAI 35x20x3,5</t>
  </si>
  <si>
    <t>CAI 35x20x4</t>
  </si>
  <si>
    <t>CAI 40x20x3</t>
  </si>
  <si>
    <t>CAI 40x20x4</t>
  </si>
  <si>
    <t>CAI 40x25x4</t>
  </si>
  <si>
    <t>CAI 40x25x5</t>
  </si>
  <si>
    <t>CAI 45x30x4</t>
  </si>
  <si>
    <t>CAI 45x30x5</t>
  </si>
  <si>
    <t>CAI 50x30x4</t>
  </si>
  <si>
    <t>CAI 50x30x5</t>
  </si>
  <si>
    <t>CAI 50x30x6</t>
  </si>
  <si>
    <t>CAI 50x40x5</t>
  </si>
  <si>
    <t>CAI 50x40x6</t>
  </si>
  <si>
    <t>CAI 60x30x5</t>
  </si>
  <si>
    <t>CAI 60x40x5</t>
  </si>
  <si>
    <t>CAI 60x40x6</t>
  </si>
  <si>
    <t>CAI 60x40x7</t>
  </si>
  <si>
    <t>CAI 65x50x5</t>
  </si>
  <si>
    <t>CAI 65x50x6</t>
  </si>
  <si>
    <t>CAI 65x50x7</t>
  </si>
  <si>
    <t>CAI 65x50x8</t>
  </si>
  <si>
    <t>CAI 70x50x6</t>
  </si>
  <si>
    <t>CAI 70x50x7</t>
  </si>
  <si>
    <t>CAI 75x50x5</t>
  </si>
  <si>
    <t>CAI 75x50x6</t>
  </si>
  <si>
    <t>CAI 75x50x7</t>
  </si>
  <si>
    <t>CAI 75x50x8</t>
  </si>
  <si>
    <t>CAI 80x40x6</t>
  </si>
  <si>
    <t>CAI 80x40x8</t>
  </si>
  <si>
    <t>CAI 80x60x7</t>
  </si>
  <si>
    <t>CAI 80x60x8</t>
  </si>
  <si>
    <t>CAI 80x65x6</t>
  </si>
  <si>
    <t>CAI 80x65x8</t>
  </si>
  <si>
    <t>CAI 80x65x10</t>
  </si>
  <si>
    <t>CAI 90x70x8</t>
  </si>
  <si>
    <t>CAI 90x70x9</t>
  </si>
  <si>
    <t>CAI 90x70x10</t>
  </si>
  <si>
    <t>CAI 100x80x9</t>
  </si>
  <si>
    <t>CAI 100x80x10</t>
  </si>
  <si>
    <t>CAI 100x80x11</t>
  </si>
  <si>
    <t>CAI 100x80x12</t>
  </si>
  <si>
    <t>CAI 120x80x8</t>
  </si>
  <si>
    <t>CAI 120x80x10</t>
  </si>
  <si>
    <t>CAI 120x80x12</t>
  </si>
  <si>
    <t>CAI 150x90x10</t>
  </si>
  <si>
    <t>CAI 150x90x11</t>
  </si>
  <si>
    <t>CAI 150x90x12</t>
  </si>
  <si>
    <t>CAI 150x90x13</t>
  </si>
  <si>
    <t>CAI 150x90x15</t>
  </si>
  <si>
    <t>CAI 200x100x10</t>
  </si>
  <si>
    <t>CAI 200x100x12</t>
  </si>
  <si>
    <t>CAI 200x100x14</t>
  </si>
  <si>
    <t>CAI 200x100x15</t>
  </si>
  <si>
    <t>Constante de Torsion</t>
  </si>
  <si>
    <t>t (mm)</t>
  </si>
  <si>
    <t>ri (mm(</t>
  </si>
  <si>
    <t>ra (mm)</t>
  </si>
  <si>
    <t>I (cm4)</t>
  </si>
  <si>
    <t>Wel (cm3)</t>
  </si>
  <si>
    <t>Wpl (cm3)</t>
  </si>
  <si>
    <t>i (cm)</t>
  </si>
  <si>
    <t>Av (cm2)</t>
  </si>
  <si>
    <t>Ct (cm3)</t>
  </si>
  <si>
    <t>CARF</t>
  </si>
  <si>
    <t>1,64</t>
  </si>
  <si>
    <t>1,89</t>
  </si>
  <si>
    <t>1,68</t>
  </si>
  <si>
    <t>2,03</t>
  </si>
  <si>
    <t>2,36</t>
  </si>
  <si>
    <t>2,31</t>
  </si>
  <si>
    <t>2,82</t>
  </si>
  <si>
    <t>CARC</t>
  </si>
  <si>
    <t>ri (mm)</t>
  </si>
  <si>
    <t>RECF</t>
  </si>
  <si>
    <t>RECC</t>
  </si>
  <si>
    <t>CIRF</t>
  </si>
  <si>
    <t>CIRC</t>
  </si>
  <si>
    <t>G</t>
  </si>
  <si>
    <t>Nuance</t>
  </si>
  <si>
    <t>fy</t>
  </si>
  <si>
    <t>fu</t>
  </si>
  <si>
    <t>βw</t>
  </si>
  <si>
    <t>Øboulons</t>
  </si>
  <si>
    <t>Pas</t>
  </si>
  <si>
    <t>hnut</t>
  </si>
  <si>
    <t>AS</t>
  </si>
  <si>
    <t>do</t>
  </si>
  <si>
    <t>dm</t>
  </si>
  <si>
    <t>Coefficients partiels</t>
  </si>
  <si>
    <t>Fleche 1/</t>
  </si>
  <si>
    <t>S235</t>
  </si>
  <si>
    <t>Acier</t>
  </si>
  <si>
    <t>S275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</si>
  <si>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0</t>
    </r>
  </si>
  <si>
    <t>S355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</si>
  <si>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/>
    </r>
  </si>
  <si>
    <t>S460</t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</si>
  <si>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</si>
  <si>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/>
    </r>
  </si>
  <si>
    <t>Classes</t>
  </si>
  <si>
    <r>
      <rPr>
        <b/>
        <sz val="12"/>
        <color theme="0" tint="-0.34998626667073579"/>
        <rFont val="Calibri"/>
        <family val="2"/>
      </rPr>
      <t>α</t>
    </r>
    <r>
      <rPr>
        <b/>
        <sz val="12"/>
        <color theme="0" tint="-0.34998626667073579"/>
        <rFont val="Calibri"/>
        <family val="2"/>
        <scheme val="minor"/>
      </rPr>
      <t>v</t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</si>
  <si>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</si>
  <si>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/>
    </r>
  </si>
  <si>
    <r>
      <rPr>
        <sz val="11"/>
        <color theme="0" tint="-0.34998626667073579"/>
        <rFont val="Calibri"/>
        <family val="2"/>
      </rPr>
      <t>γ</t>
    </r>
    <r>
      <rPr>
        <sz val="11"/>
        <color theme="0" tint="-0.34998626667073579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/>
    </r>
  </si>
  <si>
    <t>Béton</t>
  </si>
  <si>
    <t>γc</t>
  </si>
  <si>
    <t>kf</t>
  </si>
  <si>
    <t>Poutres</t>
  </si>
  <si>
    <t>Oui</t>
  </si>
  <si>
    <t>Filetée</t>
  </si>
  <si>
    <t>Art-Art</t>
  </si>
  <si>
    <t>Non</t>
  </si>
  <si>
    <t>Non filetée</t>
  </si>
  <si>
    <t>Art-Enc</t>
  </si>
  <si>
    <t>Enc-Enc</t>
  </si>
  <si>
    <t>fck</t>
  </si>
  <si>
    <t>fck,cube</t>
  </si>
  <si>
    <t>fcm</t>
  </si>
  <si>
    <t>fctm</t>
  </si>
  <si>
    <t>fctk,0.05</t>
  </si>
  <si>
    <t>fctk,0.95</t>
  </si>
  <si>
    <t>Ecm</t>
  </si>
  <si>
    <t>[daN/mm²]</t>
  </si>
  <si>
    <t>[GPa]</t>
  </si>
  <si>
    <t>C 16/20</t>
  </si>
  <si>
    <t>C 20/25</t>
  </si>
  <si>
    <t>C 25/30</t>
  </si>
  <si>
    <t>C 30/37</t>
  </si>
  <si>
    <t>C 35/45</t>
  </si>
  <si>
    <t>C 40/50</t>
  </si>
  <si>
    <t>C 45/55</t>
  </si>
  <si>
    <t>C 50/60</t>
  </si>
  <si>
    <t>C 55/67</t>
  </si>
  <si>
    <t>C 60/75</t>
  </si>
  <si>
    <t>C 70/85</t>
  </si>
  <si>
    <t>Avertissement :</t>
  </si>
  <si>
    <t>Objectifs :</t>
  </si>
  <si>
    <t>Légende :</t>
  </si>
  <si>
    <t>Normes, Guides et Recommandations utilisées dans cette feuille :</t>
  </si>
  <si>
    <t>Cases des données à renseigner (Saisie manuelle ou menu déroulant) :</t>
  </si>
  <si>
    <t>?</t>
  </si>
  <si>
    <t>Onglets de la feuille de calcul :</t>
  </si>
  <si>
    <t>Informations</t>
  </si>
  <si>
    <t>Feuille 1</t>
  </si>
  <si>
    <t>Feuille 3</t>
  </si>
  <si>
    <t>Feuille 4</t>
  </si>
  <si>
    <t>Feuille 2</t>
  </si>
  <si>
    <t>Feuilles de données à ne pas modifier !</t>
  </si>
  <si>
    <t>Data</t>
  </si>
  <si>
    <t>Profilés</t>
  </si>
  <si>
    <t>Cornières</t>
  </si>
  <si>
    <t>Tubes_SHS</t>
  </si>
  <si>
    <t>Tubes_RHS</t>
  </si>
  <si>
    <t>Tubes_CHS</t>
  </si>
  <si>
    <t>Feuille 5</t>
  </si>
  <si>
    <t>Feuille 6</t>
  </si>
  <si>
    <t>Feuilles Principales de l'Utilitaire</t>
  </si>
  <si>
    <t>Révisions :</t>
  </si>
  <si>
    <t>Version</t>
  </si>
  <si>
    <t>Date</t>
  </si>
  <si>
    <t>Modification / Correction</t>
  </si>
  <si>
    <t>La présente feuille de calculs est fournie en l'état et ne peux engager la responsabilitée de son auteur. Son utilisation engage la seule responsabilité de son utilisateur. Il apartient à l'utilisateur de contrôler les résultats.</t>
  </si>
  <si>
    <t>Feuille 7</t>
  </si>
  <si>
    <t>Feuille 8</t>
  </si>
  <si>
    <t>Feuille 9</t>
  </si>
  <si>
    <t>Feuille 10</t>
  </si>
  <si>
    <t>Feuille 11</t>
  </si>
  <si>
    <t>Outils de prédimensionnement</t>
  </si>
  <si>
    <r>
      <t>M</t>
    </r>
    <r>
      <rPr>
        <b/>
        <sz val="10"/>
        <color theme="1"/>
        <rFont val="Calibri"/>
        <family val="2"/>
        <scheme val="minor"/>
      </rPr>
      <t>ed-ELU</t>
    </r>
  </si>
  <si>
    <t>daN*m</t>
  </si>
  <si>
    <t>On considère une charge uniformément répartie</t>
  </si>
  <si>
    <r>
      <t>M</t>
    </r>
    <r>
      <rPr>
        <b/>
        <sz val="10"/>
        <color theme="1"/>
        <rFont val="Calibri"/>
        <family val="2"/>
        <scheme val="minor"/>
      </rPr>
      <t>ed-ELS</t>
    </r>
  </si>
  <si>
    <r>
      <t>W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</si>
  <si>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3</t>
    </r>
  </si>
  <si>
    <t>Nuance Prédim</t>
  </si>
  <si>
    <t>Poutre</t>
  </si>
  <si>
    <t>Longueur</t>
  </si>
  <si>
    <t>m</t>
  </si>
  <si>
    <r>
      <t>I</t>
    </r>
    <r>
      <rPr>
        <b/>
        <sz val="10"/>
        <color theme="1"/>
        <rFont val="Calibri"/>
        <family val="2"/>
        <scheme val="minor"/>
      </rPr>
      <t>min-ELU</t>
    </r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</si>
  <si>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4</t>
    </r>
  </si>
  <si>
    <t>Flèche</t>
  </si>
  <si>
    <t>ème</t>
  </si>
  <si>
    <r>
      <t>I</t>
    </r>
    <r>
      <rPr>
        <b/>
        <sz val="10"/>
        <color theme="1"/>
        <rFont val="Calibri"/>
        <family val="2"/>
        <scheme val="minor"/>
      </rPr>
      <t>min-ELS</t>
    </r>
  </si>
  <si>
    <t>PRS 1</t>
  </si>
  <si>
    <t>Nuance PRS 1</t>
  </si>
  <si>
    <t>A1</t>
  </si>
  <si>
    <t>mm²</t>
  </si>
  <si>
    <t>Dimensions [mm]</t>
  </si>
  <si>
    <t>ε</t>
  </si>
  <si>
    <t>Aw</t>
  </si>
  <si>
    <t>b1</t>
  </si>
  <si>
    <t>Masse linéaire</t>
  </si>
  <si>
    <t>kg/m</t>
  </si>
  <si>
    <t>Awz+</t>
  </si>
  <si>
    <t>Tf1</t>
  </si>
  <si>
    <t>Awz-</t>
  </si>
  <si>
    <t>c/t</t>
  </si>
  <si>
    <t>A2</t>
  </si>
  <si>
    <t>Hw</t>
  </si>
  <si>
    <t>Wely</t>
  </si>
  <si>
    <t>w</t>
  </si>
  <si>
    <t>b2</t>
  </si>
  <si>
    <t>Tw</t>
  </si>
  <si>
    <t>Wply</t>
  </si>
  <si>
    <t>CdGz+</t>
  </si>
  <si>
    <t>Avz</t>
  </si>
  <si>
    <t>CdGz-</t>
  </si>
  <si>
    <t>CdGy</t>
  </si>
  <si>
    <t>Tf2</t>
  </si>
  <si>
    <t>Am/V</t>
  </si>
  <si>
    <r>
      <t>m</t>
    </r>
    <r>
      <rPr>
        <b/>
        <vertAlign val="superscript"/>
        <sz val="14"/>
        <color rgb="FF000000"/>
        <rFont val="Calibri"/>
        <family val="2"/>
        <scheme val="minor"/>
      </rPr>
      <t>-1</t>
    </r>
  </si>
  <si>
    <t>[Am/V]b</t>
  </si>
  <si>
    <t>Wely +</t>
  </si>
  <si>
    <r>
      <t>cm</t>
    </r>
    <r>
      <rPr>
        <vertAlign val="superscript"/>
        <sz val="11"/>
        <color theme="0" tint="-0.499984740745262"/>
        <rFont val="Calibri"/>
        <family val="2"/>
        <scheme val="minor"/>
      </rPr>
      <t>3</t>
    </r>
  </si>
  <si>
    <t>Wely -</t>
  </si>
  <si>
    <t>CdG</t>
  </si>
  <si>
    <t>YG</t>
  </si>
  <si>
    <t>Welz</t>
  </si>
  <si>
    <t>ZG</t>
  </si>
  <si>
    <t>Wplz</t>
  </si>
  <si>
    <t>Avy</t>
  </si>
  <si>
    <t>Classe</t>
  </si>
  <si>
    <t>Compression</t>
  </si>
  <si>
    <t>Flexion</t>
  </si>
  <si>
    <t>Ame</t>
  </si>
  <si>
    <t>Semelle 1</t>
  </si>
  <si>
    <t>It</t>
  </si>
  <si>
    <t>Semelle 2</t>
  </si>
  <si>
    <t>Iw</t>
  </si>
  <si>
    <r>
      <t>cm</t>
    </r>
    <r>
      <rPr>
        <b/>
        <vertAlign val="superscript"/>
        <sz val="14"/>
        <color rgb="FF000000"/>
        <rFont val="Calibri"/>
        <family val="2"/>
        <scheme val="minor"/>
      </rPr>
      <t>6</t>
    </r>
  </si>
  <si>
    <t>* Les soudures sont négligées pour les calculs d'inertie et de Classe</t>
  </si>
  <si>
    <t>* Les PRS utlisés pour les calculs d'attaches doivent être bi-symétriques</t>
  </si>
  <si>
    <t>PRS 2</t>
  </si>
  <si>
    <t>Section efficace de profil à âme de classe 3 et semelles de classe 1 ou 2</t>
  </si>
  <si>
    <t>A,eff</t>
  </si>
  <si>
    <t>Nuance PRS 2</t>
  </si>
  <si>
    <t>Awz+,eff</t>
  </si>
  <si>
    <t>Iy,eff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</si>
  <si>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4</t>
    </r>
  </si>
  <si>
    <t>Wely,eff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</si>
  <si>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3</t>
    </r>
  </si>
  <si>
    <t>Wply,eff</t>
  </si>
  <si>
    <t>Avz,eff</t>
  </si>
  <si>
    <t>iy,eff</t>
  </si>
  <si>
    <t>[Am/V]</t>
  </si>
  <si>
    <t>20 ε tw</t>
  </si>
  <si>
    <t>Hw,suppr</t>
  </si>
  <si>
    <t>Iz,eff</t>
  </si>
  <si>
    <t>Aw,suppr</t>
  </si>
  <si>
    <t>Welz,eff</t>
  </si>
  <si>
    <t>Huyghens,y</t>
  </si>
  <si>
    <t>Wplz,eff</t>
  </si>
  <si>
    <t>Huyghens,z</t>
  </si>
  <si>
    <t>Avy,eff</t>
  </si>
  <si>
    <t>iz,eff</t>
  </si>
  <si>
    <t>It,eff</t>
  </si>
  <si>
    <t>Iw,eff</t>
  </si>
  <si>
    <r>
      <t>cm</t>
    </r>
    <r>
      <rPr>
        <vertAlign val="superscript"/>
        <sz val="14"/>
        <color theme="0" tint="-0.499984740745262"/>
        <rFont val="Calibri"/>
        <family val="2"/>
        <scheme val="minor"/>
      </rPr>
      <t>6</t>
    </r>
  </si>
  <si>
    <t>PRS 3</t>
  </si>
  <si>
    <t>Section efficace de profil à âme de classe 4 et semelles de classe 1, 2 ou 3</t>
  </si>
  <si>
    <t xml:space="preserve">Nuance PRS </t>
  </si>
  <si>
    <t>Hw / Tw*ε ≤</t>
  </si>
  <si>
    <t>21 ε tw</t>
  </si>
  <si>
    <t>25 ε tw</t>
  </si>
  <si>
    <t>37 ε tw</t>
  </si>
  <si>
    <t>Description de l'attache</t>
  </si>
  <si>
    <t>Schéma</t>
  </si>
  <si>
    <t>Zoom</t>
  </si>
  <si>
    <t>Cases contenant des Résultats :</t>
  </si>
  <si>
    <t xml:space="preserve"> Première Version</t>
  </si>
  <si>
    <t>NF EN 1993-1-1 §5.5.2(11) et §6.2.2.4</t>
  </si>
  <si>
    <t>Europratic : Annexe C</t>
  </si>
  <si>
    <t>Cases comportant des Alertes, des Commentaires ou des Schémas descriptifs :</t>
  </si>
  <si>
    <t>! ?</t>
  </si>
  <si>
    <t>Solicitations</t>
  </si>
  <si>
    <t>Données</t>
  </si>
  <si>
    <t>ratio</t>
  </si>
  <si>
    <t>e =</t>
  </si>
  <si>
    <t>w =</t>
  </si>
  <si>
    <r>
      <t>e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</si>
  <si>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</si>
  <si>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t>Mode de ruine 1 :</t>
  </si>
  <si>
    <t>Mode de ruine 2 :</t>
  </si>
  <si>
    <t>t =</t>
  </si>
  <si>
    <t>daN.m</t>
  </si>
  <si>
    <t>Nuance :</t>
  </si>
  <si>
    <t>daN/mm²</t>
  </si>
  <si>
    <t>daN</t>
  </si>
  <si>
    <r>
      <t>l</t>
    </r>
    <r>
      <rPr>
        <vertAlign val="subscript"/>
        <sz val="11"/>
        <color theme="1"/>
        <rFont val="Calibri"/>
        <family val="2"/>
        <scheme val="minor"/>
      </rPr>
      <t>eff,1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</si>
  <si>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pl,1,Rd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</si>
  <si>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T,1,Rd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</si>
  <si>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T,2,Rd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</si>
  <si>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pl,2,Rd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</si>
  <si>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eff,2</t>
    </r>
    <r>
      <rPr>
        <sz val="11"/>
        <color theme="1"/>
        <rFont val="Calibri"/>
        <family val="2"/>
        <scheme val="minor"/>
      </rPr>
      <t xml:space="preserve"> =</t>
    </r>
  </si>
  <si>
    <t>Mode Circulaire</t>
  </si>
  <si>
    <t>Mode non Circulaire</t>
  </si>
  <si>
    <t>Mode de ruine 3 :</t>
  </si>
  <si>
    <r>
      <t>F</t>
    </r>
    <r>
      <rPr>
        <vertAlign val="subscript"/>
        <sz val="11"/>
        <color theme="1"/>
        <rFont val="Calibri"/>
        <family val="2"/>
        <scheme val="minor"/>
      </rPr>
      <t>T,3,Rd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</si>
  <si>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T,Rd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</si>
  <si>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</si>
  <si>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</si>
  <si>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</si>
  <si>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</t>
    </r>
  </si>
  <si>
    <t>----------------------------------------------------------------------------------------------------------------------------------------------------------</t>
  </si>
  <si>
    <t>Feuille 12</t>
  </si>
  <si>
    <t>Divers</t>
  </si>
  <si>
    <t>T Tendus</t>
  </si>
  <si>
    <t>Soudures</t>
  </si>
  <si>
    <t>Boulons</t>
  </si>
  <si>
    <t>L =</t>
  </si>
  <si>
    <r>
      <t>cm</t>
    </r>
    <r>
      <rPr>
        <vertAlign val="superscript"/>
        <sz val="11"/>
        <color rgb="FF000000"/>
        <rFont val="Calibri"/>
        <family val="2"/>
        <scheme val="minor"/>
      </rPr>
      <t>4</t>
    </r>
  </si>
  <si>
    <r>
      <t>I</t>
    </r>
    <r>
      <rPr>
        <sz val="8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</si>
  <si>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t>Types d'Appuis :</t>
  </si>
  <si>
    <t>Flèche :</t>
  </si>
  <si>
    <r>
      <t>M</t>
    </r>
    <r>
      <rPr>
        <sz val="8"/>
        <color theme="1"/>
        <rFont val="Calibri"/>
        <family val="2"/>
        <scheme val="minor"/>
      </rPr>
      <t>ed-ELS</t>
    </r>
    <r>
      <rPr>
        <sz val="11"/>
        <color theme="1"/>
        <rFont val="Calibri"/>
        <family val="2"/>
        <scheme val="minor"/>
      </rPr>
      <t xml:space="preserve"> =</t>
    </r>
  </si>
  <si>
    <t>Appuis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</si>
  <si>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ed-ELU</t>
    </r>
    <r>
      <rPr>
        <b/>
        <sz val="11"/>
        <color theme="1"/>
        <rFont val="Calibri"/>
        <family val="2"/>
        <scheme val="minor"/>
      </rPr>
      <t xml:space="preserve"> =</t>
    </r>
  </si>
  <si>
    <r>
      <t>cm</t>
    </r>
    <r>
      <rPr>
        <vertAlign val="superscript"/>
        <sz val="11"/>
        <color rgb="FF000000"/>
        <rFont val="Calibri"/>
        <family val="2"/>
        <scheme val="minor"/>
      </rPr>
      <t>3</t>
    </r>
  </si>
  <si>
    <r>
      <t>W</t>
    </r>
    <r>
      <rPr>
        <sz val="8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</si>
  <si>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sz val="8"/>
        <color theme="1"/>
        <rFont val="Calibri"/>
        <family val="2"/>
        <scheme val="minor"/>
      </rPr>
      <t>ed-ELU</t>
    </r>
    <r>
      <rPr>
        <sz val="11"/>
        <color theme="1"/>
        <rFont val="Calibri"/>
        <family val="2"/>
        <scheme val="minor"/>
      </rPr>
      <t xml:space="preserve"> =</t>
    </r>
  </si>
  <si>
    <t>1 + exc * Nb,Rd/2Mpl,Rd</t>
  </si>
  <si>
    <t>=</t>
  </si>
  <si>
    <t>Nb,Rd</t>
  </si>
  <si>
    <t>Nc,M,Rd =</t>
  </si>
  <si>
    <t>Mpl,Rd =</t>
  </si>
  <si>
    <t>exc =</t>
  </si>
  <si>
    <t>Wplz =</t>
  </si>
  <si>
    <t>b =</t>
  </si>
  <si>
    <t>Nb,Rd =</t>
  </si>
  <si>
    <t>Npl,Rd =</t>
  </si>
  <si>
    <t>c</t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</si>
  <si>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</si>
  <si>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t>Z</t>
  </si>
  <si>
    <t>c(`l) =</t>
  </si>
  <si>
    <t>f =</t>
  </si>
  <si>
    <t>`l =</t>
  </si>
  <si>
    <t>Ncr =</t>
  </si>
  <si>
    <t>a =</t>
  </si>
  <si>
    <t>Lcr/L =</t>
  </si>
  <si>
    <t>I</t>
  </si>
  <si>
    <t>Courbe</t>
  </si>
  <si>
    <t>Lcr/ L</t>
  </si>
  <si>
    <t>Axe</t>
  </si>
  <si>
    <t xml:space="preserve">Section : </t>
  </si>
  <si>
    <t>Ned =</t>
  </si>
  <si>
    <r>
      <t>`l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</si>
  <si>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cr,v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</si>
  <si>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</si>
  <si>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Axe principal Cornière Simple</t>
  </si>
  <si>
    <r>
      <t>c(`l</t>
    </r>
    <r>
      <rPr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 xml:space="preserve">) = </t>
    </r>
  </si>
  <si>
    <r>
      <t>`l</t>
    </r>
    <r>
      <rPr>
        <vertAlign val="subscript"/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 xml:space="preserve"> = </t>
    </r>
    <r>
      <rPr>
        <sz val="11"/>
        <color theme="1"/>
        <rFont val="Calibri"/>
        <family val="2"/>
        <scheme val="minor"/>
      </rPr>
      <t>max</t>
    </r>
    <r>
      <rPr>
        <sz val="11"/>
        <color theme="1"/>
        <rFont val="Symbol"/>
        <family val="1"/>
        <charset val="2"/>
      </rPr>
      <t>(`l</t>
    </r>
    <r>
      <rPr>
        <vertAlign val="subscript"/>
        <sz val="11"/>
        <color theme="1"/>
        <rFont val="Calibri"/>
        <family val="2"/>
        <scheme val="minor"/>
      </rPr>
      <t>y'</t>
    </r>
    <r>
      <rPr>
        <sz val="11"/>
        <color theme="1"/>
        <rFont val="Symbol"/>
        <family val="1"/>
        <charset val="2"/>
      </rPr>
      <t xml:space="preserve"> ;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Symbol"/>
        <family val="1"/>
        <charset val="2"/>
      </rPr>
      <t>) =</t>
    </r>
  </si>
  <si>
    <r>
      <t>I</t>
    </r>
    <r>
      <rPr>
        <vertAlign val="subscript"/>
        <sz val="11"/>
        <color theme="1"/>
        <rFont val="Calibri"/>
        <family val="2"/>
        <scheme val="minor"/>
      </rPr>
      <t>z’</t>
    </r>
  </si>
  <si>
    <t>iv</t>
  </si>
  <si>
    <t>Iv</t>
  </si>
  <si>
    <t>Profil</t>
  </si>
  <si>
    <r>
      <t>`l</t>
    </r>
    <r>
      <rPr>
        <vertAlign val="subscript"/>
        <sz val="11"/>
        <color theme="1"/>
        <rFont val="Calibri"/>
        <family val="2"/>
        <scheme val="minor"/>
      </rPr>
      <t>y'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</si>
  <si>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cr,y’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</si>
  <si>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cr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</si>
  <si>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y’</t>
    </r>
    <r>
      <rPr>
        <sz val="11"/>
        <color theme="1"/>
        <rFont val="Calibri"/>
        <family val="2"/>
        <scheme val="minor"/>
      </rPr>
      <t xml:space="preserve"> =</t>
    </r>
  </si>
  <si>
    <t>Axe y-y'</t>
  </si>
  <si>
    <r>
      <t>`l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Symbol"/>
        <family val="1"/>
        <charset val="2"/>
      </rPr>
      <t xml:space="preserve"> =</t>
    </r>
  </si>
  <si>
    <r>
      <t>`l</t>
    </r>
    <r>
      <rPr>
        <vertAlign val="subscript"/>
        <sz val="11"/>
        <color theme="1"/>
        <rFont val="Calibri"/>
        <family val="2"/>
        <scheme val="minor"/>
      </rPr>
      <t>z'</t>
    </r>
    <r>
      <rPr>
        <sz val="11"/>
        <color theme="1"/>
        <rFont val="Symbol"/>
        <family val="1"/>
        <charset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</si>
  <si>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cr,z’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</si>
  <si>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z’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</si>
  <si>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b/>
        <vertAlign val="subscript"/>
        <sz val="11"/>
        <rFont val="Calibri"/>
        <family val="2"/>
        <scheme val="minor"/>
      </rPr>
      <t>0</t>
    </r>
  </si>
  <si>
    <t>Axe z-z'</t>
  </si>
  <si>
    <t>Jeu</t>
  </si>
  <si>
    <t>Nb barette</t>
  </si>
  <si>
    <r>
      <t>50i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</si>
  <si>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m =</t>
  </si>
  <si>
    <r>
      <t>m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</si>
  <si>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Paire de boulons intérieurs</t>
  </si>
  <si>
    <t>--------------------------------------------------------------------------------------------------------------------------------</t>
  </si>
  <si>
    <t>α =</t>
  </si>
  <si>
    <t>α' =</t>
  </si>
  <si>
    <t>et</t>
  </si>
  <si>
    <r>
      <t>F</t>
    </r>
    <r>
      <rPr>
        <vertAlign val="subscript"/>
        <sz val="11"/>
        <color theme="1"/>
        <rFont val="Calibri"/>
        <family val="2"/>
        <scheme val="minor"/>
      </rPr>
      <t>lg,Ed</t>
    </r>
    <r>
      <rPr>
        <sz val="11"/>
        <color theme="1"/>
        <rFont val="Calibri"/>
        <family val="2"/>
        <scheme val="minor"/>
      </rPr>
      <t xml:space="preserve"> =</t>
    </r>
  </si>
  <si>
    <t>min</t>
  </si>
  <si>
    <t>max</t>
  </si>
  <si>
    <r>
      <t>F</t>
    </r>
    <r>
      <rPr>
        <vertAlign val="subscript"/>
        <sz val="11"/>
        <color theme="1"/>
        <rFont val="Calibri"/>
        <family val="2"/>
        <scheme val="minor"/>
      </rPr>
      <t>tr,Ed</t>
    </r>
    <r>
      <rPr>
        <sz val="11"/>
        <color theme="1"/>
        <rFont val="Calibri"/>
        <family val="2"/>
        <scheme val="minor"/>
      </rPr>
      <t xml:space="preserve"> =</t>
    </r>
  </si>
  <si>
    <t>e1 (longi.)</t>
  </si>
  <si>
    <r>
      <t>F</t>
    </r>
    <r>
      <rPr>
        <vertAlign val="subscript"/>
        <sz val="11"/>
        <color theme="1"/>
        <rFont val="Calibri"/>
        <family val="2"/>
        <scheme val="minor"/>
      </rPr>
      <t>b,tr,Rd,1</t>
    </r>
    <r>
      <rPr>
        <sz val="11"/>
        <color theme="1"/>
        <rFont val="Calibri"/>
        <family val="2"/>
        <scheme val="minor"/>
      </rPr>
      <t xml:space="preserve"> =</t>
    </r>
  </si>
  <si>
    <t>p1 (longi.)</t>
  </si>
  <si>
    <t>e2 (trans.)</t>
  </si>
  <si>
    <t>d0 =</t>
  </si>
  <si>
    <t>p2 (trans.)</t>
  </si>
  <si>
    <t>fub =</t>
  </si>
  <si>
    <t>Nb Bls =</t>
  </si>
  <si>
    <t>d =</t>
  </si>
  <si>
    <t>Ft,Rd =</t>
  </si>
  <si>
    <t>Ved =</t>
  </si>
  <si>
    <t>Fv,Rd =</t>
  </si>
  <si>
    <t>As</t>
  </si>
  <si>
    <t>fyb</t>
  </si>
  <si>
    <t>fub</t>
  </si>
  <si>
    <t>av</t>
  </si>
  <si>
    <t>Plat</t>
  </si>
  <si>
    <t>Cisaillement de Bloc</t>
  </si>
  <si>
    <t>Ant =</t>
  </si>
  <si>
    <t>Anv =</t>
  </si>
  <si>
    <t>Type</t>
  </si>
  <si>
    <t>Cisaillement Aire nette</t>
  </si>
  <si>
    <t>Anet =</t>
  </si>
  <si>
    <t>Vnet,Rd =</t>
  </si>
  <si>
    <t>Boulons Précontraints</t>
  </si>
  <si>
    <t>alpha</t>
  </si>
  <si>
    <t>lamd2</t>
  </si>
  <si>
    <r>
      <t>λ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=</t>
    </r>
  </si>
  <si>
    <r>
      <t>λ</t>
    </r>
    <r>
      <rPr>
        <vertAlign val="subscript"/>
        <sz val="11"/>
        <rFont val="Calibri"/>
        <family val="2"/>
      </rPr>
      <t>1</t>
    </r>
    <r>
      <rPr>
        <sz val="11"/>
        <rFont val="Calibri"/>
        <family val="2"/>
      </rPr>
      <t xml:space="preserve"> =</t>
    </r>
  </si>
  <si>
    <r>
      <t>λ'</t>
    </r>
    <r>
      <rPr>
        <vertAlign val="subscript"/>
        <sz val="11"/>
        <rFont val="Calibri"/>
        <family val="2"/>
      </rPr>
      <t>1</t>
    </r>
    <r>
      <rPr>
        <sz val="11"/>
        <rFont val="Calibri"/>
        <family val="2"/>
      </rPr>
      <t xml:space="preserve"> =</t>
    </r>
  </si>
  <si>
    <r>
      <t>λ'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=</t>
    </r>
  </si>
  <si>
    <r>
      <t>λ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\ α</t>
    </r>
  </si>
  <si>
    <r>
      <t>λ'</t>
    </r>
    <r>
      <rPr>
        <vertAlign val="subscript"/>
        <sz val="11"/>
        <rFont val="Calibri"/>
        <family val="2"/>
      </rPr>
      <t>2</t>
    </r>
    <r>
      <rPr>
        <sz val="11"/>
        <rFont val="Calibri"/>
        <family val="2"/>
      </rPr>
      <t xml:space="preserve"> \ α'</t>
    </r>
  </si>
  <si>
    <t>p =</t>
  </si>
  <si>
    <r>
      <t>e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</si>
  <si>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n =</t>
  </si>
  <si>
    <r>
      <t>m</t>
    </r>
    <r>
      <rPr>
        <vertAlign val="subscript"/>
        <sz val="10"/>
        <color theme="1"/>
        <rFont val="Calibri"/>
        <family val="2"/>
        <scheme val="minor"/>
      </rPr>
      <t>2U</t>
    </r>
    <r>
      <rPr>
        <sz val="10"/>
        <color theme="1"/>
        <rFont val="Calibri"/>
        <family val="2"/>
        <scheme val="minor"/>
      </rPr>
      <t>=</t>
    </r>
  </si>
  <si>
    <r>
      <t>m</t>
    </r>
    <r>
      <rPr>
        <vertAlign val="subscript"/>
        <sz val="10"/>
        <color theme="1"/>
        <rFont val="Calibri"/>
        <family val="2"/>
        <scheme val="minor"/>
      </rPr>
      <t>2L</t>
    </r>
    <r>
      <rPr>
        <sz val="10"/>
        <color theme="1"/>
        <rFont val="Calibri"/>
        <family val="2"/>
        <scheme val="minor"/>
      </rPr>
      <t>=</t>
    </r>
  </si>
  <si>
    <t>Classe :</t>
  </si>
  <si>
    <t>Catégorie :</t>
  </si>
  <si>
    <t xml:space="preserve">n = </t>
  </si>
  <si>
    <r>
      <t>k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 </t>
    </r>
  </si>
  <si>
    <t>Plans de Frottement =</t>
  </si>
  <si>
    <t>Etat de Surface :</t>
  </si>
  <si>
    <t>Grenaillé</t>
  </si>
  <si>
    <t>Métallisé</t>
  </si>
  <si>
    <t>Brossé</t>
  </si>
  <si>
    <t>Brut</t>
  </si>
  <si>
    <t>Galvanisé</t>
  </si>
  <si>
    <t>Meulé</t>
  </si>
  <si>
    <t>Coefficient de Frottement</t>
  </si>
  <si>
    <t>Type de Trous :</t>
  </si>
  <si>
    <t>Normaux</t>
  </si>
  <si>
    <t>Surdimentionnés</t>
  </si>
  <si>
    <t>Oblongs T</t>
  </si>
  <si>
    <t>Oblongs Longs //</t>
  </si>
  <si>
    <t>Oblongs Courts //</t>
  </si>
  <si>
    <r>
      <rPr>
        <sz val="11"/>
        <color theme="1"/>
        <rFont val="Calibri"/>
        <family val="2"/>
      </rPr>
      <t>μ</t>
    </r>
    <r>
      <rPr>
        <sz val="11"/>
        <color theme="1"/>
        <rFont val="Calibri"/>
        <family val="2"/>
        <scheme val="minor"/>
      </rPr>
      <t xml:space="preserve"> = </t>
    </r>
  </si>
  <si>
    <r>
      <t>γ</t>
    </r>
    <r>
      <rPr>
        <vertAlign val="subscript"/>
        <sz val="11"/>
        <color theme="1"/>
        <rFont val="Calibri"/>
        <family val="2"/>
      </rPr>
      <t>M3</t>
    </r>
  </si>
  <si>
    <r>
      <t>Fp,C = 0.7  f</t>
    </r>
    <r>
      <rPr>
        <vertAlign val="subscript"/>
        <sz val="11"/>
        <color theme="1"/>
        <rFont val="Calibri"/>
        <family val="2"/>
        <scheme val="minor"/>
      </rPr>
      <t xml:space="preserve">ub 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</si>
  <si>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t>NF EN 1993-1-1 (Octobre 2005) : Calcul des structures en Acier : Règles générales et Règles pour les Bâtiments</t>
  </si>
  <si>
    <t>NF EN 1993-1-8 (Décembre 2005) : Calcul des structures en Acier : Calcul des assemblages</t>
  </si>
  <si>
    <t>NF EN 1993-1-8/NA (Juillet 2007) : Annexe Nationnale pour l'application de la NF EN 1993-1-8</t>
  </si>
  <si>
    <t>BNCM/CNC2M - N0175 : Recommandation CNC2M pour l'application de la NF EN 1993-1-8 Avril 2015</t>
  </si>
  <si>
    <t>SCI/BCSA - P398 : Joints in Steel Construction : Moment-Resisting Joints to Eurocode 3</t>
  </si>
  <si>
    <t>-------------------------------------------------------------------------------------------------------------------------------------------------------------------------------</t>
  </si>
  <si>
    <t>C (ELU)</t>
  </si>
  <si>
    <t>Centré</t>
  </si>
  <si>
    <r>
      <t>(m</t>
    </r>
    <r>
      <rPr>
        <i/>
        <vertAlign val="subscript"/>
        <sz val="8"/>
        <color theme="1"/>
        <rFont val="Calibri"/>
        <family val="2"/>
        <scheme val="minor"/>
      </rPr>
      <t>2U</t>
    </r>
    <r>
      <rPr>
        <i/>
        <sz val="8"/>
        <color theme="1"/>
        <rFont val="Calibri"/>
        <family val="2"/>
        <scheme val="minor"/>
      </rPr>
      <t>)</t>
    </r>
  </si>
  <si>
    <r>
      <t>(m</t>
    </r>
    <r>
      <rPr>
        <i/>
        <vertAlign val="subscript"/>
        <sz val="8"/>
        <color theme="1"/>
        <rFont val="Calibri"/>
        <family val="2"/>
        <scheme val="minor"/>
      </rPr>
      <t>2L</t>
    </r>
    <r>
      <rPr>
        <i/>
        <sz val="8"/>
        <color theme="1"/>
        <rFont val="Calibri"/>
        <family val="2"/>
        <scheme val="minor"/>
      </rPr>
      <t>)</t>
    </r>
  </si>
  <si>
    <t>08/03/2022</t>
  </si>
  <si>
    <t>V0.4</t>
  </si>
  <si>
    <t>Poinçonnement</t>
  </si>
  <si>
    <t>V0.5</t>
  </si>
  <si>
    <t>Ajout du poinçonnement</t>
  </si>
  <si>
    <t>Bp,Rd =</t>
  </si>
  <si>
    <r>
      <t>d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</si>
  <si>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</si>
  <si>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</si>
  <si>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V0.6</t>
  </si>
  <si>
    <t>Ajout des tronçons en T à 4 boulons par rangé</t>
  </si>
  <si>
    <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</si>
  <si>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</si>
  <si>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V0.7</t>
  </si>
  <si>
    <t>---------------------------------------------------------------------------------------------------------------------------------------------------------------------------------</t>
  </si>
  <si>
    <t>---------------------------------------------------------------------------------------------------------------------</t>
  </si>
  <si>
    <t>Modification de la mise en forme</t>
  </si>
  <si>
    <t>22/04/2022</t>
  </si>
  <si>
    <t>Assemblages par cordons frontaux</t>
  </si>
  <si>
    <r>
      <t>N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</si>
  <si>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</si>
  <si>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</si>
  <si>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lim</t>
    </r>
    <r>
      <rPr>
        <sz val="11"/>
        <rFont val="Calibri"/>
        <family val="2"/>
        <scheme val="minor"/>
      </rPr>
      <t xml:space="preserve"> = max{30 mm ; 6a} =</t>
    </r>
  </si>
  <si>
    <r>
      <t>0.9*f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</si>
  <si>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>/(β</t>
    </r>
    <r>
      <rPr>
        <vertAlign val="subscript"/>
        <sz val="10"/>
        <color theme="1"/>
        <rFont val="Calibri"/>
        <family val="2"/>
        <scheme val="minor"/>
      </rPr>
      <t>w</t>
    </r>
    <r>
      <rPr>
        <sz val="10"/>
        <color theme="1"/>
        <rFont val="Calibri"/>
        <family val="2"/>
        <scheme val="minor"/>
      </rPr>
      <t>*γ</t>
    </r>
    <r>
      <rPr>
        <vertAlign val="subscript"/>
        <sz val="10"/>
        <color theme="1"/>
        <rFont val="Calibri"/>
        <family val="2"/>
        <scheme val="minor"/>
      </rPr>
      <t>M2</t>
    </r>
    <r>
      <rPr>
        <sz val="10"/>
        <color theme="1"/>
        <rFont val="Calibri"/>
        <family val="2"/>
        <scheme val="minor"/>
      </rPr>
      <t>) =</t>
    </r>
  </si>
  <si>
    <t>? !</t>
  </si>
  <si>
    <t>Assemblages par cordons latéraux</t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</si>
  <si>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</si>
  <si>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²) =</t>
    </r>
  </si>
  <si>
    <t>Assemblages par cordon oblique</t>
  </si>
  <si>
    <t>°</t>
  </si>
  <si>
    <r>
      <t>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</si>
  <si>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²) =</t>
    </r>
  </si>
  <si>
    <t>Assemblages par 2 cordons latéraux et 1 cordon frontal ordinaire</t>
  </si>
  <si>
    <r>
      <t>L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</si>
  <si>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</si>
  <si>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1,eff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</si>
  <si>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2,eff</t>
    </r>
    <r>
      <rPr>
        <sz val="1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</si>
  <si>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</rPr>
      <t>f</t>
    </r>
    <r>
      <rPr>
        <sz val="11"/>
        <color theme="1"/>
        <rFont val="Calibri"/>
        <family val="2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</si>
  <si>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</rPr>
      <t>l</t>
    </r>
    <r>
      <rPr>
        <sz val="11"/>
        <color theme="1"/>
        <rFont val="Calibri"/>
        <family val="2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</si>
  <si>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f,Ed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</si>
  <si>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l,Ed</t>
    </r>
    <r>
      <rPr>
        <sz val="11"/>
        <color theme="1"/>
        <rFont val="Calibri"/>
        <family val="2"/>
        <scheme val="minor"/>
      </rPr>
      <t xml:space="preserve"> =</t>
    </r>
  </si>
  <si>
    <t>Assemblages par 2 cordons latéraux et 1 cordon frontal d'attaque</t>
  </si>
  <si>
    <t>Assemblages par 2 cordons latéraux et 2 cordons frontaux</t>
  </si>
  <si>
    <r>
      <t>α</t>
    </r>
    <r>
      <rPr>
        <vertAlign val="subscript"/>
        <sz val="11"/>
        <color theme="1"/>
        <rFont val="Calibri"/>
        <family val="2"/>
      </rPr>
      <t>or</t>
    </r>
    <r>
      <rPr>
        <sz val="11"/>
        <color theme="1"/>
        <rFont val="Calibri"/>
        <family val="2"/>
      </rPr>
      <t xml:space="preserve"> = α</t>
    </r>
    <r>
      <rPr>
        <vertAlign val="subscript"/>
        <sz val="11"/>
        <color theme="1"/>
        <rFont val="Calibri"/>
        <family val="2"/>
      </rPr>
      <t>at</t>
    </r>
    <r>
      <rPr>
        <sz val="11"/>
        <color theme="1"/>
        <rFont val="Calibri"/>
        <family val="2"/>
      </rPr>
      <t xml:space="preserve"> =</t>
    </r>
  </si>
  <si>
    <t>Assemblage soudé d'une section en I ou H</t>
  </si>
  <si>
    <r>
      <t>M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</si>
  <si>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z,Ed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</si>
  <si>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</si>
  <si>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</si>
  <si>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</si>
  <si>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</si>
  <si>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</si>
  <si>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</si>
  <si>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</si>
  <si>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ns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</si>
  <si>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 xml:space="preserve">w </t>
    </r>
    <r>
      <rPr>
        <sz val="11"/>
        <rFont val="Calibri"/>
        <family val="2"/>
        <scheme val="minor"/>
      </rPr>
      <t>=</t>
    </r>
  </si>
  <si>
    <r>
      <t>L</t>
    </r>
    <r>
      <rPr>
        <vertAlign val="subscript"/>
        <sz val="11"/>
        <rFont val="Calibri"/>
        <family val="2"/>
        <scheme val="minor"/>
      </rPr>
      <t>ni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</si>
  <si>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</si>
  <si>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t>Ajout des conditions d'articulation NF EN 1993-1-8 : §6.4.2</t>
  </si>
  <si>
    <t>Ajout des tiges d'ancrages</t>
  </si>
  <si>
    <t>Ajout des bêches</t>
  </si>
  <si>
    <t>Résistance des tiges d'ancrages à plaquettes</t>
  </si>
  <si>
    <r>
      <t>t</t>
    </r>
    <r>
      <rPr>
        <vertAlign val="subscript"/>
        <sz val="11"/>
        <color theme="1"/>
        <rFont val="Calibri"/>
        <family val="2"/>
        <scheme val="minor"/>
      </rPr>
      <t>pl</t>
    </r>
  </si>
  <si>
    <t>Résistance des tiges d'ancrages à crosses</t>
  </si>
  <si>
    <r>
      <t>N</t>
    </r>
    <r>
      <rPr>
        <i/>
        <vertAlign val="subscript"/>
        <sz val="9"/>
        <color theme="1"/>
        <rFont val="Calibri"/>
        <family val="2"/>
        <scheme val="minor"/>
      </rPr>
      <t>t,Ed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</si>
  <si>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9"/>
        <color theme="1"/>
        <rFont val="Calibri"/>
        <family val="2"/>
        <scheme val="minor"/>
      </rPr>
      <t>Ed</t>
    </r>
    <r>
      <rPr>
        <i/>
        <sz val="9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</si>
  <si>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</si>
  <si>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</si>
  <si>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</si>
  <si>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</si>
  <si>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9"/>
        <color theme="1"/>
        <rFont val="Calibri"/>
        <family val="2"/>
        <scheme val="minor"/>
      </rPr>
      <t>r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</si>
  <si>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pl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</si>
  <si>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cd</t>
    </r>
  </si>
  <si>
    <t>Type de Trous</t>
  </si>
  <si>
    <t>Leff</t>
  </si>
  <si>
    <t>C1</t>
  </si>
  <si>
    <t>C2</t>
  </si>
  <si>
    <t>p1</t>
  </si>
  <si>
    <t>p2</t>
  </si>
  <si>
    <r>
      <t>L</t>
    </r>
    <r>
      <rPr>
        <vertAlign val="subscript"/>
        <sz val="9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</si>
  <si>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=</t>
    </r>
  </si>
  <si>
    <t>r =</t>
  </si>
  <si>
    <t>Vérification des dispositions constructives</t>
  </si>
  <si>
    <r>
      <t>3d</t>
    </r>
    <r>
      <rPr>
        <vertAlign val="subscript"/>
        <sz val="11"/>
        <color theme="1"/>
        <rFont val="Calibri"/>
        <family val="2"/>
        <scheme val="minor"/>
      </rPr>
      <t>0</t>
    </r>
  </si>
  <si>
    <t>r</t>
  </si>
  <si>
    <r>
      <t>1.5d</t>
    </r>
    <r>
      <rPr>
        <vertAlign val="subscript"/>
        <sz val="11"/>
        <color theme="1"/>
        <rFont val="Calibri"/>
        <family val="2"/>
        <scheme val="minor"/>
      </rPr>
      <t>0</t>
    </r>
  </si>
  <si>
    <r>
      <t>2d</t>
    </r>
    <r>
      <rPr>
        <vertAlign val="subscript"/>
        <sz val="11"/>
        <color theme="1"/>
        <rFont val="Calibri"/>
        <family val="2"/>
        <scheme val="minor"/>
      </rPr>
      <t>0</t>
    </r>
  </si>
  <si>
    <r>
      <t>L</t>
    </r>
    <r>
      <rPr>
        <vertAlign val="subscript"/>
        <sz val="11"/>
        <color theme="1"/>
        <rFont val="Calibri"/>
        <family val="2"/>
        <scheme val="minor"/>
      </rPr>
      <t>2</t>
    </r>
  </si>
  <si>
    <t>≥</t>
  </si>
  <si>
    <t>≤</t>
  </si>
  <si>
    <t>Résistance des bêches en profils bi-symétriques</t>
  </si>
  <si>
    <t>Résistance des bêches en croix</t>
  </si>
  <si>
    <t>13/07/2022</t>
  </si>
  <si>
    <r>
      <t>t</t>
    </r>
    <r>
      <rPr>
        <vertAlign val="subscript"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</si>
  <si>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0.15 * d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</si>
  <si>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t>Goujons</t>
  </si>
  <si>
    <t>d1</t>
  </si>
  <si>
    <t>d5</t>
  </si>
  <si>
    <t>k</t>
  </si>
  <si>
    <t>L2</t>
  </si>
  <si>
    <r>
      <t>d</t>
    </r>
    <r>
      <rPr>
        <b/>
        <vertAlign val="subscript"/>
        <sz val="11"/>
        <color theme="0" tint="-0.34998626667073579"/>
        <rFont val="Calibri"/>
        <family val="2"/>
        <scheme val="minor"/>
      </rPr>
      <t>min</t>
    </r>
  </si>
  <si>
    <t>Résistance des bêches en connecteurs à tête (type Nelson)</t>
  </si>
  <si>
    <r>
      <t xml:space="preserve">où   </t>
    </r>
    <r>
      <rPr>
        <sz val="11"/>
        <color theme="1"/>
        <rFont val="Calibri"/>
        <family val="2"/>
        <scheme val="minor"/>
      </rPr>
      <t>γ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</si>
  <si>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</si>
  <si>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i/>
        <vertAlign val="subscript"/>
        <sz val="9"/>
        <color theme="1"/>
        <rFont val="Calibri"/>
        <family val="2"/>
        <scheme val="minor"/>
      </rPr>
      <t>1</t>
    </r>
    <r>
      <rPr>
        <i/>
        <sz val="9"/>
        <color theme="1"/>
        <rFont val="Calibri"/>
        <family val="2"/>
        <scheme val="minor"/>
      </rPr>
      <t xml:space="preserve"> =</t>
    </r>
  </si>
  <si>
    <r>
      <t>d</t>
    </r>
    <r>
      <rPr>
        <i/>
        <vertAlign val="subscript"/>
        <sz val="9"/>
        <color theme="1"/>
        <rFont val="Calibri"/>
        <family val="2"/>
        <scheme val="minor"/>
      </rPr>
      <t>5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</si>
  <si>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ck</t>
    </r>
  </si>
  <si>
    <r>
      <t>E</t>
    </r>
    <r>
      <rPr>
        <i/>
        <vertAlign val="subscript"/>
        <sz val="9"/>
        <color theme="1"/>
        <rFont val="Calibri"/>
        <family val="2"/>
        <scheme val="minor"/>
      </rPr>
      <t>cm</t>
    </r>
  </si>
  <si>
    <r>
      <t>N</t>
    </r>
    <r>
      <rPr>
        <vertAlign val="subscript"/>
        <sz val="11"/>
        <color theme="1"/>
        <rFont val="Calibri"/>
        <family val="2"/>
        <scheme val="minor"/>
      </rPr>
      <t>Ed</t>
    </r>
  </si>
  <si>
    <r>
      <t>0.1 x P</t>
    </r>
    <r>
      <rPr>
        <vertAlign val="subscript"/>
        <sz val="11"/>
        <color theme="1"/>
        <rFont val="Calibri"/>
        <family val="2"/>
        <scheme val="minor"/>
      </rPr>
      <t>Rd</t>
    </r>
  </si>
  <si>
    <r>
      <t>5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</si>
  <si>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2.5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</si>
  <si>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4 x d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</si>
  <si>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Conditions d'articulation selon NF EN 1993-1-8 : §6.4.2</t>
  </si>
  <si>
    <r>
      <t>f</t>
    </r>
    <r>
      <rPr>
        <vertAlign val="subscript"/>
        <sz val="11"/>
        <rFont val="Calibri"/>
        <family val="2"/>
        <scheme val="minor"/>
      </rPr>
      <t>ub</t>
    </r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</si>
  <si>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</si>
  <si>
    <t>Ancrages</t>
  </si>
  <si>
    <t>Feuille 13</t>
  </si>
  <si>
    <t>V0.8a</t>
  </si>
  <si>
    <t>V0.8b</t>
  </si>
  <si>
    <t>V0.8c</t>
  </si>
  <si>
    <r>
      <t>V</t>
    </r>
    <r>
      <rPr>
        <i/>
        <vertAlign val="subscript"/>
        <sz val="9"/>
        <color theme="1"/>
        <rFont val="Calibri"/>
        <family val="2"/>
        <scheme val="minor"/>
      </rPr>
      <t>z,Ed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</si>
  <si>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9"/>
        <color theme="1"/>
        <rFont val="Calibri"/>
        <family val="2"/>
        <scheme val="minor"/>
      </rPr>
      <t>y,Ed</t>
    </r>
    <r>
      <rPr>
        <i/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</si>
  <si>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</si>
  <si>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9"/>
        <rFont val="Calibri"/>
        <family val="2"/>
        <scheme val="minor"/>
      </rPr>
      <t>u</t>
    </r>
    <r>
      <rPr>
        <sz val="9"/>
        <rFont val="Calibri"/>
        <family val="2"/>
        <scheme val="minor"/>
      </rPr>
      <t xml:space="preserve"> =</t>
    </r>
  </si>
  <si>
    <r>
      <t>f</t>
    </r>
    <r>
      <rPr>
        <vertAlign val="subscript"/>
        <sz val="9"/>
        <color theme="1"/>
        <rFont val="Calibri"/>
        <family val="2"/>
        <scheme val="minor"/>
      </rPr>
      <t>y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</si>
  <si>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</si>
  <si>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</si>
  <si>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cd</t>
    </r>
    <r>
      <rPr>
        <i/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</si>
  <si>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n</t>
    </r>
  </si>
  <si>
    <r>
      <t>1.5*h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</si>
  <si>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20*t</t>
    </r>
    <r>
      <rPr>
        <vertAlign val="subscript"/>
        <sz val="11"/>
        <color theme="1"/>
        <rFont val="Calibri"/>
        <family val="2"/>
        <scheme val="minor"/>
      </rPr>
      <t>fn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</si>
  <si>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 xml:space="preserve">cd </t>
    </r>
    <r>
      <rPr>
        <sz val="11"/>
        <color theme="1"/>
        <rFont val="Calibri"/>
        <family val="2"/>
        <scheme val="minor"/>
      </rPr>
      <t>b</t>
    </r>
    <r>
      <rPr>
        <vertAlign val="subscript"/>
        <sz val="11"/>
        <color theme="1"/>
        <rFont val="Calibri"/>
        <family val="2"/>
        <scheme val="minor"/>
      </rPr>
      <t xml:space="preserve">n 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</si>
  <si>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z,Rd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</si>
  <si>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n</t>
    </r>
  </si>
  <si>
    <r>
      <t>M</t>
    </r>
    <r>
      <rPr>
        <vertAlign val="subscript"/>
        <sz val="11"/>
        <color theme="1"/>
        <rFont val="Calibri"/>
        <family val="2"/>
        <scheme val="minor"/>
      </rPr>
      <t>y,Rd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</si>
  <si>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V</t>
    </r>
    <r>
      <rPr>
        <vertAlign val="subscript"/>
        <sz val="11"/>
        <color theme="1"/>
        <rFont val="Calibri"/>
        <family val="2"/>
        <scheme val="minor"/>
      </rPr>
      <t>z,Ed</t>
    </r>
    <r>
      <rPr>
        <sz val="11"/>
        <color theme="1"/>
        <rFont val="Calibri"/>
        <family val="2"/>
        <scheme val="minor"/>
      </rPr>
      <t>*L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/3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</si>
  <si>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V</t>
    </r>
    <r>
      <rPr>
        <vertAlign val="subscript"/>
        <sz val="11"/>
        <color theme="1"/>
        <rFont val="Calibri"/>
        <family val="2"/>
        <scheme val="minor"/>
      </rPr>
      <t>y,Ed</t>
    </r>
    <r>
      <rPr>
        <sz val="11"/>
        <color theme="1"/>
        <rFont val="Calibri"/>
        <family val="2"/>
        <scheme val="minor"/>
      </rPr>
      <t>*L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/3 =</t>
    </r>
  </si>
  <si>
    <r>
      <t>40*t</t>
    </r>
    <r>
      <rPr>
        <vertAlign val="subscript"/>
        <sz val="11"/>
        <color theme="1"/>
        <rFont val="Calibri"/>
        <family val="2"/>
        <scheme val="minor"/>
      </rPr>
      <t>wn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</si>
  <si>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-2*t</t>
    </r>
    <r>
      <rPr>
        <vertAlign val="subscript"/>
        <sz val="11"/>
        <color theme="1"/>
        <rFont val="Calibri"/>
        <family val="2"/>
        <scheme val="minor"/>
      </rPr>
      <t>fn</t>
    </r>
  </si>
  <si>
    <r>
      <t>V</t>
    </r>
    <r>
      <rPr>
        <vertAlign val="subscript"/>
        <sz val="11"/>
        <color theme="1"/>
        <rFont val="Calibri"/>
        <family val="2"/>
        <scheme val="minor"/>
      </rPr>
      <t>y,Rd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</si>
  <si>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z,c,Rd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</si>
  <si>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y,c,Rd</t>
    </r>
    <r>
      <rPr>
        <sz val="11"/>
        <color theme="1"/>
        <rFont val="Calibri"/>
        <family val="2"/>
        <scheme val="minor"/>
      </rPr>
      <t xml:space="preserve"> = 0.5f</t>
    </r>
    <r>
      <rPr>
        <vertAlign val="subscript"/>
        <sz val="11"/>
        <color theme="1"/>
        <rFont val="Calibri"/>
        <family val="2"/>
        <scheme val="minor"/>
      </rPr>
      <t xml:space="preserve">cd </t>
    </r>
    <r>
      <rPr>
        <sz val="11"/>
        <color theme="1"/>
        <rFont val="Calibri"/>
        <family val="2"/>
        <scheme val="minor"/>
      </rPr>
      <t>(h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-2t</t>
    </r>
    <r>
      <rPr>
        <vertAlign val="subscript"/>
        <sz val="11"/>
        <color theme="1"/>
        <rFont val="Calibri"/>
        <family val="2"/>
        <scheme val="minor"/>
      </rPr>
      <t>fn</t>
    </r>
    <r>
      <rPr>
        <sz val="11"/>
        <color theme="1"/>
        <rFont val="Calibri"/>
        <family val="2"/>
        <scheme val="minor"/>
      </rPr>
      <t>)</t>
    </r>
    <r>
      <rPr>
        <vertAlign val="subscript"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</si>
  <si>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20*t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</si>
  <si>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t>Selon z-z</t>
  </si>
  <si>
    <t>Selon y-y</t>
  </si>
  <si>
    <r>
      <t>V</t>
    </r>
    <r>
      <rPr>
        <vertAlign val="subscript"/>
        <sz val="11"/>
        <color theme="1"/>
        <rFont val="Calibri"/>
        <family val="2"/>
        <scheme val="minor"/>
      </rPr>
      <t>c,Rd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</si>
  <si>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9"/>
        <color theme="1"/>
        <rFont val="Calibri"/>
        <family val="2"/>
        <scheme val="minor"/>
      </rPr>
      <t>n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</si>
  <si>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f</t>
    </r>
    <r>
      <rPr>
        <sz val="9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</si>
  <si>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9"/>
        <color theme="1"/>
        <rFont val="Calibri"/>
        <family val="2"/>
        <scheme val="minor"/>
      </rPr>
      <t>w</t>
    </r>
    <r>
      <rPr>
        <sz val="9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</si>
  <si>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9"/>
        <color theme="1"/>
        <rFont val="Calibri"/>
        <family val="2"/>
        <scheme val="minor"/>
      </rPr>
      <t>el,y</t>
    </r>
    <r>
      <rPr>
        <sz val="9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</si>
  <si>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9"/>
        <color theme="1"/>
        <rFont val="Calibri"/>
        <family val="2"/>
        <scheme val="minor"/>
      </rPr>
      <t>v,z</t>
    </r>
    <r>
      <rPr>
        <sz val="9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</si>
  <si>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9"/>
        <color theme="1"/>
        <rFont val="Calibri"/>
        <family val="2"/>
        <scheme val="minor"/>
      </rPr>
      <t>v,y</t>
    </r>
    <r>
      <rPr>
        <sz val="9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</si>
  <si>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9"/>
        <color theme="1"/>
        <rFont val="Calibri"/>
        <family val="2"/>
        <scheme val="minor"/>
      </rPr>
      <t>el,z</t>
    </r>
    <r>
      <rPr>
        <sz val="9"/>
        <color theme="1"/>
        <rFont val="Calibri"/>
        <family val="2"/>
        <scheme val="minor"/>
      </rPr>
      <t xml:space="preserve"> =</t>
    </r>
  </si>
  <si>
    <r>
      <t>1.5*b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</si>
  <si>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</t>
    </r>
  </si>
  <si>
    <t>V0.8d</t>
  </si>
  <si>
    <r>
      <t>a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</si>
  <si>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=</t>
    </r>
  </si>
  <si>
    <t>Taquet avec double cordon d'angle</t>
  </si>
  <si>
    <t>Taquet avec simple cordon d'angle</t>
  </si>
  <si>
    <t>Soudure âme semelle d'un profilé PRS</t>
  </si>
  <si>
    <t>Soudures d'un raidisseur</t>
  </si>
  <si>
    <t>Assemblage soudé d'un profils creux circulaire</t>
  </si>
  <si>
    <t>Assemblage soudé d'un profils creux rectangulaire</t>
  </si>
  <si>
    <t>Assemblage soudé d'un plat</t>
  </si>
  <si>
    <t>Assemblage soudé d'une section en T</t>
  </si>
  <si>
    <r>
      <t>l</t>
    </r>
    <r>
      <rPr>
        <vertAlign val="subscript"/>
        <sz val="11"/>
        <rFont val="Calibri"/>
        <family val="2"/>
        <scheme val="minor"/>
      </rPr>
      <t>f,eff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</si>
  <si>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</si>
  <si>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w,eff</t>
    </r>
    <r>
      <rPr>
        <sz val="11"/>
        <rFont val="Calibri"/>
        <family val="2"/>
        <scheme val="minor"/>
      </rPr>
      <t xml:space="preserve"> =</t>
    </r>
  </si>
  <si>
    <t>h =</t>
  </si>
  <si>
    <r>
      <t>F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</si>
  <si>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</si>
  <si>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</si>
  <si>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</si>
  <si>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</si>
  <si>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</si>
  <si>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</t>
    </r>
  </si>
  <si>
    <r>
      <t>En A : 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</si>
  <si>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et σ</t>
    </r>
    <r>
      <rPr>
        <vertAlign val="subscript"/>
        <sz val="11"/>
        <color theme="1"/>
        <rFont val="Calibri"/>
        <family val="2"/>
        <scheme val="minor"/>
      </rPr>
      <t>⊥A</t>
    </r>
    <r>
      <rPr>
        <sz val="11"/>
        <color theme="1"/>
        <rFont val="Calibri"/>
        <family val="2"/>
        <scheme val="minor"/>
      </rPr>
      <t xml:space="preserve"> =</t>
    </r>
  </si>
  <si>
    <r>
      <t>En B : 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 =</t>
    </r>
  </si>
  <si>
    <r>
      <t>et σ</t>
    </r>
    <r>
      <rPr>
        <vertAlign val="subscript"/>
        <sz val="11"/>
        <color theme="1"/>
        <rFont val="Calibri"/>
        <family val="2"/>
        <scheme val="minor"/>
      </rPr>
      <t>⊥B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</si>
  <si>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</si>
  <si>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</si>
  <si>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⊥N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</si>
  <si>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²+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²))</t>
    </r>
  </si>
  <si>
    <r>
      <t>N</t>
    </r>
    <r>
      <rPr>
        <vertAlign val="subscript"/>
        <sz val="11"/>
        <color theme="1"/>
        <rFont val="Calibri"/>
        <family val="2"/>
        <scheme val="minor"/>
      </rPr>
      <t>at,Ed</t>
    </r>
    <r>
      <rPr>
        <sz val="11"/>
        <color theme="1"/>
        <rFont val="Calibri"/>
        <family val="2"/>
        <scheme val="minor"/>
      </rPr>
      <t xml:space="preserve"> =</t>
    </r>
  </si>
  <si>
    <t>Ajout des cas de soudures avec efforts simples</t>
  </si>
  <si>
    <t>V0.8e</t>
  </si>
  <si>
    <t>20/07/2022</t>
  </si>
  <si>
    <t xml:space="preserve">DRV/SOUDIX+/MT/001-C (Juillet 2021) : Manuel Technique EN 1993-1-8 du Logiciel Soudix+ </t>
  </si>
  <si>
    <t>Ajout des cas de soudures complexes</t>
  </si>
  <si>
    <t>Clé</t>
  </si>
  <si>
    <t>S235 &gt; 40mm</t>
  </si>
  <si>
    <t>S275 &gt; 40mm</t>
  </si>
  <si>
    <t>S355 &gt; 40 mm</t>
  </si>
  <si>
    <t>S275 N/NL</t>
  </si>
  <si>
    <t>S275 N/NL &gt; 40 mm</t>
  </si>
  <si>
    <t>S355 N/NL</t>
  </si>
  <si>
    <t>S355 N/NL &gt; 40 mm</t>
  </si>
  <si>
    <t>S460 N/NL</t>
  </si>
  <si>
    <t>S460 N/NL &gt; 40 mm</t>
  </si>
  <si>
    <t>S235  H</t>
  </si>
  <si>
    <t>S235 H &gt; 40 mm</t>
  </si>
  <si>
    <t>S275 M/ML</t>
  </si>
  <si>
    <t>S275 M/ML &gt; 40 mm</t>
  </si>
  <si>
    <t>S275 H</t>
  </si>
  <si>
    <t>S275 H &gt; 40 mm</t>
  </si>
  <si>
    <t>S275 NH/NLH</t>
  </si>
  <si>
    <t>S275 NH/NLH &gt;40mm</t>
  </si>
  <si>
    <t>S355 M/ML</t>
  </si>
  <si>
    <t>S355 M/ML &gt; 40 mm</t>
  </si>
  <si>
    <t>S355 H</t>
  </si>
  <si>
    <t>S355 H &gt; 40 mm</t>
  </si>
  <si>
    <t>S355 NH/NLH</t>
  </si>
  <si>
    <t>S355 NH/NLH &gt;40mm</t>
  </si>
  <si>
    <t>S460 M/ML</t>
  </si>
  <si>
    <t>S460 M/ML &gt; 40 mm</t>
  </si>
  <si>
    <t>S460 NH/NLH</t>
  </si>
  <si>
    <t>S460 NH/NLH &gt; 40 mm</t>
  </si>
  <si>
    <t>Ajout de nuances d'acier + résistance &gt; 40mm</t>
  </si>
  <si>
    <t>Ajout des petits Ø de boulons + correction diamètre moyen sous tête</t>
  </si>
  <si>
    <t>V0.8f</t>
  </si>
  <si>
    <t>Ajout du coefficient de rédution pour les assemblages longs</t>
  </si>
  <si>
    <t>V0.8g</t>
  </si>
  <si>
    <t>03/09/2022</t>
  </si>
  <si>
    <t>Coefficient de réduction pour les assemblages longs</t>
  </si>
  <si>
    <t>Lj =</t>
  </si>
  <si>
    <t>13/09/2022</t>
  </si>
  <si>
    <t>Mise à jour de la vérification des boulons</t>
  </si>
  <si>
    <t>15/09/2022</t>
  </si>
  <si>
    <t>V0.8h</t>
  </si>
  <si>
    <t>Ajout des ancrages par tige droite</t>
  </si>
  <si>
    <t>Résistance des tiges d'ancrages droites</t>
  </si>
  <si>
    <r>
      <t>f</t>
    </r>
    <r>
      <rPr>
        <i/>
        <vertAlign val="subscript"/>
        <sz val="9"/>
        <color theme="1"/>
        <rFont val="Calibri"/>
        <family val="2"/>
        <scheme val="minor"/>
      </rPr>
      <t>bd</t>
    </r>
  </si>
  <si>
    <t>Correction de la traction dans le béton des tiges à crosse</t>
  </si>
  <si>
    <r>
      <t>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</si>
  <si>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//,N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</si>
  <si>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</si>
  <si>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</si>
  <si>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</si>
  <si>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</si>
  <si>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</si>
  <si>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</si>
  <si>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</si>
  <si>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</si>
  <si>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</si>
  <si>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Point A : τ</t>
    </r>
    <r>
      <rPr>
        <vertAlign val="subscript"/>
        <sz val="11"/>
        <color theme="1"/>
        <rFont val="Calibri"/>
        <family val="2"/>
        <scheme val="minor"/>
      </rPr>
      <t>//,V,A</t>
    </r>
    <r>
      <rPr>
        <sz val="11"/>
        <color theme="1"/>
        <rFont val="Calibri"/>
        <family val="2"/>
        <scheme val="minor"/>
      </rPr>
      <t xml:space="preserve"> =</t>
    </r>
  </si>
  <si>
    <r>
      <t>Point C : τ</t>
    </r>
    <r>
      <rPr>
        <vertAlign val="subscript"/>
        <sz val="11"/>
        <color theme="1"/>
        <rFont val="Calibri"/>
        <family val="2"/>
        <scheme val="minor"/>
      </rPr>
      <t>//,V,C</t>
    </r>
    <r>
      <rPr>
        <sz val="11"/>
        <color theme="1"/>
        <rFont val="Calibri"/>
        <family val="2"/>
        <scheme val="minor"/>
      </rPr>
      <t xml:space="preserve"> =</t>
    </r>
  </si>
  <si>
    <r>
      <t>Point B : τ</t>
    </r>
    <r>
      <rPr>
        <vertAlign val="subscript"/>
        <sz val="11"/>
        <color theme="1"/>
        <rFont val="Calibri"/>
        <family val="2"/>
        <scheme val="minor"/>
      </rPr>
      <t>//,V,B</t>
    </r>
    <r>
      <rPr>
        <sz val="11"/>
        <color theme="1"/>
        <rFont val="Calibri"/>
        <family val="2"/>
        <scheme val="minor"/>
      </rPr>
      <t xml:space="preserve"> =</t>
    </r>
  </si>
  <si>
    <r>
      <t>√( 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>²+3(τ</t>
    </r>
    <r>
      <rPr>
        <vertAlign val="subscript"/>
        <sz val="11"/>
        <color theme="1"/>
        <rFont val="Calibri"/>
        <family val="2"/>
        <scheme val="minor"/>
      </rPr>
      <t>//</t>
    </r>
    <r>
      <rPr>
        <sz val="11"/>
        <color theme="1"/>
        <rFont val="Calibri"/>
        <family val="2"/>
        <scheme val="minor"/>
      </rPr>
      <t>²+ τ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²)) = 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</si>
  <si>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</t>
    </r>
    <r>
      <rPr>
        <sz val="11"/>
        <color theme="1"/>
        <rFont val="Calibri"/>
        <family val="2"/>
        <scheme val="minor"/>
      </rPr>
      <t xml:space="preserve"> = 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</si>
  <si>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</si>
  <si>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⊥,Mi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⊥,Mi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</si>
  <si>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</si>
  <si>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</si>
  <si>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</si>
  <si>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</si>
  <si>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⊥,Ms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</si>
  <si>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</si>
  <si>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et 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</si>
  <si>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</si>
  <si>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</si>
  <si>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</si>
  <si>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n</t>
    </r>
    <r>
      <rPr>
        <sz val="1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</si>
  <si>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</si>
  <si>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//,V,B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</si>
  <si>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//,V,C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</si>
  <si>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//,V,D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</si>
  <si>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</si>
  <si>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 Z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</si>
  <si>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wy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</si>
  <si>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fy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</si>
  <si>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ny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</si>
  <si>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</si>
  <si>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</si>
  <si>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</si>
  <si>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</si>
  <si>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 xml:space="preserve">w </t>
    </r>
    <r>
      <rPr>
        <sz val="11"/>
        <color theme="1"/>
        <rFont val="Calibri"/>
        <family val="2"/>
        <scheme val="minor"/>
      </rPr>
      <t>=</t>
    </r>
  </si>
  <si>
    <r>
      <t>Z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</si>
  <si>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</si>
  <si>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</si>
  <si>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b/>
        <vertAlign val="subscript"/>
        <sz val="11"/>
        <color theme="1"/>
        <rFont val="Calibri"/>
        <family val="2"/>
        <scheme val="minor"/>
      </rPr>
      <t>G</t>
    </r>
    <r>
      <rPr>
        <b/>
        <sz val="11"/>
        <color theme="1"/>
        <rFont val="Calibri"/>
        <family val="2"/>
        <scheme val="minor"/>
      </rPr>
      <t xml:space="preserve"> =</t>
    </r>
  </si>
  <si>
    <r>
      <t>I</t>
    </r>
    <r>
      <rPr>
        <b/>
        <vertAlign val="subscript"/>
        <sz val="11"/>
        <color theme="1"/>
        <rFont val="Calibri"/>
        <family val="2"/>
        <scheme val="minor"/>
      </rPr>
      <t>Ty</t>
    </r>
    <r>
      <rPr>
        <b/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</si>
  <si>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⊥,M,A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</si>
  <si>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</si>
  <si>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</si>
  <si>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⊥,M,D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</si>
  <si>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</si>
  <si>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⊥,MA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</si>
  <si>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</si>
  <si>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⊥,MB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</si>
  <si>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⊥,MC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</si>
  <si>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</si>
  <si>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⊥,MD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</si>
  <si>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⊥,MD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</si>
  <si>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</si>
  <si>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y,Ed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</si>
  <si>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z,Ed</t>
    </r>
    <r>
      <rPr>
        <sz val="1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</si>
  <si>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rFont val="Calibri"/>
        <family val="2"/>
        <scheme val="minor"/>
      </rPr>
      <t>x,Ed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</si>
  <si>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y,Ed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</si>
  <si>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</si>
  <si>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t>Cordon</t>
  </si>
  <si>
    <r>
      <t>b</t>
    </r>
    <r>
      <rPr>
        <vertAlign val="subscript"/>
        <sz val="11"/>
        <rFont val="Calibri"/>
        <family val="2"/>
        <scheme val="minor"/>
      </rPr>
      <t>fs</t>
    </r>
    <r>
      <rPr>
        <sz val="1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</si>
  <si>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rFont val="Calibri"/>
        <family val="2"/>
        <scheme val="minor"/>
      </rPr>
      <t>fi</t>
    </r>
    <r>
      <rPr>
        <sz val="11"/>
        <rFont val="Calibri"/>
        <family val="2"/>
        <scheme val="minor"/>
      </rPr>
      <t xml:space="preserve"> =</t>
    </r>
  </si>
  <si>
    <t>V0.9a</t>
  </si>
  <si>
    <t>b' =</t>
  </si>
  <si>
    <t>h' =</t>
  </si>
  <si>
    <r>
      <t>W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</si>
  <si>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</si>
  <si>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⊥,Vy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</si>
  <si>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</si>
  <si>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⊥,Vz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⊥,Vz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</si>
  <si>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</si>
  <si>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</si>
  <si>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</si>
  <si>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</si>
  <si>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</si>
  <si>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</si>
  <si>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</si>
  <si>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</si>
  <si>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⊥,Mxh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⊥,Mxh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</si>
  <si>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</si>
  <si>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⊥,My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</si>
  <si>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</si>
  <si>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</si>
  <si>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</si>
  <si>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</si>
  <si>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</si>
  <si>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⊥,Mxv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⊥,Mxv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</si>
  <si>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</si>
  <si>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</si>
  <si>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h = L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</si>
  <si>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b = L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</si>
  <si>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σ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σ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</si>
  <si>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⊥,D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⊥,N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⊥,Mz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</si>
  <si>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//,Mxv</t>
    </r>
    <r>
      <rPr>
        <sz val="11"/>
        <color theme="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</si>
  <si>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</si>
  <si>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r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</si>
  <si>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</si>
  <si>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//,A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</si>
  <si>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//,B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//,Vy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</si>
  <si>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</si>
  <si>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⊥,Mx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</si>
  <si>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//,C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-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</si>
  <si>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//,D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//,Vz</t>
    </r>
    <r>
      <rPr>
        <sz val="11"/>
        <color theme="1"/>
        <rFont val="Calibri"/>
        <family val="2"/>
        <scheme val="minor"/>
      </rPr>
      <t xml:space="preserve"> + τ</t>
    </r>
    <r>
      <rPr>
        <vertAlign val="subscript"/>
        <sz val="11"/>
        <color theme="1"/>
        <rFont val="Calibri"/>
        <family val="2"/>
        <scheme val="minor"/>
      </rPr>
      <t>//,Mx</t>
    </r>
    <r>
      <rPr>
        <sz val="11"/>
        <color theme="1"/>
        <rFont val="Calibri"/>
        <family val="2"/>
        <scheme val="minor"/>
      </rPr>
      <t xml:space="preserve"> =</t>
    </r>
  </si>
  <si>
    <t>Point A :</t>
  </si>
  <si>
    <t>Point B :</t>
  </si>
  <si>
    <t>Point C :</t>
  </si>
  <si>
    <t>Point D :</t>
  </si>
  <si>
    <r>
      <t>σ</t>
    </r>
    <r>
      <rPr>
        <vertAlign val="subscript"/>
        <sz val="11"/>
        <color theme="1"/>
        <rFont val="Calibri"/>
        <family val="2"/>
        <scheme val="minor"/>
      </rPr>
      <t>⊥,f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⊥,f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</si>
  <si>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//,f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</si>
  <si>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rFont val="Calibri"/>
        <family val="2"/>
        <scheme val="minor"/>
      </rPr>
      <t>Ed</t>
    </r>
    <r>
      <rPr>
        <sz val="11"/>
        <rFont val="Calibri"/>
        <family val="2"/>
        <scheme val="minor"/>
      </rPr>
      <t xml:space="preserve"> =</t>
    </r>
  </si>
  <si>
    <r>
      <t>I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</si>
  <si>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fs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</si>
  <si>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</si>
  <si>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fs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</si>
  <si>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fi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</si>
  <si>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</si>
  <si>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rFont val="Calibri"/>
        <family val="2"/>
        <scheme val="minor"/>
      </rPr>
      <t>w</t>
    </r>
    <r>
      <rPr>
        <sz val="1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</si>
  <si>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g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</si>
  <si>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fi</t>
    </r>
    <r>
      <rPr>
        <sz val="11"/>
        <color theme="1"/>
        <rFont val="Calibri"/>
        <family val="2"/>
        <scheme val="minor"/>
      </rPr>
      <t xml:space="preserve"> =</t>
    </r>
  </si>
  <si>
    <r>
      <t>g</t>
    </r>
    <r>
      <rPr>
        <vertAlign val="subscript"/>
        <sz val="11"/>
        <color theme="1"/>
        <rFont val="Calibri"/>
        <family val="2"/>
        <scheme val="minor"/>
      </rPr>
      <t>s,Ed</t>
    </r>
    <r>
      <rPr>
        <sz val="11"/>
        <color theme="1"/>
        <rFont val="Calibri"/>
        <family val="2"/>
        <scheme val="minor"/>
      </rPr>
      <t xml:space="preserve"> =</t>
    </r>
  </si>
  <si>
    <r>
      <t>g</t>
    </r>
    <r>
      <rPr>
        <vertAlign val="subscript"/>
        <sz val="11"/>
        <color theme="1"/>
        <rFont val="Calibri"/>
        <family val="2"/>
        <scheme val="minor"/>
      </rPr>
      <t>i,Ed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</si>
  <si>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s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</si>
  <si>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rFont val="Calibri"/>
        <family val="2"/>
        <scheme val="minor"/>
      </rPr>
      <t>i</t>
    </r>
    <r>
      <rPr>
        <sz val="11"/>
        <rFont val="Calibri"/>
        <family val="2"/>
        <scheme val="minor"/>
      </rPr>
      <t xml:space="preserve"> =</t>
    </r>
  </si>
  <si>
    <t>Double</t>
  </si>
  <si>
    <t>05/10/2022</t>
  </si>
  <si>
    <t>26/10/2022</t>
  </si>
  <si>
    <t>V0.9b</t>
  </si>
  <si>
    <t>Correction des valeurs de résistance du béton</t>
  </si>
  <si>
    <t>V0.9c</t>
  </si>
  <si>
    <t>04/11/2022</t>
  </si>
  <si>
    <t>Ajout des Scellement de barres selon NF EN 1992</t>
  </si>
  <si>
    <t>Résistance du glissement relatif du coulis de scellement par rapport au béton existant</t>
  </si>
  <si>
    <r>
      <t>N</t>
    </r>
    <r>
      <rPr>
        <i/>
        <vertAlign val="subscript"/>
        <sz val="9"/>
        <color theme="1"/>
        <rFont val="Calibri"/>
        <family val="2"/>
        <scheme val="minor"/>
      </rPr>
      <t>Ed</t>
    </r>
    <r>
      <rPr>
        <i/>
        <sz val="9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</si>
  <si>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9"/>
        <color theme="1"/>
        <rFont val="Calibri"/>
        <family val="2"/>
        <scheme val="minor"/>
      </rPr>
      <t>s</t>
    </r>
    <r>
      <rPr>
        <sz val="9"/>
        <color theme="1"/>
        <rFont val="Calibri"/>
        <family val="2"/>
        <scheme val="minor"/>
      </rPr>
      <t xml:space="preserve"> =</t>
    </r>
  </si>
  <si>
    <t>Condition d'adhérence</t>
  </si>
  <si>
    <t>bonnes</t>
  </si>
  <si>
    <r>
      <t>f</t>
    </r>
    <r>
      <rPr>
        <vertAlign val="subscript"/>
        <sz val="11"/>
        <color theme="1"/>
        <rFont val="Calibri"/>
        <family val="2"/>
        <scheme val="minor"/>
      </rPr>
      <t>ctd</t>
    </r>
    <r>
      <rPr>
        <sz val="11"/>
        <color theme="1"/>
        <rFont val="Calibri"/>
        <family val="2"/>
        <scheme val="minor"/>
      </rPr>
      <t xml:space="preserve"> =</t>
    </r>
  </si>
  <si>
    <t>MPa</t>
  </si>
  <si>
    <t>Ø =</t>
  </si>
  <si>
    <r>
      <t>η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</si>
  <si>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t>entraxe min</t>
  </si>
  <si>
    <r>
      <t>η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</si>
  <si>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ctd</t>
    </r>
  </si>
  <si>
    <r>
      <t>f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 2.25*η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*η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*f</t>
    </r>
    <r>
      <rPr>
        <vertAlign val="subscript"/>
        <sz val="11"/>
        <color theme="1"/>
        <rFont val="Calibri"/>
        <family val="2"/>
        <scheme val="minor"/>
      </rPr>
      <t>ctd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</si>
  <si>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sd</t>
    </r>
    <r>
      <rPr>
        <sz val="11"/>
        <color theme="1"/>
        <rFont val="Calibri"/>
        <family val="2"/>
        <scheme val="minor"/>
      </rPr>
      <t xml:space="preserve"> =</t>
    </r>
  </si>
  <si>
    <t>Mpa</t>
  </si>
  <si>
    <t>φ =</t>
  </si>
  <si>
    <r>
      <t>l</t>
    </r>
    <r>
      <rPr>
        <vertAlign val="subscript"/>
        <sz val="11"/>
        <color theme="1"/>
        <rFont val="Calibri"/>
        <family val="2"/>
        <scheme val="minor"/>
      </rPr>
      <t>b,rqd</t>
    </r>
    <r>
      <rPr>
        <sz val="11"/>
        <color theme="1"/>
        <rFont val="Calibri"/>
        <family val="2"/>
        <scheme val="minor"/>
      </rPr>
      <t xml:space="preserve"> = (φ/4)(σ</t>
    </r>
    <r>
      <rPr>
        <vertAlign val="subscript"/>
        <sz val="11"/>
        <color theme="1"/>
        <rFont val="Calibri"/>
        <family val="2"/>
        <scheme val="minor"/>
      </rPr>
      <t>sd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>)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</si>
  <si>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b,min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</si>
  <si>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</si>
  <si>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</si>
  <si>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1 - 0.15(c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-φ)/φ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</si>
  <si>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 α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α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b,rqd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</si>
  <si>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b,min</t>
    </r>
  </si>
  <si>
    <r>
      <t>l</t>
    </r>
    <r>
      <rPr>
        <vertAlign val="subscript"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</si>
  <si>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s</t>
    </r>
  </si>
  <si>
    <t>C =</t>
  </si>
  <si>
    <t>a/2 =</t>
  </si>
  <si>
    <t>Résistance des plaquettes</t>
  </si>
  <si>
    <r>
      <t>épaisseur de la plaquette 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</si>
  <si>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épaisseur de la platine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</si>
  <si>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ya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</si>
  <si>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ya</t>
    </r>
  </si>
  <si>
    <r>
      <t>t</t>
    </r>
    <r>
      <rPr>
        <vertAlign val="subscript"/>
        <sz val="11"/>
        <color theme="1"/>
        <rFont val="Calibri"/>
        <family val="2"/>
        <scheme val="minor"/>
      </rPr>
      <t>a,min</t>
    </r>
    <r>
      <rPr>
        <sz val="11"/>
        <color theme="1"/>
        <rFont val="Calibri"/>
        <family val="2"/>
        <scheme val="minor"/>
      </rPr>
      <t xml:space="preserve"> = max{ √F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>/(πf</t>
    </r>
    <r>
      <rPr>
        <vertAlign val="subscript"/>
        <sz val="11"/>
        <color theme="1"/>
        <rFont val="Calibri"/>
        <family val="2"/>
        <scheme val="minor"/>
      </rPr>
      <t>ya</t>
    </r>
    <r>
      <rPr>
        <sz val="11"/>
        <color theme="1"/>
        <rFont val="Calibri"/>
        <family val="2"/>
        <scheme val="minor"/>
      </rPr>
      <t>) ;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/√2 }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</si>
  <si>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</si>
  <si>
    <t>Ajout des vérification de carelles</t>
  </si>
  <si>
    <t>Ajout des vérifications des ruines du béton selon NF EN 1993-2-4</t>
  </si>
  <si>
    <t>Rupture par cône de béton</t>
  </si>
  <si>
    <t xml:space="preserve"> (NF EN1992-4 §7.2.1.4)</t>
  </si>
  <si>
    <t>Rupture de l'acier de la fixation</t>
  </si>
  <si>
    <t xml:space="preserve"> (NF EN1992-4 §7.2.1.6)</t>
  </si>
  <si>
    <t>Rupture par fendage du béton</t>
  </si>
  <si>
    <t xml:space="preserve"> (NF EN1992-4 §7.2.1.7)</t>
  </si>
  <si>
    <t>Rupture par éclatement du béton</t>
  </si>
  <si>
    <t xml:space="preserve"> (NF EN1992-4 §7.2.1.8)</t>
  </si>
  <si>
    <t>Rupture de l'acier de la fixation sans bras de levier</t>
  </si>
  <si>
    <t xml:space="preserve"> (NF EN1992-4 §7.2.2.3.1)</t>
  </si>
  <si>
    <t>Rupture du béton par effet de levier</t>
  </si>
  <si>
    <t xml:space="preserve"> (NF EN1992-4 §7.2.2.4)</t>
  </si>
  <si>
    <t>Rupture du bord du béton</t>
  </si>
  <si>
    <t xml:space="preserve"> (NF EN1992-4 §7.2.2.5)</t>
  </si>
  <si>
    <t>Vérifications pour les tiges sollicitées en cisaillement et traction</t>
  </si>
  <si>
    <t>Vérifications pour les tiges sollicitées en cisaillement</t>
  </si>
  <si>
    <t>Vérifications pour les tiges sollicitées en traction</t>
  </si>
  <si>
    <t xml:space="preserve"> (NF EN1992-4 §7.2.3.1 (7.54) )</t>
  </si>
  <si>
    <t xml:space="preserve"> (NF EN1992-4 §7.2.3.1 (7.56) )</t>
  </si>
  <si>
    <t>Modes de rupture du béton</t>
  </si>
  <si>
    <t>kcr,N =</t>
  </si>
  <si>
    <t>Béton fissuré</t>
  </si>
  <si>
    <t>Béton NON fissuré</t>
  </si>
  <si>
    <t>kucr,N =</t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</si>
  <si>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</si>
  <si>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</si>
  <si>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</si>
  <si>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c,N</t>
    </r>
    <r>
      <rPr>
        <sz val="11"/>
        <color theme="1"/>
        <rFont val="Calibri"/>
        <family val="2"/>
        <scheme val="minor"/>
      </rPr>
      <t xml:space="preserve"> = </t>
    </r>
  </si>
  <si>
    <r>
      <t>A</t>
    </r>
    <r>
      <rPr>
        <vertAlign val="subscript"/>
        <sz val="11"/>
        <color theme="1"/>
        <rFont val="Calibri"/>
        <family val="2"/>
        <scheme val="minor"/>
      </rPr>
      <t>c,N</t>
    </r>
    <r>
      <rPr>
        <sz val="11"/>
        <color theme="1"/>
        <rFont val="Calibri"/>
        <family val="2"/>
        <scheme val="minor"/>
      </rPr>
      <t xml:space="preserve"> = </t>
    </r>
  </si>
  <si>
    <t>C11</t>
  </si>
  <si>
    <t>S1</t>
  </si>
  <si>
    <t>C12</t>
  </si>
  <si>
    <t>C21</t>
  </si>
  <si>
    <t>S2</t>
  </si>
  <si>
    <t>C22</t>
  </si>
  <si>
    <t>Z =</t>
  </si>
  <si>
    <r>
      <t>e</t>
    </r>
    <r>
      <rPr>
        <vertAlign val="subscript"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 xml:space="preserve"> =</t>
    </r>
  </si>
  <si>
    <t>NON fissuré</t>
  </si>
  <si>
    <t>Scr,Np2</t>
  </si>
  <si>
    <t>Scr,Np1</t>
  </si>
  <si>
    <t>Scr,N2</t>
  </si>
  <si>
    <t>Scr,N1</t>
  </si>
  <si>
    <t>k3 =</t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</si>
  <si>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</si>
  <si>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t>S =</t>
  </si>
  <si>
    <t>k4 =</t>
  </si>
  <si>
    <t>chevilles à expansion à déformation contrôlée</t>
  </si>
  <si>
    <t>chevilles à expansion à couple contrôlé et chevilles à scellement et expansion</t>
  </si>
  <si>
    <t>chevilles à verrouillage de forme et vis à béton</t>
  </si>
  <si>
    <t>chevilles à scellement, boulons à tête</t>
  </si>
  <si>
    <t>NON</t>
  </si>
  <si>
    <t>i</t>
  </si>
  <si>
    <r>
      <t>F</t>
    </r>
    <r>
      <rPr>
        <vertAlign val="subscript"/>
        <sz val="11"/>
        <color theme="1"/>
        <rFont val="Calibri"/>
        <family val="2"/>
        <scheme val="minor"/>
      </rPr>
      <t>ti,Ed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</si>
  <si>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ti,eff,Rd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</si>
  <si>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ti,Rd</t>
    </r>
  </si>
  <si>
    <r>
      <t>d</t>
    </r>
    <r>
      <rPr>
        <vertAlign val="subscript"/>
        <sz val="11"/>
        <color theme="1"/>
        <rFont val="Calibri"/>
        <family val="2"/>
        <scheme val="minor"/>
      </rPr>
      <t>i</t>
    </r>
  </si>
  <si>
    <t>Exc e =</t>
  </si>
  <si>
    <r>
      <t>S</t>
    </r>
    <r>
      <rPr>
        <vertAlign val="subscript"/>
        <sz val="11"/>
        <color theme="1"/>
        <rFont val="Calibri"/>
        <family val="2"/>
        <scheme val="minor"/>
      </rPr>
      <t>i</t>
    </r>
  </si>
  <si>
    <t>OUI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</si>
  <si>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</si>
  <si>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 Σ(d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x F</t>
    </r>
    <r>
      <rPr>
        <vertAlign val="subscript"/>
        <sz val="11"/>
        <color theme="1"/>
        <rFont val="Calibri"/>
        <family val="2"/>
        <scheme val="minor"/>
      </rPr>
      <t>ti,eff,Rd</t>
    </r>
    <r>
      <rPr>
        <sz val="11"/>
        <color theme="1"/>
        <rFont val="Calibri"/>
        <family val="2"/>
        <scheme val="minor"/>
      </rPr>
      <t>) =</t>
    </r>
  </si>
  <si>
    <r>
      <t>N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</si>
  <si>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</si>
  <si>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</si>
  <si>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color theme="1"/>
        <rFont val="Calibri"/>
        <family val="2"/>
        <scheme val="minor"/>
      </rPr>
      <t>ef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</si>
  <si>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</si>
  <si>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pl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</si>
  <si>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</si>
  <si>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</si>
  <si>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1,1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</si>
  <si>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2,1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</si>
  <si>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</si>
  <si>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2,2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</si>
  <si>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</si>
  <si>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</si>
  <si>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Efforts</t>
  </si>
  <si>
    <t>Première ligne de Tiges est extérieure</t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</si>
  <si>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</si>
  <si>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</si>
  <si>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t>Situation</t>
  </si>
  <si>
    <t>permante et transitoire</t>
  </si>
  <si>
    <t>accidentelle</t>
  </si>
  <si>
    <t>sismique</t>
  </si>
  <si>
    <r>
      <t>γ</t>
    </r>
    <r>
      <rPr>
        <vertAlign val="subscript"/>
        <sz val="11"/>
        <color theme="1"/>
        <rFont val="Calibri"/>
        <family val="2"/>
        <scheme val="minor"/>
      </rPr>
      <t>Ms,re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</si>
  <si>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</si>
  <si>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</si>
  <si>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inst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</si>
  <si>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</si>
  <si>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</t>
    </r>
  </si>
  <si>
    <t>fuk/fyk</t>
  </si>
  <si>
    <t>fuk</t>
  </si>
  <si>
    <t>fyk</t>
  </si>
  <si>
    <r>
      <t>γ</t>
    </r>
    <r>
      <rPr>
        <vertAlign val="subscript"/>
        <sz val="11"/>
        <color theme="1"/>
        <rFont val="Calibri"/>
        <family val="2"/>
        <scheme val="minor"/>
      </rPr>
      <t>Ms,t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</si>
  <si>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 xml:space="preserve"> =</t>
    </r>
  </si>
  <si>
    <t>fyk/fuk</t>
  </si>
  <si>
    <t>hef =</t>
  </si>
  <si>
    <r>
      <t>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x γ</t>
    </r>
    <r>
      <rPr>
        <vertAlign val="subscript"/>
        <sz val="11"/>
        <color theme="1"/>
        <rFont val="Calibri"/>
        <family val="2"/>
        <scheme val="minor"/>
      </rPr>
      <t>inst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</si>
  <si>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</si>
  <si>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</si>
  <si>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ck</t>
    </r>
    <r>
      <rPr>
        <i/>
        <sz val="11"/>
        <color theme="1"/>
        <rFont val="Calibri"/>
        <family val="2"/>
        <scheme val="minor"/>
      </rPr>
      <t xml:space="preserve"> =</t>
    </r>
  </si>
  <si>
    <t xml:space="preserve"> (NF EN1992-4 §7.2.1.5)</t>
  </si>
  <si>
    <t>k2 =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</si>
  <si>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</si>
  <si>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 xml:space="preserve"> =</t>
    </r>
  </si>
  <si>
    <t>CdG M</t>
  </si>
  <si>
    <t>CdG N</t>
  </si>
  <si>
    <t>vérouillage de forme</t>
  </si>
  <si>
    <t>scellement</t>
  </si>
  <si>
    <t>expansion</t>
  </si>
  <si>
    <t>expansion/scellement</t>
  </si>
  <si>
    <r>
      <t>k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=</t>
    </r>
  </si>
  <si>
    <t>Rupture de l'acier de la fixation avec bras de levier</t>
  </si>
  <si>
    <t xml:space="preserve"> (NF EN1992-4 §7.2.2.3.2)</t>
  </si>
  <si>
    <t>k5 =</t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</si>
  <si>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</si>
  <si>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</si>
  <si>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9</t>
    </r>
    <r>
      <rPr>
        <sz val="11"/>
        <color theme="1"/>
        <rFont val="Calibri"/>
        <family val="2"/>
        <scheme val="minor"/>
      </rPr>
      <t xml:space="preserve"> =</t>
    </r>
  </si>
  <si>
    <t>k8 =</t>
  </si>
  <si>
    <t>k9 =</t>
  </si>
  <si>
    <t>Rupture combinée du béton et par extraction-glissement</t>
  </si>
  <si>
    <t>Rupture par extraction-glissement</t>
  </si>
  <si>
    <r>
      <t>N</t>
    </r>
    <r>
      <rPr>
        <vertAlign val="subscript"/>
        <sz val="12"/>
        <color theme="1"/>
        <rFont val="Calibri"/>
        <family val="2"/>
        <scheme val="minor"/>
      </rPr>
      <t>Rk,p</t>
    </r>
    <r>
      <rPr>
        <sz val="12"/>
        <color theme="1"/>
        <rFont val="Calibri"/>
        <family val="2"/>
        <scheme val="minor"/>
      </rPr>
      <t xml:space="preserve"> = k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 xml:space="preserve"> * A</t>
    </r>
    <r>
      <rPr>
        <vertAlign val="subscript"/>
        <sz val="12"/>
        <color theme="1"/>
        <rFont val="Calibri"/>
        <family val="2"/>
        <scheme val="minor"/>
      </rPr>
      <t>h</t>
    </r>
    <r>
      <rPr>
        <sz val="12"/>
        <color theme="1"/>
        <rFont val="Calibri"/>
        <family val="2"/>
        <scheme val="minor"/>
      </rPr>
      <t xml:space="preserve"> * f</t>
    </r>
    <r>
      <rPr>
        <vertAlign val="subscript"/>
        <sz val="12"/>
        <color theme="1"/>
        <rFont val="Calibri"/>
        <family val="2"/>
        <scheme val="minor"/>
      </rPr>
      <t>ck</t>
    </r>
    <r>
      <rPr>
        <sz val="12"/>
        <color theme="1"/>
        <rFont val="Calibri"/>
        <family val="2"/>
        <scheme val="minor"/>
      </rPr>
      <t xml:space="preserve"> =</t>
    </r>
  </si>
  <si>
    <t>hmin =</t>
  </si>
  <si>
    <r>
      <t>h</t>
    </r>
    <r>
      <rPr>
        <vertAlign val="subscript"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</si>
  <si>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cr,sp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</si>
  <si>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cr,sp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</si>
  <si>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cr,Np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</si>
  <si>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cr,Np</t>
    </r>
    <r>
      <rPr>
        <sz val="11"/>
        <color theme="1"/>
        <rFont val="Calibri"/>
        <family val="2"/>
        <scheme val="minor"/>
      </rPr>
      <t xml:space="preserve"> =</t>
    </r>
  </si>
  <si>
    <t>Scr,sp1</t>
  </si>
  <si>
    <t>Scr,sp2</t>
  </si>
  <si>
    <t>Vérification des sections d'armatures</t>
  </si>
  <si>
    <r>
      <t>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</si>
  <si>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C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</si>
  <si>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c,Nb</t>
    </r>
    <r>
      <rPr>
        <sz val="11"/>
        <color theme="1"/>
        <rFont val="Calibri"/>
        <family val="2"/>
        <scheme val="minor"/>
      </rPr>
      <t xml:space="preserve"> = </t>
    </r>
  </si>
  <si>
    <r>
      <t>A</t>
    </r>
    <r>
      <rPr>
        <vertAlign val="subscript"/>
        <sz val="11"/>
        <color theme="1"/>
        <rFont val="Calibri"/>
        <family val="2"/>
        <scheme val="minor"/>
      </rPr>
      <t>c,Nb</t>
    </r>
    <r>
      <rPr>
        <sz val="11"/>
        <color theme="1"/>
        <rFont val="Calibri"/>
        <family val="2"/>
        <scheme val="minor"/>
      </rPr>
      <t xml:space="preserve"> = </t>
    </r>
  </si>
  <si>
    <r>
      <t>2*C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</si>
  <si>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f + 2*C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</si>
  <si>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min{2*C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>;C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>} =</t>
    </r>
  </si>
  <si>
    <r>
      <t>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 xml:space="preserve"> + S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 xml:space="preserve"> + min{2*C</t>
    </r>
    <r>
      <rPr>
        <vertAlign val="subscript"/>
        <sz val="10.5"/>
        <color theme="1"/>
        <rFont val="Calibri"/>
        <family val="2"/>
        <scheme val="minor"/>
      </rPr>
      <t>1</t>
    </r>
    <r>
      <rPr>
        <sz val="10.5"/>
        <color theme="1"/>
        <rFont val="Calibri"/>
        <family val="2"/>
        <scheme val="minor"/>
      </rPr>
      <t>;C</t>
    </r>
    <r>
      <rPr>
        <vertAlign val="subscript"/>
        <sz val="10.5"/>
        <color theme="1"/>
        <rFont val="Calibri"/>
        <family val="2"/>
        <scheme val="minor"/>
      </rPr>
      <t>2</t>
    </r>
    <r>
      <rPr>
        <sz val="10.5"/>
        <color theme="1"/>
        <rFont val="Calibri"/>
        <family val="2"/>
        <scheme val="minor"/>
      </rPr>
      <t>} =</t>
    </r>
  </si>
  <si>
    <t>Hypothèse non Normative</t>
  </si>
  <si>
    <r>
      <t>l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</si>
  <si>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</si>
  <si>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</si>
  <si>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*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</si>
  <si>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</si>
  <si>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* V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</si>
  <si>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yb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</si>
  <si>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M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* (1 - N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/ N</t>
    </r>
    <r>
      <rPr>
        <vertAlign val="subscript"/>
        <sz val="11"/>
        <color theme="1"/>
        <rFont val="Calibri"/>
        <family val="2"/>
        <scheme val="minor"/>
      </rPr>
      <t>Rd,s</t>
    </r>
    <r>
      <rPr>
        <sz val="11"/>
        <color theme="1"/>
        <rFont val="Calibri"/>
        <family val="2"/>
        <scheme val="minor"/>
      </rPr>
      <t>) =</t>
    </r>
  </si>
  <si>
    <r>
      <t>M</t>
    </r>
    <r>
      <rPr>
        <vertAlign val="superscript"/>
        <sz val="11"/>
        <color theme="1"/>
        <rFont val="Calibri"/>
        <family val="2"/>
        <scheme val="minor"/>
      </rPr>
      <t>0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= f</t>
    </r>
    <r>
      <rPr>
        <vertAlign val="subscript"/>
        <sz val="11"/>
        <color theme="1"/>
        <rFont val="Calibri"/>
        <family val="2"/>
        <scheme val="minor"/>
      </rPr>
      <t>yb</t>
    </r>
    <r>
      <rPr>
        <sz val="11"/>
        <color theme="1"/>
        <rFont val="Calibri"/>
        <family val="2"/>
        <scheme val="minor"/>
      </rPr>
      <t xml:space="preserve"> * d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/ 6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</si>
  <si>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Rd,s</t>
    </r>
    <r>
      <rPr>
        <sz val="11"/>
        <color theme="1"/>
        <rFont val="Calibri"/>
        <family val="2"/>
        <scheme val="minor"/>
      </rPr>
      <t xml:space="preserve"> = N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 xml:space="preserve"> =</t>
    </r>
  </si>
  <si>
    <t>Résistance pour une tige</t>
  </si>
  <si>
    <t>Droite</t>
  </si>
  <si>
    <t>tp =</t>
  </si>
  <si>
    <r>
      <t>0.25 * h</t>
    </r>
    <r>
      <rPr>
        <vertAlign val="subscript"/>
        <sz val="11"/>
        <color theme="1"/>
        <rFont val="Calibri"/>
        <family val="2"/>
        <scheme val="minor"/>
      </rPr>
      <t>ef</t>
    </r>
    <r>
      <rPr>
        <sz val="11"/>
        <color theme="1"/>
        <rFont val="Calibri"/>
        <family val="2"/>
        <scheme val="minor"/>
      </rPr>
      <t xml:space="preserve"> =</t>
    </r>
  </si>
  <si>
    <t>Fed =</t>
  </si>
  <si>
    <r>
      <t>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C</t>
    </r>
    <r>
      <rPr>
        <vertAlign val="subscript"/>
        <sz val="11"/>
        <color theme="1"/>
        <rFont val="Calibri"/>
        <family val="2"/>
        <scheme val="minor"/>
      </rPr>
      <t>2,1</t>
    </r>
    <r>
      <rPr>
        <sz val="11"/>
        <color theme="1"/>
        <rFont val="Calibri"/>
        <family val="2"/>
        <scheme val="minor"/>
      </rPr>
      <t xml:space="preserve"> =</t>
    </r>
  </si>
  <si>
    <t>Béton fissuré sans renforcement de bord</t>
  </si>
  <si>
    <t>Béton fissuré avec renforcement de bord</t>
  </si>
  <si>
    <r>
      <t>e</t>
    </r>
    <r>
      <rPr>
        <vertAlign val="subscript"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 =</t>
    </r>
  </si>
  <si>
    <t>V0.9d</t>
  </si>
  <si>
    <t>28/12/2022</t>
  </si>
  <si>
    <t>EN1992-4</t>
  </si>
  <si>
    <t>Feuille 14</t>
  </si>
  <si>
    <r>
      <t>F</t>
    </r>
    <r>
      <rPr>
        <vertAlign val="subscript"/>
        <sz val="11"/>
        <color theme="1"/>
        <rFont val="Calibri"/>
        <family val="2"/>
        <scheme val="minor"/>
      </rPr>
      <t>t,Rd</t>
    </r>
    <r>
      <rPr>
        <sz val="11"/>
        <color theme="1"/>
        <rFont val="Calibri"/>
        <family val="2"/>
        <scheme val="minor"/>
      </rPr>
      <t xml:space="preserve"> =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 xml:space="preserve"> /γ</t>
    </r>
    <r>
      <rPr>
        <vertAlign val="subscript"/>
        <sz val="11"/>
        <color theme="1"/>
        <rFont val="Calibri"/>
        <family val="2"/>
        <scheme val="minor"/>
      </rPr>
      <t>Ms,t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</si>
  <si>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Rk,c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</si>
  <si>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Mp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</si>
  <si>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Rk,sp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Msp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</si>
  <si>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Rk,cb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</si>
  <si>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</si>
  <si>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Rk,s,M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Ms,v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</si>
  <si>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Rk,cp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>=</t>
    </r>
  </si>
  <si>
    <r>
      <t>V</t>
    </r>
    <r>
      <rPr>
        <vertAlign val="subscript"/>
        <sz val="11"/>
        <color theme="1"/>
        <rFont val="Calibri"/>
        <family val="2"/>
        <scheme val="minor"/>
      </rPr>
      <t>Rk,c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Mc</t>
    </r>
    <r>
      <rPr>
        <sz val="11"/>
        <color theme="1"/>
        <rFont val="Calibri"/>
        <family val="2"/>
        <scheme val="minor"/>
      </rPr>
      <t>=</t>
    </r>
  </si>
  <si>
    <t>Correction des ruines du béton selon NF EN 1992-4</t>
  </si>
  <si>
    <t>Ajout coefficients partiels</t>
  </si>
  <si>
    <t>Correction de la contrainte admissible tau,ucr et tau,cr</t>
  </si>
  <si>
    <t>30/12/2022</t>
  </si>
  <si>
    <t>Hypothèse tau,ucr et tau,cr non Normative</t>
  </si>
  <si>
    <t>V0.9e</t>
  </si>
  <si>
    <t>Composants</t>
  </si>
  <si>
    <t>Feuille 15</t>
  </si>
  <si>
    <t>Feuille 16</t>
  </si>
  <si>
    <t>Rigidité</t>
  </si>
  <si>
    <t>V1.0a</t>
  </si>
  <si>
    <t>Ajout des coefficients de rigidité ki</t>
  </si>
  <si>
    <r>
      <t>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</si>
  <si>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 0.38 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/ β z =</t>
    </r>
  </si>
  <si>
    <t>où</t>
  </si>
  <si>
    <t>β =</t>
  </si>
  <si>
    <t>z =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</si>
  <si>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0.7 b</t>
    </r>
    <r>
      <rPr>
        <vertAlign val="subscript"/>
        <sz val="11"/>
        <color theme="1"/>
        <rFont val="Calibri"/>
        <family val="2"/>
        <scheme val="minor"/>
      </rPr>
      <t>eff,c,wc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</si>
  <si>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eff,c,wc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</si>
  <si>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</si>
  <si>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</si>
  <si>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eff,t,wc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</si>
  <si>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 0.7 b</t>
    </r>
    <r>
      <rPr>
        <vertAlign val="subscript"/>
        <sz val="11"/>
        <color theme="1"/>
        <rFont val="Calibri"/>
        <family val="2"/>
        <scheme val="minor"/>
      </rPr>
      <t>eff,t,wc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</si>
  <si>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fc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</si>
  <si>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</si>
  <si>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fc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</si>
  <si>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</si>
  <si>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= 0.9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a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</si>
  <si>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</si>
  <si>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= 1.6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</si>
  <si>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Boulons en cisaillement</t>
  </si>
  <si>
    <r>
      <t>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</si>
  <si>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(ou k</t>
    </r>
    <r>
      <rPr>
        <vertAlign val="subscript"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>) = 16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d²f</t>
    </r>
    <r>
      <rPr>
        <vertAlign val="subscript"/>
        <sz val="11"/>
        <color theme="1"/>
        <rFont val="Calibri"/>
        <family val="2"/>
        <scheme val="minor"/>
      </rPr>
      <t>ub</t>
    </r>
    <r>
      <rPr>
        <sz val="11"/>
        <color theme="1"/>
        <rFont val="Calibri"/>
        <family val="2"/>
        <scheme val="minor"/>
      </rPr>
      <t>/ E d</t>
    </r>
    <r>
      <rPr>
        <vertAlign val="subscript"/>
        <sz val="11"/>
        <color theme="1"/>
        <rFont val="Calibri"/>
        <family val="2"/>
        <scheme val="minor"/>
      </rPr>
      <t>M16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</si>
  <si>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(ou k</t>
    </r>
    <r>
      <rPr>
        <vertAlign val="sub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) = 24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k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df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 E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</si>
  <si>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b1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</si>
  <si>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b1</t>
    </r>
    <r>
      <rPr>
        <sz val="11"/>
        <color theme="1"/>
        <rFont val="Calibri"/>
        <family val="2"/>
        <scheme val="minor"/>
      </rPr>
      <t xml:space="preserve"> = 0.25 e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/d + 0.5=</t>
    </r>
  </si>
  <si>
    <t>avec</t>
  </si>
  <si>
    <r>
      <t>e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</si>
  <si>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</si>
  <si>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b2</t>
    </r>
    <r>
      <rPr>
        <sz val="11"/>
        <color theme="1"/>
        <rFont val="Calibri"/>
        <family val="2"/>
        <scheme val="minor"/>
      </rPr>
      <t xml:space="preserve"> = 0.25 p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/d + 0.375 =</t>
    </r>
  </si>
  <si>
    <r>
      <t>t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</si>
  <si>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= 1.5 t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>/ d</t>
    </r>
    <r>
      <rPr>
        <vertAlign val="subscript"/>
        <sz val="11"/>
        <color theme="1"/>
        <rFont val="Calibri"/>
        <family val="2"/>
        <scheme val="minor"/>
      </rPr>
      <t>M16</t>
    </r>
    <r>
      <rPr>
        <sz val="11"/>
        <color theme="1"/>
        <rFont val="Calibri"/>
        <family val="2"/>
        <scheme val="minor"/>
      </rPr>
      <t xml:space="preserve"> =</t>
    </r>
  </si>
  <si>
    <t>mais  ≤ 1.25</t>
  </si>
  <si>
    <t>mais  ≤ 2.5</t>
  </si>
  <si>
    <r>
      <t>mais  ≤ k</t>
    </r>
    <r>
      <rPr>
        <vertAlign val="subscript"/>
        <sz val="11"/>
        <color theme="1"/>
        <rFont val="Calibri"/>
        <family val="2"/>
        <scheme val="minor"/>
      </rPr>
      <t>b2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</si>
  <si>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</si>
  <si>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= 0.85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</si>
  <si>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15</t>
    </r>
    <r>
      <rPr>
        <sz val="11"/>
        <color theme="1"/>
        <rFont val="Calibri"/>
        <family val="2"/>
        <scheme val="minor"/>
      </rPr>
      <t xml:space="preserve"> = 0.425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t</t>
    </r>
    <r>
      <rPr>
        <vertAlign val="subscript"/>
        <sz val="11"/>
        <color theme="1"/>
        <rFont val="Calibri"/>
        <family val="2"/>
        <scheme val="minor"/>
      </rPr>
      <t>p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/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</si>
  <si>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= 1.6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</si>
  <si>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</si>
  <si>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16</t>
    </r>
    <r>
      <rPr>
        <sz val="11"/>
        <color theme="1"/>
        <rFont val="Calibri"/>
        <family val="2"/>
        <scheme val="minor"/>
      </rPr>
      <t xml:space="preserve"> = 2.0 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</si>
  <si>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8.8 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/ 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t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=</t>
    </r>
  </si>
  <si>
    <r>
      <t>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</si>
  <si>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</si>
  <si>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</si>
  <si>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11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</si>
  <si>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12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</si>
  <si>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17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</si>
  <si>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</si>
  <si>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[mm]</t>
    </r>
  </si>
  <si>
    <t>Type d'attache</t>
  </si>
  <si>
    <t>ψ =</t>
  </si>
  <si>
    <t>ψ</t>
  </si>
  <si>
    <t>Plaques d'assise de poteau</t>
  </si>
  <si>
    <t>μ =</t>
  </si>
  <si>
    <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8 d =</t>
    </r>
  </si>
  <si>
    <t>Poutre-poteau à cornières de semelle boulonnées</t>
  </si>
  <si>
    <t>Poutre-poteau à attaches soudées</t>
  </si>
  <si>
    <t>Poutre-poteau boulonné par platine d'about</t>
  </si>
  <si>
    <t>Continuité de poutre par platine d'about boulonnée</t>
  </si>
  <si>
    <t>Unilatéral</t>
  </si>
  <si>
    <t>Bilatéral - Moments égaux et opposés</t>
  </si>
  <si>
    <t>Bilatéral - Moments inégaux</t>
  </si>
  <si>
    <r>
      <t>Nombre de rangées de boulons tendus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</si>
  <si>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Revue Construction Métallique N°4-2010 : Flambement des doubles cornières selon méthode simplifiée</t>
  </si>
  <si>
    <t>k1 ; k2 ; k3</t>
  </si>
  <si>
    <t>k2 ; k3</t>
  </si>
  <si>
    <t>k1 ; k2 ; k3 ; k4 ; k6 ; k10 ; k11* ; k12**</t>
  </si>
  <si>
    <t>k2 ; k3 ; k4 ; k6 ; k10 ; k11* ; k12**</t>
  </si>
  <si>
    <t>k1 ; k2 ; k3 ; k4 ; k5 ; k10</t>
  </si>
  <si>
    <t>k2 ; k3 ; k4 ; k5 ; k10</t>
  </si>
  <si>
    <t>N/A</t>
  </si>
  <si>
    <t>k5,g ; k5,d ; k10</t>
  </si>
  <si>
    <t>k13 ; k15 ; k16</t>
  </si>
  <si>
    <r>
      <t>h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</si>
  <si>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4,r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</si>
  <si>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5,g,r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</si>
  <si>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5,d,r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</si>
  <si>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10,r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</si>
  <si>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15,r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</si>
  <si>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16,r</t>
    </r>
    <r>
      <rPr>
        <sz val="11"/>
        <color theme="1"/>
        <rFont val="Calibri"/>
        <family val="2"/>
        <scheme val="minor"/>
      </rPr>
      <t xml:space="preserve"> [mm]</t>
    </r>
  </si>
  <si>
    <t>Homogénisation de la charte graphique</t>
  </si>
  <si>
    <t>L'ojectif de cette feuille est de donner des outils pour vérifier rapidement les composants des assemblages.</t>
  </si>
  <si>
    <r>
      <t>k</t>
    </r>
    <r>
      <rPr>
        <vertAlign val="subscript"/>
        <sz val="11"/>
        <color theme="1"/>
        <rFont val="Calibri"/>
        <family val="2"/>
        <scheme val="minor"/>
      </rPr>
      <t>eff,r</t>
    </r>
    <r>
      <rPr>
        <sz val="11"/>
        <color theme="1"/>
        <rFont val="Calibri"/>
        <family val="2"/>
        <scheme val="minor"/>
      </rPr>
      <t xml:space="preserve"> [mm]</t>
    </r>
  </si>
  <si>
    <r>
      <t>k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</si>
  <si>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=</t>
    </r>
  </si>
  <si>
    <t>Feuille 17</t>
  </si>
  <si>
    <t>Ajout des onglets "Composants" ; "Rigidité" ; "CIDECT" ; "Efforts"</t>
  </si>
  <si>
    <r>
      <t>k</t>
    </r>
    <r>
      <rPr>
        <vertAlign val="subscript"/>
        <sz val="11"/>
        <color theme="1"/>
        <rFont val="Calibri"/>
        <family val="2"/>
        <scheme val="minor"/>
      </rPr>
      <t>3,r</t>
    </r>
    <r>
      <rPr>
        <sz val="11"/>
        <color theme="1"/>
        <rFont val="Calibri"/>
        <family val="2"/>
        <scheme val="minor"/>
      </rPr>
      <t xml:space="preserve"> [mm]</t>
    </r>
  </si>
  <si>
    <r>
      <t>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</si>
  <si>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NF EN 1992-4 (Septembre 2018) : </t>
    </r>
    <r>
      <rPr>
        <sz val="10.5"/>
        <color theme="1"/>
        <rFont val="Calibri"/>
        <family val="2"/>
        <scheme val="minor"/>
      </rPr>
      <t>Calcul des structures en Béton : Conception et calcul des éléments de fixation pour béton</t>
    </r>
  </si>
  <si>
    <t>2/3 MRd</t>
  </si>
  <si>
    <t xml:space="preserve"> MRd</t>
  </si>
  <si>
    <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</si>
  <si>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j,rig</t>
    </r>
  </si>
  <si>
    <r>
      <t>S</t>
    </r>
    <r>
      <rPr>
        <vertAlign val="subscript"/>
        <sz val="11"/>
        <color theme="1"/>
        <rFont val="Calibri"/>
        <family val="2"/>
        <scheme val="minor"/>
      </rPr>
      <t>j,pin</t>
    </r>
  </si>
  <si>
    <r>
      <t>cm</t>
    </r>
    <r>
      <rPr>
        <vertAlign val="superscript"/>
        <sz val="11"/>
        <color theme="1"/>
        <rFont val="Calibri"/>
        <family val="2"/>
        <scheme val="minor"/>
      </rPr>
      <t>4</t>
    </r>
  </si>
  <si>
    <r>
      <t>ρ = 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h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I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 </t>
    </r>
  </si>
  <si>
    <r>
      <t>S</t>
    </r>
    <r>
      <rPr>
        <vertAlign val="subscript"/>
        <sz val="11"/>
        <color theme="1"/>
        <rFont val="Calibri"/>
        <family val="2"/>
        <scheme val="minor"/>
      </rPr>
      <t>j,rig</t>
    </r>
    <r>
      <rPr>
        <sz val="11"/>
        <color theme="1"/>
        <rFont val="Calibri"/>
        <family val="2"/>
        <scheme val="minor"/>
      </rPr>
      <t xml:space="preserve"> = 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EI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</si>
  <si>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Assemblage de continuité au droit d'appuis intermédiaires</t>
  </si>
  <si>
    <t>Assemblage de continuité de traverse de portique si la flèche est critique</t>
  </si>
  <si>
    <t>Assemblage de continuité de traverse de portique si la flèche n'est pas critique</t>
  </si>
  <si>
    <t>Assemblage poutre-poteau de portique non contreventé</t>
  </si>
  <si>
    <t>Assemblage poutre-poteau de portique contreventé</t>
  </si>
  <si>
    <t>Structure contreventée : cas général</t>
  </si>
  <si>
    <t>Structure non contreventée : cas général</t>
  </si>
  <si>
    <t>Assemblage d'encastrement d'une console si la flèche est critique</t>
  </si>
  <si>
    <r>
      <t>μ</t>
    </r>
    <r>
      <rPr>
        <vertAlign val="subscript"/>
        <sz val="11"/>
        <color rgb="FF222222"/>
        <rFont val="Calibri"/>
        <family val="2"/>
        <scheme val="minor"/>
      </rPr>
      <t>max</t>
    </r>
  </si>
  <si>
    <t xml:space="preserve"> MEd</t>
  </si>
  <si>
    <r>
      <t>S</t>
    </r>
    <r>
      <rPr>
        <vertAlign val="subscript"/>
        <sz val="11"/>
        <color theme="1"/>
        <rFont val="Calibri"/>
        <family val="2"/>
        <scheme val="minor"/>
      </rPr>
      <t>j,pin</t>
    </r>
    <r>
      <rPr>
        <sz val="11"/>
        <color theme="1"/>
        <rFont val="Calibri"/>
        <family val="2"/>
        <scheme val="minor"/>
      </rPr>
      <t xml:space="preserve"> = EI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2L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</si>
  <si>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j,ini</t>
    </r>
  </si>
  <si>
    <t>Ajout du calcul de rigidité en rotation</t>
  </si>
  <si>
    <r>
      <t>où       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</si>
  <si>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</si>
  <si>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Béton :</t>
  </si>
  <si>
    <r>
      <t>k</t>
    </r>
    <r>
      <rPr>
        <vertAlign val="subscript"/>
        <sz val="11"/>
        <color theme="1"/>
        <rFont val="Calibri"/>
        <family val="2"/>
        <scheme val="minor"/>
      </rPr>
      <t>13</t>
    </r>
    <r>
      <rPr>
        <sz val="11"/>
        <color theme="1"/>
        <rFont val="Calibri"/>
        <family val="2"/>
        <scheme val="minor"/>
      </rPr>
      <t xml:space="preserve"> = E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√b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l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>/ 1.275E =</t>
    </r>
  </si>
  <si>
    <t>Données : Revue CM N°4 - 2018</t>
  </si>
  <si>
    <r>
      <t xml:space="preserve">Boulons en pression diamétrale </t>
    </r>
    <r>
      <rPr>
        <u/>
        <sz val="10"/>
        <color theme="1"/>
        <rFont val="Calibri"/>
        <family val="2"/>
        <scheme val="minor"/>
      </rPr>
      <t>(sur semelle de poutre, semelle de poteau, platine d'about ou cornière)</t>
    </r>
  </si>
  <si>
    <t>Béton comprimé y compris le mortier de calage</t>
  </si>
  <si>
    <t>Plaque d'assise fléchie sous l'effet de la traction</t>
  </si>
  <si>
    <t>Boulons d'ancrage tendus</t>
  </si>
  <si>
    <t>Boulons d'ancrage en cisaillement</t>
  </si>
  <si>
    <t>Boulons d'ancrage en pression diamétrale</t>
  </si>
  <si>
    <t>Jarret de poutre</t>
  </si>
  <si>
    <t>Plaque d'assise fléchie sous l'effet de la compression</t>
  </si>
  <si>
    <t>Boulons tendus avec cornière de semelle</t>
  </si>
  <si>
    <t xml:space="preserve"> (NF EN1993-1-8)</t>
  </si>
  <si>
    <t xml:space="preserve"> (NF EN1993-1-1 §6.2)</t>
  </si>
  <si>
    <t xml:space="preserve"> (NF EN1993-1-8 §6.2.6.7)</t>
  </si>
  <si>
    <t xml:space="preserve"> (NF EN1993-1-8 §6.2.6.8)</t>
  </si>
  <si>
    <t xml:space="preserve"> (NF EN1993-1-8 §6.2.6.6)</t>
  </si>
  <si>
    <t xml:space="preserve"> (NF EN1993-1-8 §6.2.6.5)</t>
  </si>
  <si>
    <t xml:space="preserve"> (NF EN1993-1-8 §6.2.6.2)</t>
  </si>
  <si>
    <t xml:space="preserve"> (NF EN1993-1-8 §6.2.6.3)</t>
  </si>
  <si>
    <t xml:space="preserve"> (NF EN1993-1-8 §3.6)</t>
  </si>
  <si>
    <t xml:space="preserve"> (NF EN1993-1-8 §6.2.6.9)</t>
  </si>
  <si>
    <t xml:space="preserve"> (NF EN1993-1-8 §6.2.6.10)</t>
  </si>
  <si>
    <t xml:space="preserve"> (NF EN1993-1-8 §6.2.6.11)</t>
  </si>
  <si>
    <t xml:space="preserve"> (NF EN1993-1-8 §6.2.6.12)</t>
  </si>
  <si>
    <t xml:space="preserve"> (NF EN1993-1-8 §6.2.2)</t>
  </si>
  <si>
    <t xml:space="preserve"> (NF EN1993-1-8 §4)</t>
  </si>
  <si>
    <t>Voir onglet "T Tendus"</t>
  </si>
  <si>
    <t>Boulons tendus avec semelle de poteau ou avec platine d'about</t>
  </si>
  <si>
    <t xml:space="preserve"> (NF EN1993-1-8 §6.2.6.4-5)</t>
  </si>
  <si>
    <t xml:space="preserve">La présente Feuille a été créée par </t>
  </si>
  <si>
    <t>http://coursconstructionacier.fr</t>
  </si>
  <si>
    <t>et est sous licence</t>
  </si>
  <si>
    <t>CreativeCommon</t>
  </si>
  <si>
    <t xml:space="preserve">Merci de me contacter à </t>
  </si>
  <si>
    <t>cours.constructionacier@gmail.com</t>
  </si>
  <si>
    <t>pour signaler toute erreur dans cette feuille.</t>
  </si>
  <si>
    <t>Revue Construction Métallique N°4-2018 : Analyse et amélioration des limites de rigidité des assemblages</t>
  </si>
  <si>
    <t>07/01/2023</t>
  </si>
  <si>
    <t>V1.0b</t>
  </si>
  <si>
    <r>
      <t>M</t>
    </r>
    <r>
      <rPr>
        <vertAlign val="subscript"/>
        <sz val="11"/>
        <color theme="1"/>
        <rFont val="Calibri"/>
        <family val="2"/>
        <scheme val="minor"/>
      </rPr>
      <t>Ed,Exc</t>
    </r>
    <r>
      <rPr>
        <sz val="11"/>
        <color theme="1"/>
        <rFont val="Calibri"/>
        <family val="2"/>
        <scheme val="minor"/>
      </rPr>
      <t xml:space="preserve"> =</t>
    </r>
  </si>
  <si>
    <r>
      <t>Nombre de boulons par ligne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</si>
  <si>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i,Ed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</si>
  <si>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r</t>
    </r>
  </si>
  <si>
    <r>
      <t>S</t>
    </r>
    <r>
      <rPr>
        <vertAlign val="subscript"/>
        <sz val="11"/>
        <color theme="1"/>
        <rFont val="Calibri"/>
        <family val="2"/>
        <scheme val="minor"/>
      </rPr>
      <t>r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</si>
  <si>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</si>
  <si>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tr,eff,Rd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</si>
  <si>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tr,Ed</t>
    </r>
  </si>
  <si>
    <t>Cisaillement par boulon :</t>
  </si>
  <si>
    <r>
      <t>F</t>
    </r>
    <r>
      <rPr>
        <vertAlign val="subscript"/>
        <sz val="11"/>
        <color theme="1"/>
        <rFont val="Calibri"/>
        <family val="2"/>
        <scheme val="minor"/>
      </rPr>
      <t>t1,i,Ed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</si>
  <si>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t10,i,Ed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</si>
  <si>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t9,i,Ed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</si>
  <si>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t2,i,Ed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</si>
  <si>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t3,i,Ed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</si>
  <si>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t4,i,Ed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</si>
  <si>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t5,i,Ed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</si>
  <si>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t6,i,Ed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</si>
  <si>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t7,i,Ed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</si>
  <si>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t8,i,Ed</t>
    </r>
  </si>
  <si>
    <t>Traction par boulon [daN] :</t>
  </si>
  <si>
    <t>Efforts dans les boulons d'une platine d'about fléchie</t>
  </si>
  <si>
    <t xml:space="preserve">Efforts dans les boulons d'une éclisse </t>
  </si>
  <si>
    <r>
      <t>Nombre de ligne : N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</si>
  <si>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</si>
  <si>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t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</si>
  <si>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t>69ε =</t>
  </si>
  <si>
    <r>
      <t>f</t>
    </r>
    <r>
      <rPr>
        <vertAlign val="subscript"/>
        <sz val="11"/>
        <rFont val="Calibri"/>
        <family val="2"/>
        <scheme val="minor"/>
      </rPr>
      <t>y,wc</t>
    </r>
    <r>
      <rPr>
        <sz val="11"/>
        <rFont val="Calibri"/>
        <family val="2"/>
        <scheme val="minor"/>
      </rPr>
      <t xml:space="preserve"> =</t>
    </r>
  </si>
  <si>
    <r>
      <t>ε = √235/f</t>
    </r>
    <r>
      <rPr>
        <vertAlign val="subscript"/>
        <sz val="11"/>
        <color theme="1"/>
        <rFont val="Calibri"/>
        <family val="2"/>
        <scheme val="minor"/>
      </rPr>
      <t>y,wc</t>
    </r>
    <r>
      <rPr>
        <sz val="11"/>
        <color theme="1"/>
        <rFont val="Calibri"/>
        <family val="2"/>
        <scheme val="minor"/>
      </rPr>
      <t xml:space="preserve"> =</t>
    </r>
  </si>
  <si>
    <t>Résistance des platines de Sabots</t>
  </si>
  <si>
    <t>Résistance des assises de Sabots</t>
  </si>
  <si>
    <t>F =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</si>
  <si>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Fa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</si>
  <si>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</si>
  <si>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pl</t>
    </r>
    <r>
      <rPr>
        <sz val="11"/>
        <color theme="1"/>
        <rFont val="Calibri"/>
        <family val="2"/>
        <scheme val="minor"/>
      </rPr>
      <t xml:space="preserve"> =</t>
    </r>
  </si>
  <si>
    <r>
      <t>cm</t>
    </r>
    <r>
      <rPr>
        <vertAlign val="superscript"/>
        <sz val="11"/>
        <color theme="1"/>
        <rFont val="Calibri"/>
        <family val="2"/>
        <scheme val="minor"/>
      </rPr>
      <t>3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</si>
  <si>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t,Ed</t>
    </r>
    <r>
      <rPr>
        <i/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</si>
  <si>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</si>
  <si>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</si>
  <si>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</si>
  <si>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0p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</si>
  <si>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</si>
  <si>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t>P =</t>
  </si>
  <si>
    <t>c =</t>
  </si>
  <si>
    <r>
      <t>h</t>
    </r>
    <r>
      <rPr>
        <vertAlign val="subscript"/>
        <sz val="11"/>
        <color theme="1"/>
        <rFont val="Calibri"/>
        <family val="2"/>
        <scheme val="minor"/>
      </rPr>
      <t>eff</t>
    </r>
    <r>
      <rPr>
        <sz val="11"/>
        <color theme="1"/>
        <rFont val="Calibri"/>
        <family val="2"/>
        <scheme val="minor"/>
      </rPr>
      <t xml:space="preserve"> =</t>
    </r>
  </si>
  <si>
    <t>NF EN 1993-1-8 §6.2.5(4)(5)(6)</t>
  </si>
  <si>
    <r>
      <t>B</t>
    </r>
    <r>
      <rPr>
        <vertAlign val="subscript"/>
        <sz val="11"/>
        <color theme="1"/>
        <rFont val="Calibri"/>
        <family val="2"/>
        <scheme val="minor"/>
      </rPr>
      <t>p,v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</si>
  <si>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p,h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</si>
  <si>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jd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</si>
  <si>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</si>
  <si>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 xml:space="preserve">c </t>
    </r>
    <r>
      <rPr>
        <sz val="11"/>
        <color theme="1"/>
        <rFont val="Calibri"/>
        <family val="2"/>
        <scheme val="minor"/>
      </rPr>
      <t>= (b+2</t>
    </r>
    <r>
      <rPr>
        <i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>(B</t>
    </r>
    <r>
      <rPr>
        <vertAlign val="subscript"/>
        <sz val="11"/>
        <color theme="1"/>
        <rFont val="Calibri"/>
        <family val="2"/>
        <scheme val="minor"/>
      </rPr>
      <t>p,h</t>
    </r>
    <r>
      <rPr>
        <sz val="11"/>
        <color theme="1"/>
        <rFont val="Calibri"/>
        <family val="2"/>
        <scheme val="minor"/>
      </rPr>
      <t>;C))*(C+t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+</t>
    </r>
    <r>
      <rPr>
        <i/>
        <sz val="11"/>
        <color theme="1"/>
        <rFont val="Calibri"/>
        <family val="2"/>
        <scheme val="minor"/>
      </rPr>
      <t>min</t>
    </r>
    <r>
      <rPr>
        <sz val="11"/>
        <color theme="1"/>
        <rFont val="Calibri"/>
        <family val="2"/>
        <scheme val="minor"/>
      </rPr>
      <t>(B</t>
    </r>
    <r>
      <rPr>
        <vertAlign val="subscript"/>
        <sz val="11"/>
        <color theme="1"/>
        <rFont val="Calibri"/>
        <family val="2"/>
        <scheme val="minor"/>
      </rPr>
      <t>p,v</t>
    </r>
    <r>
      <rPr>
        <sz val="11"/>
        <color theme="1"/>
        <rFont val="Calibri"/>
        <family val="2"/>
        <scheme val="minor"/>
      </rPr>
      <t>;C)) =</t>
    </r>
  </si>
  <si>
    <r>
      <t>C = t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* √{(f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(3f</t>
    </r>
    <r>
      <rPr>
        <vertAlign val="subscript"/>
        <sz val="11"/>
        <color theme="1"/>
        <rFont val="Calibri"/>
        <family val="2"/>
        <scheme val="minor"/>
      </rPr>
      <t>jd</t>
    </r>
    <r>
      <rPr>
        <sz val="11"/>
        <color theme="1"/>
        <rFont val="Calibri"/>
        <family val="2"/>
        <scheme val="minor"/>
      </rPr>
      <t>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>)} =</t>
    </r>
  </si>
  <si>
    <r>
      <t>F</t>
    </r>
    <r>
      <rPr>
        <vertAlign val="subscript"/>
        <sz val="11"/>
        <color theme="1"/>
        <rFont val="Calibri"/>
        <family val="2"/>
        <scheme val="minor"/>
      </rPr>
      <t>c,c,Rd</t>
    </r>
    <r>
      <rPr>
        <sz val="11"/>
        <color theme="1"/>
        <rFont val="Calibri"/>
        <family val="2"/>
        <scheme val="minor"/>
      </rPr>
      <t xml:space="preserve"> = A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* f</t>
    </r>
    <r>
      <rPr>
        <vertAlign val="subscript"/>
        <sz val="11"/>
        <color theme="1"/>
        <rFont val="Calibri"/>
        <family val="2"/>
        <scheme val="minor"/>
      </rPr>
      <t>cd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</si>
  <si>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</t>
    </r>
  </si>
  <si>
    <t>10/01/2023</t>
  </si>
  <si>
    <t>Ajout de la vérification à la pression localisée sur le béton</t>
  </si>
  <si>
    <t>Vérification des platines de Sabots</t>
  </si>
  <si>
    <t>Vérification des assises de Sabots</t>
  </si>
  <si>
    <t>Ajout de la vérification des platines de sabots (modèle par poutre sur deux appuis)</t>
  </si>
  <si>
    <t>Ajout de la vérification des assises de sabots (modèle par poutre sur deux appuis)</t>
  </si>
  <si>
    <t>V1.0c</t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</si>
  <si>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Fc /8 =</t>
    </r>
  </si>
  <si>
    <t xml:space="preserve"> (NF EN1993-1-8 §6.2.6.1 (2) )</t>
  </si>
  <si>
    <t xml:space="preserve"> (NF EN1993-1-8 §6.2.6.1 (4) )</t>
  </si>
  <si>
    <r>
      <t>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</si>
  <si>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</si>
  <si>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</si>
  <si>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pl,st,Rd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</si>
  <si>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</si>
  <si>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</si>
  <si>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</si>
  <si>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wp,Rd</t>
    </r>
    <r>
      <rPr>
        <sz val="11"/>
        <color theme="1"/>
        <rFont val="Calibri"/>
        <family val="2"/>
        <scheme val="minor"/>
      </rPr>
      <t xml:space="preserve"> = 0.9f</t>
    </r>
    <r>
      <rPr>
        <vertAlign val="subscript"/>
        <sz val="11"/>
        <color theme="1"/>
        <rFont val="Calibri"/>
        <family val="2"/>
        <scheme val="minor"/>
      </rPr>
      <t>y,wc</t>
    </r>
    <r>
      <rPr>
        <sz val="11"/>
        <color theme="1"/>
        <rFont val="Calibri"/>
        <family val="2"/>
        <scheme val="minor"/>
      </rPr>
      <t>A</t>
    </r>
    <r>
      <rPr>
        <vertAlign val="subscript"/>
        <sz val="11"/>
        <color theme="1"/>
        <rFont val="Calibri"/>
        <family val="2"/>
        <scheme val="minor"/>
      </rPr>
      <t>vc</t>
    </r>
    <r>
      <rPr>
        <sz val="11"/>
        <color theme="1"/>
        <rFont val="Calibri"/>
        <family val="2"/>
        <scheme val="minor"/>
      </rPr>
      <t xml:space="preserve"> / √3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+ 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</si>
  <si>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color theme="1"/>
        <rFont val="Calibri"/>
        <family val="2"/>
        <scheme val="minor"/>
      </rPr>
      <t>wp,add,Rd</t>
    </r>
    <r>
      <rPr>
        <sz val="11"/>
        <color theme="1"/>
        <rFont val="Calibri"/>
        <family val="2"/>
        <scheme val="minor"/>
      </rPr>
      <t xml:space="preserve"> = min{ 4M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/ 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; 2M</t>
    </r>
    <r>
      <rPr>
        <vertAlign val="subscript"/>
        <sz val="11"/>
        <color theme="1"/>
        <rFont val="Calibri"/>
        <family val="2"/>
        <scheme val="minor"/>
      </rPr>
      <t>pl,fc,Rd</t>
    </r>
    <r>
      <rPr>
        <sz val="11"/>
        <color theme="1"/>
        <rFont val="Calibri"/>
        <family val="2"/>
        <scheme val="minor"/>
      </rPr>
      <t xml:space="preserve"> + 2M</t>
    </r>
    <r>
      <rPr>
        <vertAlign val="subscript"/>
        <sz val="11"/>
        <color theme="1"/>
        <rFont val="Calibri"/>
        <family val="2"/>
        <scheme val="minor"/>
      </rPr>
      <t>pl,st,Rd</t>
    </r>
    <r>
      <rPr>
        <sz val="11"/>
        <color theme="1"/>
        <rFont val="Calibri"/>
        <family val="2"/>
        <scheme val="minor"/>
      </rPr>
      <t xml:space="preserve"> / d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} =</t>
    </r>
  </si>
  <si>
    <t xml:space="preserve"> (NF EN1993-1-8 §6.2.6.1 (6 à 13) )</t>
  </si>
  <si>
    <r>
      <t>40 ε t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 xml:space="preserve"> =</t>
    </r>
  </si>
  <si>
    <r>
      <t>b</t>
    </r>
    <r>
      <rPr>
        <vertAlign val="subscript"/>
        <sz val="11"/>
        <color theme="1"/>
        <rFont val="Calibri"/>
        <family val="2"/>
        <scheme val="minor"/>
      </rPr>
      <t>s</t>
    </r>
  </si>
  <si>
    <r>
      <t>d</t>
    </r>
    <r>
      <rPr>
        <vertAlign val="subscript"/>
        <sz val="11"/>
        <color theme="1"/>
        <rFont val="Calibri"/>
        <family val="2"/>
        <scheme val="minor"/>
      </rPr>
      <t>c</t>
    </r>
  </si>
  <si>
    <r>
      <t>t</t>
    </r>
    <r>
      <rPr>
        <vertAlign val="subscript"/>
        <sz val="11"/>
        <color theme="1"/>
        <rFont val="Calibri"/>
        <family val="2"/>
        <scheme val="minor"/>
      </rPr>
      <t>s</t>
    </r>
  </si>
  <si>
    <r>
      <t>t</t>
    </r>
    <r>
      <rPr>
        <vertAlign val="subscript"/>
        <sz val="11"/>
        <color theme="1"/>
        <rFont val="Calibri"/>
        <family val="2"/>
        <scheme val="minor"/>
      </rPr>
      <t>w</t>
    </r>
  </si>
  <si>
    <t>ω =</t>
  </si>
  <si>
    <r>
      <t>d</t>
    </r>
    <r>
      <rPr>
        <vertAlign val="subscript"/>
        <sz val="11"/>
        <rFont val="Calibri"/>
        <family val="2"/>
        <scheme val="minor"/>
      </rPr>
      <t>wc</t>
    </r>
    <r>
      <rPr>
        <sz val="11"/>
        <rFont val="Calibri"/>
        <family val="2"/>
        <scheme val="minor"/>
      </rPr>
      <t xml:space="preserve"> =</t>
    </r>
  </si>
  <si>
    <t>ρ =</t>
  </si>
  <si>
    <r>
      <t>L</t>
    </r>
    <r>
      <rPr>
        <vertAlign val="subscript"/>
        <sz val="11"/>
        <rFont val="Calibri"/>
        <family val="2"/>
        <scheme val="minor"/>
      </rPr>
      <t>H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</si>
  <si>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V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</si>
  <si>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H,eff</t>
    </r>
    <r>
      <rPr>
        <sz val="1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</si>
  <si>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rFont val="Calibri"/>
        <family val="2"/>
        <scheme val="minor"/>
      </rPr>
      <t>V,eff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</si>
  <si>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H,Ed</t>
    </r>
    <r>
      <rPr>
        <sz val="11"/>
        <rFont val="Calibri"/>
        <family val="2"/>
        <scheme val="minor"/>
      </rPr>
      <t xml:space="preserve"> =</t>
    </r>
  </si>
  <si>
    <r>
      <t>V</t>
    </r>
    <r>
      <rPr>
        <vertAlign val="subscript"/>
        <sz val="11"/>
        <rFont val="Calibri"/>
        <family val="2"/>
        <scheme val="minor"/>
      </rPr>
      <t>V,Ed</t>
    </r>
    <r>
      <rPr>
        <sz val="1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</si>
  <si>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⊥,H</t>
    </r>
    <r>
      <rPr>
        <sz val="11"/>
        <color theme="1"/>
        <rFont val="Calibri"/>
        <family val="2"/>
        <scheme val="minor"/>
      </rPr>
      <t xml:space="preserve"> = τ</t>
    </r>
    <r>
      <rPr>
        <vertAlign val="subscript"/>
        <sz val="11"/>
        <color theme="1"/>
        <rFont val="Calibri"/>
        <family val="2"/>
        <scheme val="minor"/>
      </rPr>
      <t>⊥,H</t>
    </r>
    <r>
      <rPr>
        <sz val="11"/>
        <color theme="1"/>
        <rFont val="Calibri"/>
        <family val="2"/>
        <scheme val="minor"/>
      </rPr>
      <t xml:space="preserve"> =</t>
    </r>
  </si>
  <si>
    <r>
      <t>τ</t>
    </r>
    <r>
      <rPr>
        <vertAlign val="subscript"/>
        <sz val="11"/>
        <color theme="1"/>
        <rFont val="Calibri"/>
        <family val="2"/>
        <scheme val="minor"/>
      </rPr>
      <t>//,H</t>
    </r>
    <r>
      <rPr>
        <sz val="11"/>
        <color theme="1"/>
        <rFont val="Calibri"/>
        <family val="2"/>
        <scheme val="minor"/>
      </rPr>
      <t xml:space="preserve"> =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</si>
  <si>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//,H</t>
    </r>
    <r>
      <rPr>
        <sz val="11"/>
        <color theme="1"/>
        <rFont val="Calibri"/>
        <family val="2"/>
        <scheme val="minor"/>
      </rPr>
      <t>²) =</t>
    </r>
  </si>
  <si>
    <r>
      <t>√( 3τ</t>
    </r>
    <r>
      <rPr>
        <vertAlign val="subscript"/>
        <sz val="11"/>
        <color theme="1"/>
        <rFont val="Calibri"/>
        <family val="2"/>
        <scheme val="minor"/>
      </rPr>
      <t>//,V</t>
    </r>
    <r>
      <rPr>
        <sz val="11"/>
        <color theme="1"/>
        <rFont val="Calibri"/>
        <family val="2"/>
        <scheme val="minor"/>
      </rPr>
      <t>²) =</t>
    </r>
  </si>
  <si>
    <t>Assemblage soudé d'un gousset</t>
  </si>
  <si>
    <t>Ajout des assemblages soudés de goussets</t>
  </si>
  <si>
    <r>
      <t>k</t>
    </r>
    <r>
      <rPr>
        <vertAlign val="subscript"/>
        <sz val="11"/>
        <color theme="1"/>
        <rFont val="Calibri"/>
        <family val="2"/>
        <scheme val="minor"/>
      </rPr>
      <t>wc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</si>
  <si>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com,Ed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</si>
  <si>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fb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</si>
  <si>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/ r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</si>
  <si>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Assemblage soudé sur deux côtés d'un gousset</t>
  </si>
  <si>
    <r>
      <t>β</t>
    </r>
    <r>
      <rPr>
        <vertAlign val="subscript"/>
        <sz val="11"/>
        <color theme="1"/>
        <rFont val="Calibri"/>
        <family val="2"/>
        <scheme val="minor"/>
      </rPr>
      <t>Lw,1</t>
    </r>
    <r>
      <rPr>
        <sz val="11"/>
        <color theme="1"/>
        <rFont val="Calibri"/>
        <family val="2"/>
        <scheme val="minor"/>
      </rPr>
      <t xml:space="preserve"> =</t>
    </r>
  </si>
  <si>
    <r>
      <t>β</t>
    </r>
    <r>
      <rPr>
        <vertAlign val="subscript"/>
        <sz val="11"/>
        <color theme="1"/>
        <rFont val="Calibri"/>
        <family val="2"/>
        <scheme val="minor"/>
      </rPr>
      <t>Lw,2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</si>
  <si>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</si>
  <si>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L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</t>
    </r>
  </si>
  <si>
    <t>Ajout des coefficient réducteur pour les assemblages soudés long</t>
  </si>
  <si>
    <t>Ajout des noms des composants</t>
  </si>
  <si>
    <r>
      <t>β</t>
    </r>
    <r>
      <rPr>
        <vertAlign val="subscript"/>
        <sz val="11"/>
        <color theme="1"/>
        <rFont val="Calibri"/>
        <family val="2"/>
        <scheme val="minor"/>
      </rPr>
      <t>Lw</t>
    </r>
    <r>
      <rPr>
        <sz val="11"/>
        <color theme="1"/>
        <rFont val="Calibri"/>
        <family val="2"/>
        <scheme val="minor"/>
      </rPr>
      <t xml:space="preserve"> =</t>
    </r>
  </si>
  <si>
    <t>βw =</t>
  </si>
  <si>
    <t>k =</t>
  </si>
  <si>
    <r>
      <t>b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</si>
  <si>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(f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)b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</si>
  <si>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 xml:space="preserve"> =</t>
    </r>
  </si>
  <si>
    <t>Ajout des assemblages soudés en T non raidi</t>
  </si>
  <si>
    <t>Ajout des assemblages soudés sur deux côtés d'un gousset</t>
  </si>
  <si>
    <r>
      <t>a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/ a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</si>
  <si>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r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=</t>
    </r>
  </si>
  <si>
    <t>Voir onglet "Soudures"</t>
  </si>
  <si>
    <r>
      <t>a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</si>
  <si>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t>Voir onglet "Ancrages"</t>
  </si>
  <si>
    <t>Voir onglet "Boulons"</t>
  </si>
  <si>
    <t>Voir onglets "T Tendus" et "Boulons"</t>
  </si>
  <si>
    <r>
      <t>b</t>
    </r>
    <r>
      <rPr>
        <vertAlign val="subscript"/>
        <sz val="11"/>
        <color theme="1"/>
        <rFont val="Calibri"/>
        <family val="2"/>
        <scheme val="minor"/>
      </rPr>
      <t>eff,t,wb</t>
    </r>
    <r>
      <rPr>
        <sz val="11"/>
        <color theme="1"/>
        <rFont val="Calibri"/>
        <family val="2"/>
        <scheme val="minor"/>
      </rPr>
      <t xml:space="preserve"> =</t>
    </r>
  </si>
  <si>
    <r>
      <t>t</t>
    </r>
    <r>
      <rPr>
        <vertAlign val="subscript"/>
        <sz val="11"/>
        <color theme="1"/>
        <rFont val="Calibri"/>
        <family val="2"/>
        <scheme val="minor"/>
      </rPr>
      <t>wb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</si>
  <si>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rFont val="Calibri"/>
        <family val="2"/>
        <scheme val="minor"/>
      </rPr>
      <t>y,wb</t>
    </r>
    <r>
      <rPr>
        <sz val="11"/>
        <rFont val="Calibri"/>
        <family val="2"/>
        <scheme val="minor"/>
      </rPr>
      <t xml:space="preserve"> =</t>
    </r>
  </si>
  <si>
    <t>Elastique</t>
  </si>
  <si>
    <r>
      <t>M</t>
    </r>
    <r>
      <rPr>
        <vertAlign val="subscript"/>
        <sz val="11"/>
        <color theme="1"/>
        <rFont val="Calibri"/>
        <family val="2"/>
        <scheme val="minor"/>
      </rPr>
      <t>c,Rd</t>
    </r>
    <r>
      <rPr>
        <sz val="11"/>
        <color theme="1"/>
        <rFont val="Calibri"/>
        <family val="2"/>
        <scheme val="minor"/>
      </rPr>
      <t xml:space="preserve"> =</t>
    </r>
  </si>
  <si>
    <t>Voir composant "Semelle et âme comprimées de poutre ou de poteau"</t>
  </si>
  <si>
    <t>Plat comprimé</t>
  </si>
  <si>
    <t>Voir onglet "Divers"</t>
  </si>
  <si>
    <r>
      <t>f</t>
    </r>
    <r>
      <rPr>
        <vertAlign val="subscript"/>
        <sz val="11"/>
        <rFont val="Calibri"/>
        <family val="2"/>
        <scheme val="minor"/>
      </rPr>
      <t>y</t>
    </r>
    <r>
      <rPr>
        <sz val="11"/>
        <rFont val="Calibri"/>
        <family val="2"/>
        <scheme val="minor"/>
      </rPr>
      <t xml:space="preserve"> =</t>
    </r>
  </si>
  <si>
    <t>A =</t>
  </si>
  <si>
    <r>
      <t>N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 Af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</si>
  <si>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u,Rd</t>
    </r>
    <r>
      <rPr>
        <sz val="11"/>
        <color theme="1"/>
        <rFont val="Calibri"/>
        <family val="2"/>
        <scheme val="minor"/>
      </rPr>
      <t xml:space="preserve"> = 0.9A</t>
    </r>
    <r>
      <rPr>
        <vertAlign val="subscript"/>
        <sz val="11"/>
        <color theme="1"/>
        <rFont val="Calibri"/>
        <family val="2"/>
        <scheme val="minor"/>
      </rPr>
      <t>net</t>
    </r>
    <r>
      <rPr>
        <sz val="11"/>
        <color theme="1"/>
        <rFont val="Calibri"/>
        <family val="2"/>
        <scheme val="minor"/>
      </rPr>
      <t>f</t>
    </r>
    <r>
      <rPr>
        <vertAlign val="subscript"/>
        <sz val="11"/>
        <color theme="1"/>
        <rFont val="Calibri"/>
        <family val="2"/>
        <scheme val="minor"/>
      </rPr>
      <t>u</t>
    </r>
    <r>
      <rPr>
        <sz val="11"/>
        <color theme="1"/>
        <rFont val="Calibri"/>
        <family val="2"/>
        <scheme val="minor"/>
      </rPr>
      <t>/γ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</si>
  <si>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rFont val="Calibri"/>
        <family val="2"/>
        <scheme val="minor"/>
      </rPr>
      <t>u</t>
    </r>
    <r>
      <rPr>
        <sz val="11"/>
        <rFont val="Calibri"/>
        <family val="2"/>
        <scheme val="minor"/>
      </rPr>
      <t xml:space="preserve"> =</t>
    </r>
  </si>
  <si>
    <r>
      <t>A</t>
    </r>
    <r>
      <rPr>
        <vertAlign val="subscript"/>
        <sz val="11"/>
        <color theme="1"/>
        <rFont val="Calibri"/>
        <family val="2"/>
        <scheme val="minor"/>
      </rPr>
      <t>net</t>
    </r>
    <r>
      <rPr>
        <sz val="11"/>
        <color theme="1"/>
        <rFont val="Calibri"/>
        <family val="2"/>
        <scheme val="minor"/>
      </rPr>
      <t xml:space="preserve"> =</t>
    </r>
  </si>
  <si>
    <t>17/01/2023</t>
  </si>
  <si>
    <t>Ajout des composants</t>
  </si>
  <si>
    <t>Suppression de l'onglet "CIDECT" pour création d'un outil séparé</t>
  </si>
  <si>
    <t>yi =</t>
  </si>
  <si>
    <t>xi =</t>
  </si>
  <si>
    <r>
      <t>F</t>
    </r>
    <r>
      <rPr>
        <vertAlign val="subscript"/>
        <sz val="11"/>
        <color theme="1"/>
        <rFont val="Calibri"/>
        <family val="2"/>
        <scheme val="minor"/>
      </rPr>
      <t>x,Ed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</si>
  <si>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y,Ed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</si>
  <si>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z,Ed</t>
    </r>
    <r>
      <rPr>
        <sz val="11"/>
        <color theme="1"/>
        <rFont val="Calibri"/>
        <family val="2"/>
        <scheme val="minor"/>
      </rPr>
      <t xml:space="preserve"> =</t>
    </r>
  </si>
  <si>
    <r>
      <t>Nombre de rangées : n</t>
    </r>
    <r>
      <rPr>
        <vertAlign val="subscript"/>
        <sz val="11"/>
        <color theme="1"/>
        <rFont val="Calibri"/>
        <family val="2"/>
        <scheme val="minor"/>
      </rPr>
      <t>r,y</t>
    </r>
    <r>
      <rPr>
        <sz val="11"/>
        <color theme="1"/>
        <rFont val="Calibri"/>
        <family val="2"/>
        <scheme val="minor"/>
      </rPr>
      <t xml:space="preserve"> =</t>
    </r>
  </si>
  <si>
    <r>
      <t>Nombre de colonnes : n</t>
    </r>
    <r>
      <rPr>
        <vertAlign val="subscript"/>
        <sz val="11"/>
        <color theme="1"/>
        <rFont val="Calibri"/>
        <family val="2"/>
        <scheme val="minor"/>
      </rPr>
      <t>i,x</t>
    </r>
    <r>
      <rPr>
        <sz val="11"/>
        <color theme="1"/>
        <rFont val="Calibri"/>
        <family val="2"/>
        <scheme val="minor"/>
      </rPr>
      <t xml:space="preserve"> =</t>
    </r>
  </si>
  <si>
    <t>r \ i</t>
  </si>
  <si>
    <r>
      <t>F</t>
    </r>
    <r>
      <rPr>
        <b/>
        <vertAlign val="subscript"/>
        <sz val="12"/>
        <color theme="1"/>
        <rFont val="Calibri"/>
        <family val="2"/>
        <scheme val="minor"/>
      </rPr>
      <t>7,i,Ed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</si>
  <si>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6,i,Ed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</si>
  <si>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5,i,Ed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</si>
  <si>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4,i,Ed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</si>
  <si>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3,i,Ed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</si>
  <si>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2,i,Ed</t>
    </r>
  </si>
  <si>
    <r>
      <t>F</t>
    </r>
    <r>
      <rPr>
        <b/>
        <vertAlign val="subscript"/>
        <sz val="12"/>
        <color theme="1"/>
        <rFont val="Calibri"/>
        <family val="2"/>
        <scheme val="minor"/>
      </rPr>
      <t>1,i,Ed</t>
    </r>
  </si>
  <si>
    <t>Cisaillement par boulon [daN] :</t>
  </si>
  <si>
    <r>
      <t xml:space="preserve">(par direction </t>
    </r>
    <r>
      <rPr>
        <b/>
        <i/>
        <sz val="10"/>
        <color rgb="FFC00000"/>
        <rFont val="Calibri"/>
        <family val="2"/>
        <scheme val="minor"/>
      </rPr>
      <t>x</t>
    </r>
    <r>
      <rPr>
        <i/>
        <sz val="10"/>
        <color theme="1"/>
        <rFont val="Calibri"/>
        <family val="2"/>
        <scheme val="minor"/>
      </rPr>
      <t xml:space="preserve"> ; </t>
    </r>
    <r>
      <rPr>
        <b/>
        <i/>
        <sz val="10"/>
        <color rgb="FF00B050"/>
        <rFont val="Calibri"/>
        <family val="2"/>
        <scheme val="minor"/>
      </rPr>
      <t>y</t>
    </r>
    <r>
      <rPr>
        <i/>
        <sz val="10"/>
        <color theme="1"/>
        <rFont val="Calibri"/>
        <family val="2"/>
        <scheme val="minor"/>
      </rPr>
      <t xml:space="preserve"> et </t>
    </r>
    <r>
      <rPr>
        <b/>
        <i/>
        <sz val="10"/>
        <color theme="1"/>
        <rFont val="Calibri"/>
        <family val="2"/>
        <scheme val="minor"/>
      </rPr>
      <t>composante globale</t>
    </r>
    <r>
      <rPr>
        <i/>
        <sz val="10"/>
        <color theme="1"/>
        <rFont val="Calibri"/>
        <family val="2"/>
        <scheme val="minor"/>
      </rPr>
      <t>)</t>
    </r>
  </si>
  <si>
    <t xml:space="preserve">Distance des boulons du centre de rotation </t>
  </si>
  <si>
    <r>
      <t>Nombre de boulons : n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</si>
  <si>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d</t>
    </r>
    <r>
      <rPr>
        <vertAlign val="subscript"/>
        <sz val="11"/>
        <color theme="1"/>
        <rFont val="Calibri"/>
        <family val="2"/>
        <scheme val="minor"/>
      </rPr>
      <t>y,2,i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</si>
  <si>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y,1,i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</si>
  <si>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x,1,i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</si>
  <si>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x,2</t>
    </r>
  </si>
  <si>
    <r>
      <t>d</t>
    </r>
    <r>
      <rPr>
        <vertAlign val="subscript"/>
        <sz val="11"/>
        <color theme="1"/>
        <rFont val="Calibri"/>
        <family val="2"/>
        <scheme val="minor"/>
      </rPr>
      <t>y,3,i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</si>
  <si>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x,3,i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</si>
  <si>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x,4,i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</si>
  <si>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y,4,i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</si>
  <si>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x,5,i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</si>
  <si>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y,5,i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</si>
  <si>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x,6,i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</si>
  <si>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y,6,i</t>
    </r>
  </si>
  <si>
    <r>
      <t>d</t>
    </r>
    <r>
      <rPr>
        <vertAlign val="subscript"/>
        <sz val="11"/>
        <color theme="1"/>
        <rFont val="Calibri"/>
        <family val="2"/>
        <scheme val="minor"/>
      </rPr>
      <t>x,7,i</t>
    </r>
  </si>
  <si>
    <r>
      <t>d</t>
    </r>
    <r>
      <rPr>
        <vertAlign val="subscript"/>
        <sz val="11"/>
        <color theme="1"/>
        <rFont val="Calibri"/>
        <family val="2"/>
        <scheme val="minor"/>
      </rPr>
      <t>y,7,i</t>
    </r>
  </si>
  <si>
    <r>
      <t>F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\ i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</si>
  <si>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x,1,i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y,1,i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</si>
  <si>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x,2,i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y,2,i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</si>
  <si>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x,3,i</t>
    </r>
    <r>
      <rPr>
        <b/>
        <sz val="11"/>
        <color theme="1"/>
        <rFont val="Calibri"/>
        <family val="2"/>
        <scheme val="minor"/>
      </rPr>
      <t>+d</t>
    </r>
    <r>
      <rPr>
        <b/>
        <vertAlign val="subscript"/>
        <sz val="11"/>
        <color theme="1"/>
        <rFont val="Calibri"/>
        <family val="2"/>
        <scheme val="minor"/>
      </rPr>
      <t>y,3,i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</si>
  <si>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x,4,i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y,4,i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</si>
  <si>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x,5,i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y,5,i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</si>
  <si>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x,6,i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y,6,i</t>
    </r>
    <r>
      <rPr>
        <b/>
        <sz val="11"/>
        <color theme="1"/>
        <rFont val="Calibri"/>
        <family val="2"/>
        <scheme val="minor"/>
      </rPr>
      <t>²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</si>
  <si>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x,7,i</t>
    </r>
    <r>
      <rPr>
        <b/>
        <sz val="11"/>
        <color theme="1"/>
        <rFont val="Calibri"/>
        <family val="2"/>
        <scheme val="minor"/>
      </rPr>
      <t>²+d</t>
    </r>
    <r>
      <rPr>
        <b/>
        <vertAlign val="subscript"/>
        <sz val="11"/>
        <color theme="1"/>
        <rFont val="Calibri"/>
        <family val="2"/>
        <scheme val="minor"/>
      </rPr>
      <t>y,7,i</t>
    </r>
    <r>
      <rPr>
        <b/>
        <sz val="11"/>
        <color theme="1"/>
        <rFont val="Calibri"/>
        <family val="2"/>
        <scheme val="minor"/>
      </rPr>
      <t>²</t>
    </r>
  </si>
  <si>
    <r>
      <t>Σ(d</t>
    </r>
    <r>
      <rPr>
        <vertAlign val="subscript"/>
        <sz val="11"/>
        <color theme="1"/>
        <rFont val="Calibri"/>
        <family val="2"/>
        <scheme val="minor"/>
      </rPr>
      <t>x,r,i</t>
    </r>
    <r>
      <rPr>
        <sz val="11"/>
        <color theme="1"/>
        <rFont val="Calibri"/>
        <family val="2"/>
        <scheme val="minor"/>
      </rPr>
      <t>²+d</t>
    </r>
    <r>
      <rPr>
        <vertAlign val="subscript"/>
        <sz val="11"/>
        <color theme="1"/>
        <rFont val="Calibri"/>
        <family val="2"/>
        <scheme val="minor"/>
      </rPr>
      <t>y,ri</t>
    </r>
    <r>
      <rPr>
        <sz val="11"/>
        <color theme="1"/>
        <rFont val="Calibri"/>
        <family val="2"/>
        <scheme val="minor"/>
      </rPr>
      <t>²) =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</si>
  <si>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y,1,i,Ed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</si>
  <si>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y,2,i,Ed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</si>
  <si>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y,3,i,Ed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</si>
  <si>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x,1,i,Ed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</si>
  <si>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x,2,i,Ed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</si>
  <si>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x,3,i,Ed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</si>
  <si>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x,4,i,Ed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</si>
  <si>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x,5,i,Ed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</si>
  <si>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x,6,i,Ed</t>
    </r>
  </si>
  <si>
    <r>
      <t>F</t>
    </r>
    <r>
      <rPr>
        <vertAlign val="subscript"/>
        <sz val="11"/>
        <color rgb="FFC00000"/>
        <rFont val="Calibri"/>
        <family val="2"/>
        <scheme val="minor"/>
      </rPr>
      <t>x,7,i,Ed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</si>
  <si>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y,7,i,Ed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</si>
  <si>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y,6,i,Ed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</si>
  <si>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y,5,i,Ed</t>
    </r>
  </si>
  <si>
    <r>
      <t>F</t>
    </r>
    <r>
      <rPr>
        <b/>
        <vertAlign val="subscript"/>
        <sz val="11"/>
        <color rgb="FF00B050"/>
        <rFont val="Calibri"/>
        <family val="2"/>
        <scheme val="minor"/>
      </rPr>
      <t>y,4,i,Ed</t>
    </r>
  </si>
  <si>
    <r>
      <t>Pince verticale : p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</si>
  <si>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Pince horizontale : p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=</t>
    </r>
  </si>
  <si>
    <t>Position par rapport au repère</t>
  </si>
  <si>
    <t>Ajout des efforts dans les boulons d'une platine d'about fléchie</t>
  </si>
  <si>
    <t xml:space="preserve">Ajout des efforts dans les boulons d'une éclisse </t>
  </si>
  <si>
    <t>19/01/2023</t>
  </si>
  <si>
    <t>V1.1a</t>
  </si>
  <si>
    <t>V1.1b</t>
  </si>
  <si>
    <t>Ajout des attaches par axes d'articulation</t>
  </si>
  <si>
    <r>
      <t>F</t>
    </r>
    <r>
      <rPr>
        <vertAlign val="subscript"/>
        <sz val="11"/>
        <color theme="1"/>
        <rFont val="Calibri"/>
        <family val="2"/>
        <scheme val="minor"/>
      </rPr>
      <t>bEd,ser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</si>
  <si>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up</t>
    </r>
    <r>
      <rPr>
        <sz val="11"/>
        <color theme="1"/>
        <rFont val="Calibri"/>
        <family val="2"/>
        <scheme val="minor"/>
      </rPr>
      <t xml:space="preserve"> =</t>
    </r>
  </si>
  <si>
    <r>
      <t>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</si>
  <si>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σ</t>
    </r>
    <r>
      <rPr>
        <vertAlign val="subscript"/>
        <sz val="11"/>
        <color theme="1"/>
        <rFont val="Calibri"/>
        <family val="2"/>
        <scheme val="minor"/>
      </rPr>
      <t>h,Ed</t>
    </r>
  </si>
  <si>
    <r>
      <t>f</t>
    </r>
    <r>
      <rPr>
        <vertAlign val="subscript"/>
        <sz val="11"/>
        <color theme="1"/>
        <rFont val="Calibri"/>
        <family val="2"/>
        <scheme val="minor"/>
      </rPr>
      <t>h,Rd</t>
    </r>
  </si>
  <si>
    <r>
      <t>F</t>
    </r>
    <r>
      <rPr>
        <vertAlign val="subscript"/>
        <sz val="11"/>
        <color theme="1"/>
        <rFont val="Calibri"/>
        <family val="2"/>
        <scheme val="minor"/>
      </rPr>
      <t>v,Rd</t>
    </r>
    <r>
      <rPr>
        <sz val="11"/>
        <color theme="1"/>
        <rFont val="Calibri"/>
        <family val="2"/>
        <scheme val="minor"/>
      </rPr>
      <t xml:space="preserve"> = 0.6 A f</t>
    </r>
    <r>
      <rPr>
        <vertAlign val="subscript"/>
        <sz val="11"/>
        <color theme="1"/>
        <rFont val="Calibri"/>
        <family val="2"/>
        <scheme val="minor"/>
      </rPr>
      <t>up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M2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</si>
  <si>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 1.5 t d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</si>
  <si>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b,Rd,ser</t>
    </r>
    <r>
      <rPr>
        <sz val="11"/>
        <color theme="1"/>
        <rFont val="Calibri"/>
        <family val="2"/>
        <scheme val="minor"/>
      </rPr>
      <t xml:space="preserve"> = 0.6 t d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</si>
  <si>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</si>
  <si>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</si>
  <si>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Rd,ser</t>
    </r>
    <r>
      <rPr>
        <sz val="11"/>
        <color theme="1"/>
        <rFont val="Calibri"/>
        <family val="2"/>
        <scheme val="minor"/>
      </rPr>
      <t xml:space="preserve"> = 0.8 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M6,ser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</si>
  <si>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= 1.5 W</t>
    </r>
    <r>
      <rPr>
        <vertAlign val="subscript"/>
        <sz val="11"/>
        <color theme="1"/>
        <rFont val="Calibri"/>
        <family val="2"/>
        <scheme val="minor"/>
      </rPr>
      <t>el</t>
    </r>
    <r>
      <rPr>
        <sz val="11"/>
        <color theme="1"/>
        <rFont val="Calibri"/>
        <family val="2"/>
        <scheme val="minor"/>
      </rPr>
      <t xml:space="preserve"> f</t>
    </r>
    <r>
      <rPr>
        <vertAlign val="subscript"/>
        <sz val="11"/>
        <color theme="1"/>
        <rFont val="Calibri"/>
        <family val="2"/>
        <scheme val="minor"/>
      </rPr>
      <t>yp</t>
    </r>
    <r>
      <rPr>
        <sz val="11"/>
        <color theme="1"/>
        <rFont val="Calibri"/>
        <family val="2"/>
        <scheme val="minor"/>
      </rPr>
      <t xml:space="preserve"> / γ</t>
    </r>
    <r>
      <rPr>
        <vertAlign val="subscript"/>
        <sz val="11"/>
        <color theme="1"/>
        <rFont val="Calibri"/>
        <family val="2"/>
        <scheme val="minor"/>
      </rPr>
      <t>M0</t>
    </r>
    <r>
      <rPr>
        <sz val="11"/>
        <color theme="1"/>
        <rFont val="Calibri"/>
        <family val="2"/>
        <scheme val="minor"/>
      </rPr>
      <t xml:space="preserve"> =</t>
    </r>
  </si>
  <si>
    <r>
      <t>M</t>
    </r>
    <r>
      <rPr>
        <vertAlign val="subscript"/>
        <sz val="11"/>
        <color theme="1"/>
        <rFont val="Calibri"/>
        <family val="2"/>
        <scheme val="minor"/>
      </rPr>
      <t>Ed,ser</t>
    </r>
    <r>
      <rPr>
        <sz val="11"/>
        <color theme="1"/>
        <rFont val="Calibri"/>
        <family val="2"/>
        <scheme val="minor"/>
      </rPr>
      <t xml:space="preserve"> = (b+4c+2a) F</t>
    </r>
    <r>
      <rPr>
        <vertAlign val="subscript"/>
        <sz val="11"/>
        <color theme="1"/>
        <rFont val="Calibri"/>
        <family val="2"/>
        <scheme val="minor"/>
      </rPr>
      <t>Ed,ser</t>
    </r>
    <r>
      <rPr>
        <sz val="11"/>
        <color theme="1"/>
        <rFont val="Calibri"/>
        <family val="2"/>
        <scheme val="minor"/>
      </rPr>
      <t>/8</t>
    </r>
  </si>
  <si>
    <r>
      <t>M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 xml:space="preserve"> = (b+4c+2a) F</t>
    </r>
    <r>
      <rPr>
        <vertAlign val="subscript"/>
        <sz val="11"/>
        <color theme="1"/>
        <rFont val="Calibri"/>
        <family val="2"/>
        <scheme val="minor"/>
      </rPr>
      <t>Ed</t>
    </r>
    <r>
      <rPr>
        <sz val="11"/>
        <color theme="1"/>
        <rFont val="Calibri"/>
        <family val="2"/>
        <scheme val="minor"/>
      </rPr>
      <t>/8</t>
    </r>
  </si>
  <si>
    <t>20/01/2023</t>
  </si>
  <si>
    <t xml:space="preserve">Correction d'une erreur dans le calcul des efforts dans les boulons d'une éclisse </t>
  </si>
  <si>
    <t>V1.1c</t>
  </si>
  <si>
    <t>Ajout de la BdD des Bétons Légers</t>
  </si>
  <si>
    <r>
      <t>η</t>
    </r>
    <r>
      <rPr>
        <vertAlign val="subscript"/>
        <sz val="11"/>
        <color theme="0" tint="-0.34998626667073579"/>
        <rFont val="Calibri"/>
        <family val="2"/>
        <scheme val="minor"/>
      </rPr>
      <t>1</t>
    </r>
  </si>
  <si>
    <t>Cl1.0</t>
  </si>
  <si>
    <t>Cl1.2</t>
  </si>
  <si>
    <t>Cl2.0</t>
  </si>
  <si>
    <t>Cl1.8</t>
  </si>
  <si>
    <t>Cl1.6</t>
  </si>
  <si>
    <t>Cl1.4</t>
  </si>
  <si>
    <r>
      <t>Masse Volumique sèche max [kg/m</t>
    </r>
    <r>
      <rPr>
        <vertAlign val="superscript"/>
        <sz val="11"/>
        <color theme="0" tint="-0.34998626667073579"/>
        <rFont val="Calibri"/>
        <family val="2"/>
        <scheme val="minor"/>
      </rPr>
      <t>3</t>
    </r>
    <r>
      <rPr>
        <sz val="11"/>
        <color theme="0" tint="-0.34998626667073579"/>
        <rFont val="Calibri"/>
        <family val="2"/>
        <scheme val="minor"/>
      </rPr>
      <t>]</t>
    </r>
  </si>
  <si>
    <r>
      <t>η</t>
    </r>
    <r>
      <rPr>
        <vertAlign val="subscript"/>
        <sz val="11"/>
        <color theme="0" tint="-0.34998626667073579"/>
        <rFont val="Calibri"/>
        <family val="2"/>
        <scheme val="minor"/>
      </rPr>
      <t>E</t>
    </r>
  </si>
  <si>
    <t>Modification de la présentation du calcul des boulons</t>
  </si>
  <si>
    <r>
      <t>F</t>
    </r>
    <r>
      <rPr>
        <vertAlign val="subscript"/>
        <sz val="11"/>
        <color theme="1"/>
        <rFont val="Calibri"/>
        <family val="2"/>
        <scheme val="minor"/>
      </rPr>
      <t>v,Ed</t>
    </r>
    <r>
      <rPr>
        <sz val="11"/>
        <color theme="1"/>
        <rFont val="Calibri"/>
        <family val="2"/>
        <scheme val="minor"/>
      </rPr>
      <t>/F</t>
    </r>
    <r>
      <rPr>
        <vertAlign val="subscript"/>
        <sz val="11"/>
        <color theme="1"/>
        <rFont val="Calibri"/>
        <family val="2"/>
        <scheme val="minor"/>
      </rPr>
      <t>v,Rd</t>
    </r>
    <r>
      <rPr>
        <sz val="11"/>
        <color theme="1"/>
        <rFont val="Calibri"/>
        <family val="2"/>
        <scheme val="minor"/>
      </rPr>
      <t xml:space="preserve"> + F</t>
    </r>
    <r>
      <rPr>
        <vertAlign val="subscript"/>
        <sz val="11"/>
        <color theme="1"/>
        <rFont val="Calibri"/>
        <family val="2"/>
        <scheme val="minor"/>
      </rPr>
      <t>t,Ed</t>
    </r>
    <r>
      <rPr>
        <sz val="11"/>
        <color theme="1"/>
        <rFont val="Calibri"/>
        <family val="2"/>
        <scheme val="minor"/>
      </rPr>
      <t>/(1.4*F</t>
    </r>
    <r>
      <rPr>
        <vertAlign val="subscript"/>
        <sz val="11"/>
        <color theme="1"/>
        <rFont val="Calibri"/>
        <family val="2"/>
        <scheme val="minor"/>
      </rPr>
      <t>t,Rd</t>
    </r>
    <r>
      <rPr>
        <sz val="11"/>
        <color theme="1"/>
        <rFont val="Calibri"/>
        <family val="2"/>
        <scheme val="minor"/>
      </rPr>
      <t>)</t>
    </r>
  </si>
  <si>
    <t>Partie Filetée</t>
  </si>
  <si>
    <t>Modification de la méthode de vérification de la pression diamétrale</t>
  </si>
  <si>
    <t>Pression diamétrale : cas général</t>
  </si>
  <si>
    <t>fu =</t>
  </si>
  <si>
    <t>NF EN 1993-1-8 §3.6.1 tbl.3.4</t>
  </si>
  <si>
    <r>
      <t>k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 xml:space="preserve"> = min {</t>
    </r>
  </si>
  <si>
    <r>
      <t>α</t>
    </r>
    <r>
      <rPr>
        <vertAlign val="subscript"/>
        <sz val="11"/>
        <color theme="1"/>
        <rFont val="Calibri"/>
        <family val="2"/>
        <scheme val="minor"/>
      </rPr>
      <t>b,lg</t>
    </r>
    <r>
      <rPr>
        <sz val="11"/>
        <color theme="1"/>
        <rFont val="Calibri"/>
        <family val="2"/>
        <scheme val="minor"/>
      </rPr>
      <t xml:space="preserve"> = min {</t>
    </r>
  </si>
  <si>
    <t>2.50    }</t>
  </si>
  <si>
    <t>1.0    }</t>
  </si>
  <si>
    <r>
      <t>F</t>
    </r>
    <r>
      <rPr>
        <vertAlign val="subscript"/>
        <sz val="11"/>
        <color theme="1"/>
        <rFont val="Calibri"/>
        <family val="2"/>
        <scheme val="minor"/>
      </rPr>
      <t>b,lg,Rd</t>
    </r>
    <r>
      <rPr>
        <sz val="11"/>
        <color theme="1"/>
        <rFont val="Calibri"/>
        <family val="2"/>
        <scheme val="minor"/>
      </rPr>
      <t xml:space="preserve"> =</t>
    </r>
  </si>
  <si>
    <r>
      <t>α</t>
    </r>
    <r>
      <rPr>
        <vertAlign val="subscript"/>
        <sz val="11"/>
        <color theme="1"/>
        <rFont val="Calibri"/>
        <family val="2"/>
        <scheme val="minor"/>
      </rPr>
      <t>b,tr</t>
    </r>
    <r>
      <rPr>
        <sz val="11"/>
        <color theme="1"/>
        <rFont val="Calibri"/>
        <family val="2"/>
        <scheme val="minor"/>
      </rPr>
      <t xml:space="preserve"> = min {</t>
    </r>
  </si>
  <si>
    <r>
      <t>k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 xml:space="preserve"> = min {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</si>
  <si>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b,lg</t>
    </r>
    <r>
      <rPr>
        <b/>
        <sz val="11"/>
        <color theme="1"/>
        <rFont val="Calibri"/>
        <family val="2"/>
        <scheme val="minor"/>
      </rPr>
      <t xml:space="preserve"> =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</si>
  <si>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lg</t>
    </r>
    <r>
      <rPr>
        <b/>
        <sz val="11"/>
        <color theme="1"/>
        <rFont val="Calibri"/>
        <family val="2"/>
        <scheme val="minor"/>
      </rPr>
      <t xml:space="preserve"> =</t>
    </r>
  </si>
  <si>
    <r>
      <t>α</t>
    </r>
    <r>
      <rPr>
        <b/>
        <vertAlign val="subscript"/>
        <sz val="11"/>
        <color theme="1"/>
        <rFont val="Calibri"/>
        <family val="2"/>
        <scheme val="minor"/>
      </rPr>
      <t>b,tr</t>
    </r>
    <r>
      <rPr>
        <b/>
        <sz val="11"/>
        <color theme="1"/>
        <rFont val="Calibri"/>
        <family val="2"/>
        <scheme val="minor"/>
      </rPr>
      <t xml:space="preserve"> =</t>
    </r>
  </si>
  <si>
    <r>
      <t>k</t>
    </r>
    <r>
      <rPr>
        <b/>
        <vertAlign val="subscript"/>
        <sz val="11"/>
        <color theme="1"/>
        <rFont val="Calibri"/>
        <family val="2"/>
        <scheme val="minor"/>
      </rPr>
      <t>tr</t>
    </r>
    <r>
      <rPr>
        <b/>
        <sz val="11"/>
        <color theme="1"/>
        <rFont val="Calibri"/>
        <family val="2"/>
        <scheme val="minor"/>
      </rPr>
      <t xml:space="preserve"> =</t>
    </r>
  </si>
  <si>
    <r>
      <t>√(Tx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>² + Tx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>²) =</t>
    </r>
  </si>
  <si>
    <t>Pression diamétrale : cas détaillé</t>
  </si>
  <si>
    <t>Vérification géométrique</t>
  </si>
  <si>
    <r>
      <t>Tx</t>
    </r>
    <r>
      <rPr>
        <vertAlign val="subscript"/>
        <sz val="11"/>
        <color theme="1"/>
        <rFont val="Calibri"/>
        <family val="2"/>
        <scheme val="minor"/>
      </rPr>
      <t>lg</t>
    </r>
    <r>
      <rPr>
        <sz val="11"/>
        <color theme="1"/>
        <rFont val="Calibri"/>
        <family val="2"/>
        <scheme val="minor"/>
      </rPr>
      <t xml:space="preserve"> =</t>
    </r>
  </si>
  <si>
    <r>
      <t>Tx</t>
    </r>
    <r>
      <rPr>
        <vertAlign val="subscript"/>
        <sz val="11"/>
        <color theme="1"/>
        <rFont val="Calibri"/>
        <family val="2"/>
        <scheme val="minor"/>
      </rPr>
      <t>tr</t>
    </r>
    <r>
      <rPr>
        <sz val="11"/>
        <color theme="1"/>
        <rFont val="Calibri"/>
        <family val="2"/>
        <scheme val="minor"/>
      </rPr>
      <t xml:space="preserve"> =</t>
    </r>
  </si>
  <si>
    <t>NF EN 1993-1-8 §3.13</t>
  </si>
  <si>
    <t>?!</t>
  </si>
  <si>
    <t>NF EN 1993-1-8 §3.10.2</t>
  </si>
  <si>
    <t>NF EN 1993-1-8 §6.4.2 (2)</t>
  </si>
  <si>
    <t>Déplacement des conditions d'articulation dans l'onglet "Boulons"</t>
  </si>
  <si>
    <t>Nb Lignes =</t>
  </si>
  <si>
    <t>Nb Colonnes =</t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</si>
  <si>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</si>
  <si>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1,g</t>
    </r>
    <r>
      <rPr>
        <sz val="11"/>
        <color theme="1"/>
        <rFont val="Calibri"/>
        <family val="2"/>
        <scheme val="minor"/>
      </rPr>
      <t xml:space="preserve"> =</t>
    </r>
  </si>
  <si>
    <r>
      <t>p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</si>
  <si>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2,h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</si>
  <si>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2,b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</si>
  <si>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vertAlign val="subscript"/>
        <sz val="11"/>
        <color theme="1"/>
        <rFont val="Calibri"/>
        <family val="2"/>
        <scheme val="minor"/>
      </rPr>
      <t>1,d</t>
    </r>
    <r>
      <rPr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</si>
  <si>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1,g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</si>
  <si>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1,d</t>
    </r>
    <r>
      <rPr>
        <b/>
        <sz val="11"/>
        <color theme="1"/>
        <rFont val="Calibri"/>
        <family val="2"/>
        <scheme val="minor"/>
      </rPr>
      <t xml:space="preserve"> =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</si>
  <si>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=</t>
    </r>
  </si>
  <si>
    <r>
      <t>p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</si>
  <si>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2,h</t>
    </r>
    <r>
      <rPr>
        <b/>
        <sz val="11"/>
        <color theme="1"/>
        <rFont val="Calibri"/>
        <family val="2"/>
        <scheme val="minor"/>
      </rPr>
      <t xml:space="preserve"> =</t>
    </r>
  </si>
  <si>
    <r>
      <t>e</t>
    </r>
    <r>
      <rPr>
        <b/>
        <vertAlign val="subscript"/>
        <sz val="11"/>
        <color theme="1"/>
        <rFont val="Calibri"/>
        <family val="2"/>
        <scheme val="minor"/>
      </rPr>
      <t>2,b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</si>
  <si>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tr,Ed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</si>
  <si>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lg,Ed</t>
    </r>
    <r>
      <rPr>
        <b/>
        <sz val="11"/>
        <color theme="1"/>
        <rFont val="Calibri"/>
        <family val="2"/>
        <scheme val="minor"/>
      </rPr>
      <t xml:space="preserve"> =</t>
    </r>
  </si>
  <si>
    <r>
      <t xml:space="preserve">Rive gauche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</si>
  <si>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Rive droite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</si>
  <si>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Interieur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</si>
  <si>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Rive haute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</si>
  <si>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Interieur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</si>
  <si>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Rive basse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</si>
  <si>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vertAlign val="subscript"/>
        <sz val="11"/>
        <color theme="1"/>
        <rFont val="Calibri"/>
        <family val="2"/>
        <scheme val="minor"/>
      </rPr>
      <t>b,Rd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</si>
  <si>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Rive haute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</si>
  <si>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 xml:space="preserve">Rive basse : </t>
    </r>
    <r>
      <rPr>
        <sz val="11"/>
        <color theme="1"/>
        <rFont val="Calibri"/>
        <family val="2"/>
      </rPr>
      <t>α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=</t>
    </r>
  </si>
  <si>
    <r>
      <t>Rive gauche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</si>
  <si>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Rive droite : k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</si>
  <si>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b,lg,Rd</t>
    </r>
    <r>
      <rPr>
        <b/>
        <sz val="11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</si>
  <si>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b,tr,Rd</t>
    </r>
    <r>
      <rPr>
        <b/>
        <sz val="11"/>
        <color theme="1"/>
        <rFont val="Calibri"/>
        <family val="2"/>
        <scheme val="minor"/>
      </rPr>
      <t xml:space="preserve"> =</t>
    </r>
  </si>
  <si>
    <t>NF EN 1993-1-8 §3.8</t>
  </si>
  <si>
    <t>NF EN 1993-1-8 §3.9</t>
  </si>
  <si>
    <t>NF EN 1993-1-8 §3.10.3</t>
  </si>
  <si>
    <r>
      <t xml:space="preserve">Ajout du coefficient 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 xml:space="preserve"> en cas de cornière tendue attachée par une aile</t>
    </r>
  </si>
  <si>
    <t>Simple cornière</t>
  </si>
  <si>
    <t>β₂</t>
  </si>
  <si>
    <t>β₃</t>
  </si>
  <si>
    <t>β₄</t>
  </si>
  <si>
    <t>Simple</t>
  </si>
  <si>
    <r>
      <t>2.5d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&gt;p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&gt;5d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</si>
  <si>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≤2.5d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</si>
  <si>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≥5d</t>
    </r>
    <r>
      <rPr>
        <vertAlign val="subscript"/>
        <sz val="11"/>
        <color theme="1"/>
        <rFont val="Calibri"/>
        <family val="2"/>
        <scheme val="minor"/>
      </rPr>
      <t>0</t>
    </r>
  </si>
  <si>
    <r>
      <t>p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/d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=</t>
    </r>
  </si>
  <si>
    <t xml:space="preserve"> NF EN1992-1-1 §8</t>
  </si>
  <si>
    <t>CNC2M-N0175 §6</t>
  </si>
  <si>
    <t>CNC2M-N0175 Annexe A</t>
  </si>
  <si>
    <t>SCI P398 Step 1A</t>
  </si>
  <si>
    <t>NF EN 1993-1-8 §6.3</t>
  </si>
  <si>
    <t>NF EN 1993-1-8 §6.3 Tbl.6.11</t>
  </si>
  <si>
    <t>13/08/2023</t>
  </si>
  <si>
    <t>Il est recommandé d'utiliser la présente feuille avec les normes associées.</t>
  </si>
  <si>
    <t>Type d'analyse</t>
  </si>
  <si>
    <t>14/11/2023</t>
  </si>
  <si>
    <t>Correction de la distribution des efforts dans les boulons d'une platine d'about fléchie</t>
  </si>
  <si>
    <t>Ajout Elastique/Plastique pour les efforts dans les boulons d'une platine d'about fléchie</t>
  </si>
  <si>
    <t>Connu</t>
  </si>
  <si>
    <t>Fissuré</t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</si>
  <si>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</si>
  <si>
    <r>
      <t>k</t>
    </r>
    <r>
      <rPr>
        <vertAlign val="subscript"/>
        <sz val="11"/>
        <color theme="1"/>
        <rFont val="Calibri"/>
        <family val="2"/>
        <scheme val="minor"/>
      </rPr>
      <t>cr,N</t>
    </r>
    <r>
      <rPr>
        <sz val="11"/>
        <color theme="1"/>
        <rFont val="Calibri"/>
        <family val="2"/>
        <scheme val="minor"/>
      </rPr>
      <t xml:space="preserve"> / k</t>
    </r>
    <r>
      <rPr>
        <vertAlign val="subscript"/>
        <sz val="11"/>
        <color theme="1"/>
        <rFont val="Calibri"/>
        <family val="2"/>
        <scheme val="minor"/>
      </rPr>
      <t>ucr,N</t>
    </r>
  </si>
  <si>
    <r>
      <t xml:space="preserve"> 	τ</t>
    </r>
    <r>
      <rPr>
        <vertAlign val="subscript"/>
        <sz val="11"/>
        <color theme="1"/>
        <rFont val="Calibri"/>
        <family val="2"/>
        <scheme val="minor"/>
      </rPr>
      <t>Rk,cr</t>
    </r>
    <r>
      <rPr>
        <sz val="11"/>
        <color theme="1"/>
        <rFont val="Calibri"/>
        <family val="2"/>
        <scheme val="minor"/>
      </rPr>
      <t xml:space="preserve"> /  	τ</t>
    </r>
    <r>
      <rPr>
        <vertAlign val="subscript"/>
        <sz val="11"/>
        <color theme="1"/>
        <rFont val="Calibri"/>
        <family val="2"/>
        <scheme val="minor"/>
      </rPr>
      <t>Rk,ucr</t>
    </r>
  </si>
  <si>
    <r>
      <t>k</t>
    </r>
    <r>
      <rPr>
        <vertAlign val="subscript"/>
        <sz val="11"/>
        <color theme="1"/>
        <rFont val="Calibri"/>
        <family val="2"/>
        <scheme val="minor"/>
      </rPr>
      <t>3</t>
    </r>
  </si>
  <si>
    <r>
      <t>k</t>
    </r>
    <r>
      <rPr>
        <vertAlign val="subscript"/>
        <sz val="11"/>
        <color theme="1"/>
        <rFont val="Calibri"/>
        <family val="2"/>
        <scheme val="minor"/>
      </rPr>
      <t>5</t>
    </r>
  </si>
  <si>
    <r>
      <t>k</t>
    </r>
    <r>
      <rPr>
        <vertAlign val="subscript"/>
        <sz val="11"/>
        <color theme="1"/>
        <rFont val="Calibri"/>
        <family val="2"/>
        <scheme val="minor"/>
      </rPr>
      <t>8</t>
    </r>
  </si>
  <si>
    <r>
      <t>k</t>
    </r>
    <r>
      <rPr>
        <vertAlign val="subscript"/>
        <sz val="11"/>
        <color theme="1"/>
        <rFont val="Calibri"/>
        <family val="2"/>
        <scheme val="minor"/>
      </rPr>
      <t>9</t>
    </r>
  </si>
  <si>
    <r>
      <t>h</t>
    </r>
    <r>
      <rPr>
        <vertAlign val="subscript"/>
        <sz val="11"/>
        <color theme="1"/>
        <rFont val="Calibri"/>
        <family val="2"/>
        <scheme val="minor"/>
      </rPr>
      <t>min</t>
    </r>
  </si>
  <si>
    <t>-</t>
  </si>
  <si>
    <t>[mm]</t>
  </si>
  <si>
    <t>[MPa]</t>
  </si>
  <si>
    <t>29/03/2024</t>
  </si>
  <si>
    <t>Ajout des personalisations de coefficients ATE - EN1992-4</t>
  </si>
  <si>
    <t>08/04/2024</t>
  </si>
  <si>
    <t>Correction du tronçon en Té tendu doublement raidi</t>
  </si>
  <si>
    <t>V2</t>
  </si>
  <si>
    <t>V1.2</t>
  </si>
  <si>
    <t>14/08/2023</t>
  </si>
  <si>
    <t>Protection de la feuille</t>
  </si>
  <si>
    <t>V1.2a</t>
  </si>
  <si>
    <t>V1.2b</t>
  </si>
  <si>
    <t>V1.2c</t>
  </si>
  <si>
    <t>V1.2d</t>
  </si>
  <si>
    <t>18/06/2024</t>
  </si>
  <si>
    <t>Passage en V2</t>
  </si>
  <si>
    <t>Vérification d'Eléments Simples d'Assemblages</t>
  </si>
  <si>
    <t>V2.1</t>
  </si>
  <si>
    <t>04/09/2024</t>
  </si>
  <si>
    <t>Correction des cellules verouillées</t>
  </si>
  <si>
    <t>Ajout des soudures sur Profils en U</t>
  </si>
  <si>
    <t>Lcr/ L manuel</t>
  </si>
  <si>
    <t>V2.2</t>
  </si>
  <si>
    <t>18/10/2024</t>
  </si>
  <si>
    <t>Ajout de la classe de boulons 12.9</t>
  </si>
  <si>
    <t>Ajout de Lcr Manuel pour le flambement des barres</t>
  </si>
  <si>
    <r>
      <t>S</t>
    </r>
    <r>
      <rPr>
        <vertAlign val="subscript"/>
        <sz val="11"/>
        <color theme="1"/>
        <rFont val="Calibri"/>
        <family val="2"/>
        <scheme val="minor"/>
      </rPr>
      <t>j</t>
    </r>
  </si>
  <si>
    <t>V2.3</t>
  </si>
  <si>
    <r>
      <t>S</t>
    </r>
    <r>
      <rPr>
        <b/>
        <vertAlign val="subscript"/>
        <sz val="11"/>
        <color theme="0" tint="-0.249977111117893"/>
        <rFont val="Calibri"/>
        <family val="2"/>
        <scheme val="minor"/>
      </rPr>
      <t>j,max</t>
    </r>
    <r>
      <rPr>
        <b/>
        <sz val="11"/>
        <color theme="0" tint="-0.249977111117893"/>
        <rFont val="Calibri"/>
        <family val="2"/>
        <scheme val="minor"/>
      </rPr>
      <t xml:space="preserve"> =</t>
    </r>
  </si>
  <si>
    <t>07/11/2024</t>
  </si>
  <si>
    <t>Correction et amélioration du diagramme moment-rotation</t>
  </si>
  <si>
    <t>V2.3a</t>
  </si>
  <si>
    <t>08/11/2024</t>
  </si>
  <si>
    <t>Correction de sélection des données pour le flambement des barres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</si>
  <si>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ed-ELS</t>
    </r>
    <r>
      <rPr>
        <b/>
        <sz val="11"/>
        <color theme="1"/>
        <rFont val="Calibri"/>
        <family val="2"/>
        <scheme val="minor"/>
      </rPr>
      <t xml:space="preserve"> =</t>
    </r>
  </si>
  <si>
    <t>SHS</t>
  </si>
  <si>
    <t>V2.3b</t>
  </si>
  <si>
    <t>28/11/2024</t>
  </si>
  <si>
    <t>Divers : Ajout de la vérification des cornières en traction</t>
  </si>
  <si>
    <r>
      <t>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</si>
  <si>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r>
      <t>N</t>
    </r>
    <r>
      <rPr>
        <vertAlign val="subscript"/>
        <sz val="11"/>
        <color theme="1"/>
        <rFont val="Calibri"/>
        <family val="2"/>
        <scheme val="minor"/>
      </rPr>
      <t>pl,Rd</t>
    </r>
    <r>
      <rPr>
        <sz val="11"/>
        <color theme="1"/>
        <rFont val="Calibri"/>
        <family val="2"/>
        <scheme val="minor"/>
      </rPr>
      <t xml:space="preserve"> = β * A * f</t>
    </r>
    <r>
      <rPr>
        <vertAlign val="subscript"/>
        <sz val="11"/>
        <color theme="1"/>
        <rFont val="Calibri"/>
        <family val="2"/>
        <scheme val="minor"/>
      </rPr>
      <t>y</t>
    </r>
    <r>
      <rPr>
        <sz val="11"/>
        <color theme="1"/>
        <rFont val="Calibri"/>
        <family val="2"/>
        <scheme val="minor"/>
      </rPr>
      <t xml:space="preserve"> =</t>
    </r>
  </si>
  <si>
    <t>V2.3c</t>
  </si>
  <si>
    <t>11/12/2024</t>
  </si>
  <si>
    <t>Correction du coefficient Alpha_bc des tiges d'ancrages droites</t>
  </si>
  <si>
    <t>V2.3d</t>
  </si>
  <si>
    <t>12/12/2024</t>
  </si>
  <si>
    <t>Correction du coefficient Alpha_bc des tiges d'ancrages droites (unité)</t>
  </si>
  <si>
    <t>V2.4</t>
  </si>
  <si>
    <t>Modification présentation boulons</t>
  </si>
  <si>
    <r>
      <t>A</t>
    </r>
    <r>
      <rPr>
        <i/>
        <vertAlign val="subscript"/>
        <sz val="9"/>
        <color theme="1"/>
        <rFont val="Calibri"/>
        <family val="2"/>
        <scheme val="minor"/>
      </rPr>
      <t>s</t>
    </r>
    <r>
      <rPr>
        <i/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</si>
  <si>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yb</t>
    </r>
    <r>
      <rPr>
        <i/>
        <sz val="9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</si>
  <si>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9"/>
        <color theme="1"/>
        <rFont val="Calibri"/>
        <family val="2"/>
        <scheme val="minor"/>
      </rPr>
      <t>ub</t>
    </r>
    <r>
      <rPr>
        <i/>
        <sz val="9"/>
        <color theme="1"/>
        <rFont val="Calibri"/>
        <family val="2"/>
        <scheme val="minor"/>
      </rPr>
      <t xml:space="preserve"> =</t>
    </r>
  </si>
  <si>
    <r>
      <t>a</t>
    </r>
    <r>
      <rPr>
        <i/>
        <vertAlign val="subscript"/>
        <sz val="9"/>
        <color theme="1"/>
        <rFont val="Calibri"/>
        <family val="2"/>
        <scheme val="minor"/>
      </rPr>
      <t>v</t>
    </r>
    <r>
      <rPr>
        <i/>
        <sz val="9"/>
        <color theme="1"/>
        <rFont val="Calibri"/>
        <family val="2"/>
        <scheme val="minor"/>
      </rPr>
      <t xml:space="preserve"> =</t>
    </r>
  </si>
  <si>
    <r>
      <t>V</t>
    </r>
    <r>
      <rPr>
        <i/>
        <vertAlign val="subscript"/>
        <sz val="11"/>
        <color theme="1"/>
        <rFont val="Calibri"/>
        <family val="2"/>
        <scheme val="minor"/>
      </rPr>
      <t>ed</t>
    </r>
    <r>
      <rPr>
        <i/>
        <sz val="11"/>
        <color theme="1"/>
        <rFont val="Calibri"/>
        <family val="2"/>
        <scheme val="minor"/>
      </rPr>
      <t xml:space="preserve"> =</t>
    </r>
  </si>
  <si>
    <r>
      <t>N</t>
    </r>
    <r>
      <rPr>
        <i/>
        <vertAlign val="subscript"/>
        <sz val="11"/>
        <color theme="1"/>
        <rFont val="Calibri"/>
        <family val="2"/>
        <scheme val="minor"/>
      </rPr>
      <t>ed</t>
    </r>
    <r>
      <rPr>
        <i/>
        <sz val="11"/>
        <color theme="1"/>
        <rFont val="Calibri"/>
        <family val="2"/>
        <scheme val="minor"/>
      </rPr>
      <t xml:space="preserve"> =</t>
    </r>
  </si>
  <si>
    <t>Ajout de la valeur de Sj,d pour l'analyse de rigidité des assemblages</t>
  </si>
  <si>
    <t>05/02/2025</t>
  </si>
  <si>
    <t>η =</t>
  </si>
  <si>
    <t>η</t>
  </si>
  <si>
    <r>
      <t>S</t>
    </r>
    <r>
      <rPr>
        <vertAlign val="subscript"/>
        <sz val="11"/>
        <color theme="1"/>
        <rFont val="Calibri"/>
        <family val="2"/>
        <scheme val="minor"/>
      </rPr>
      <t>j</t>
    </r>
    <r>
      <rPr>
        <sz val="11"/>
        <color theme="1"/>
        <rFont val="Calibri"/>
        <family val="2"/>
        <scheme val="minor"/>
      </rPr>
      <t xml:space="preserve"> = 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/μ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</si>
  <si>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j,d</t>
    </r>
    <r>
      <rPr>
        <sz val="11"/>
        <color theme="1"/>
        <rFont val="Calibri"/>
        <family val="2"/>
        <scheme val="minor"/>
      </rPr>
      <t xml:space="preserve"> = S</t>
    </r>
    <r>
      <rPr>
        <vertAlign val="subscript"/>
        <sz val="11"/>
        <color theme="1"/>
        <rFont val="Calibri"/>
        <family val="2"/>
        <scheme val="minor"/>
      </rPr>
      <t>j,ini</t>
    </r>
    <r>
      <rPr>
        <sz val="11"/>
        <color theme="1"/>
        <rFont val="Calibri"/>
        <family val="2"/>
        <scheme val="minor"/>
      </rPr>
      <t xml:space="preserve"> /η =</t>
    </r>
  </si>
  <si>
    <r>
      <t>S</t>
    </r>
    <r>
      <rPr>
        <vertAlign val="subscript"/>
        <sz val="11"/>
        <color theme="1"/>
        <rFont val="Calibri"/>
        <family val="2"/>
        <scheme val="minor"/>
      </rPr>
      <t>j,d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</si>
  <si>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lg,Ed</t>
    </r>
    <r>
      <rPr>
        <i/>
        <sz val="11"/>
        <color theme="1"/>
        <rFont val="Calibri"/>
        <family val="2"/>
        <scheme val="minor"/>
      </rPr>
      <t xml:space="preserve"> =</t>
    </r>
  </si>
  <si>
    <r>
      <t>F</t>
    </r>
    <r>
      <rPr>
        <i/>
        <vertAlign val="subscript"/>
        <sz val="11"/>
        <color theme="1"/>
        <rFont val="Calibri"/>
        <family val="2"/>
        <scheme val="minor"/>
      </rPr>
      <t>tr,Ed</t>
    </r>
    <r>
      <rPr>
        <i/>
        <sz val="11"/>
        <color theme="1"/>
        <rFont val="Calibri"/>
        <family val="2"/>
        <scheme val="minor"/>
      </rPr>
      <t xml:space="preserve"> =</t>
    </r>
  </si>
  <si>
    <r>
      <t>Correction du texte des formules d'ancrages "d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" corrigé en "d"</t>
    </r>
  </si>
  <si>
    <t>V2.4a</t>
  </si>
  <si>
    <t>30/04/2025</t>
  </si>
  <si>
    <t>Correction tronçon en Té tendu boulons extérieurs non raidis</t>
  </si>
  <si>
    <t>V2.4b</t>
  </si>
  <si>
    <t>Ajout de la condition d'articulation des pieds de poteaux</t>
  </si>
  <si>
    <t>NF EN 1993-1-8/NA §5.2.1(2)</t>
  </si>
  <si>
    <r>
      <t>h</t>
    </r>
    <r>
      <rPr>
        <vertAlign val="subscript"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=</t>
    </r>
  </si>
  <si>
    <r>
      <t>h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=</t>
    </r>
  </si>
  <si>
    <t>rad</t>
  </si>
  <si>
    <t>θ =</t>
  </si>
  <si>
    <t>Ajout de la prise en compte de la présence d'une bêche sur les ancrages</t>
  </si>
  <si>
    <t>Bêche</t>
  </si>
  <si>
    <t>Coeff Réduction</t>
  </si>
  <si>
    <t>Ajout d'un coefficient de réduction pour les connecteurs à tête</t>
  </si>
  <si>
    <t>28/05/2025</t>
  </si>
  <si>
    <r>
      <t>A</t>
    </r>
    <r>
      <rPr>
        <vertAlign val="subscript"/>
        <sz val="10"/>
        <color theme="1"/>
        <rFont val="Calibri"/>
        <family val="2"/>
        <scheme val="minor"/>
      </rPr>
      <t xml:space="preserve">c </t>
    </r>
    <r>
      <rPr>
        <sz val="10"/>
        <color theme="1"/>
        <rFont val="Calibri"/>
        <family val="2"/>
        <scheme val="minor"/>
      </rPr>
      <t>= {2*(b+</t>
    </r>
    <r>
      <rPr>
        <i/>
        <sz val="10"/>
        <color theme="1"/>
        <rFont val="Calibri"/>
        <family val="2"/>
        <scheme val="minor"/>
      </rPr>
      <t>min</t>
    </r>
    <r>
      <rPr>
        <sz val="10"/>
        <color theme="1"/>
        <rFont val="Calibri"/>
        <family val="2"/>
        <scheme val="minor"/>
      </rPr>
      <t>(B</t>
    </r>
    <r>
      <rPr>
        <vertAlign val="subscript"/>
        <sz val="10"/>
        <color theme="1"/>
        <rFont val="Calibri"/>
        <family val="2"/>
        <scheme val="minor"/>
      </rPr>
      <t>p,h</t>
    </r>
    <r>
      <rPr>
        <sz val="10"/>
        <color theme="1"/>
        <rFont val="Calibri"/>
        <family val="2"/>
        <scheme val="minor"/>
      </rPr>
      <t>;C)+min(Bp,v;C)}*(t</t>
    </r>
    <r>
      <rPr>
        <vertAlign val="subscript"/>
        <sz val="10"/>
        <color theme="1"/>
        <rFont val="Calibri"/>
        <family val="2"/>
        <scheme val="minor"/>
      </rPr>
      <t>f</t>
    </r>
    <r>
      <rPr>
        <sz val="10"/>
        <color theme="1"/>
        <rFont val="Calibri"/>
        <family val="2"/>
        <scheme val="minor"/>
      </rPr>
      <t>+2C) - (tf+2C)² =</t>
    </r>
  </si>
  <si>
    <t>Ajout de la pression localisée sur le béton pour un profil en croix et profil en I/H</t>
  </si>
  <si>
    <r>
      <t>h</t>
    </r>
    <r>
      <rPr>
        <vertAlign val="subscript"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 xml:space="preserve"> =</t>
    </r>
  </si>
  <si>
    <r>
      <t>A</t>
    </r>
    <r>
      <rPr>
        <vertAlign val="subscript"/>
        <sz val="10"/>
        <color theme="1"/>
        <rFont val="Calibri"/>
        <family val="2"/>
        <scheme val="minor"/>
      </rPr>
      <t xml:space="preserve">c </t>
    </r>
    <r>
      <rPr>
        <sz val="10"/>
        <color theme="1"/>
        <rFont val="Calibri"/>
        <family val="2"/>
        <scheme val="minor"/>
      </rPr>
      <t>= 2*{b+2*</t>
    </r>
    <r>
      <rPr>
        <i/>
        <sz val="10"/>
        <color theme="1"/>
        <rFont val="Calibri"/>
        <family val="2"/>
        <scheme val="minor"/>
      </rPr>
      <t>min</t>
    </r>
    <r>
      <rPr>
        <sz val="10"/>
        <color theme="1"/>
        <rFont val="Calibri"/>
        <family val="2"/>
        <scheme val="minor"/>
      </rPr>
      <t>(B</t>
    </r>
    <r>
      <rPr>
        <vertAlign val="subscript"/>
        <sz val="10"/>
        <color theme="1"/>
        <rFont val="Calibri"/>
        <family val="2"/>
        <scheme val="minor"/>
      </rPr>
      <t>p,h</t>
    </r>
    <r>
      <rPr>
        <sz val="10"/>
        <color theme="1"/>
        <rFont val="Calibri"/>
        <family val="2"/>
        <scheme val="minor"/>
      </rPr>
      <t>;C)}*{t</t>
    </r>
    <r>
      <rPr>
        <vertAlign val="subscript"/>
        <sz val="10"/>
        <color theme="1"/>
        <rFont val="Calibri"/>
        <family val="2"/>
        <scheme val="minor"/>
      </rPr>
      <t>f</t>
    </r>
    <r>
      <rPr>
        <sz val="10"/>
        <color theme="1"/>
        <rFont val="Calibri"/>
        <family val="2"/>
        <scheme val="minor"/>
      </rPr>
      <t>+C+min(Bp,v;C)} +{(h</t>
    </r>
    <r>
      <rPr>
        <vertAlign val="subscript"/>
        <sz val="10"/>
        <color theme="1"/>
        <rFont val="Calibri"/>
        <family val="2"/>
        <scheme val="minor"/>
      </rPr>
      <t>w</t>
    </r>
    <r>
      <rPr>
        <sz val="10"/>
        <color theme="1"/>
        <rFont val="Calibri"/>
        <family val="2"/>
        <scheme val="minor"/>
      </rPr>
      <t>-2*C)*(t</t>
    </r>
    <r>
      <rPr>
        <vertAlign val="subscript"/>
        <sz val="10"/>
        <color theme="1"/>
        <rFont val="Calibri"/>
        <family val="2"/>
        <scheme val="minor"/>
      </rPr>
      <t>w</t>
    </r>
    <r>
      <rPr>
        <sz val="10"/>
        <color theme="1"/>
        <rFont val="Calibri"/>
        <family val="2"/>
        <scheme val="minor"/>
      </rPr>
      <t>+2*C)}=</t>
    </r>
  </si>
  <si>
    <r>
      <t>t</t>
    </r>
    <r>
      <rPr>
        <vertAlign val="subscript"/>
        <sz val="9"/>
        <color theme="1"/>
        <rFont val="Calibri"/>
        <family val="2"/>
        <scheme val="minor"/>
      </rPr>
      <t>p</t>
    </r>
    <r>
      <rPr>
        <sz val="9"/>
        <color theme="1"/>
        <rFont val="Calibri"/>
        <family val="2"/>
        <scheme val="minor"/>
      </rPr>
      <t xml:space="preserve"> =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</si>
  <si>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t,Ed,éq</t>
    </r>
    <r>
      <rPr>
        <b/>
        <sz val="11"/>
        <color theme="1"/>
        <rFont val="Calibri"/>
        <family val="2"/>
        <scheme val="minor"/>
      </rPr>
      <t xml:space="preserve"> =</t>
    </r>
  </si>
  <si>
    <t>V2.4c</t>
  </si>
  <si>
    <t>20/07/2025</t>
  </si>
  <si>
    <t>Ajout de la traction équivalente dans les tiges</t>
  </si>
  <si>
    <t>CARF  90*3</t>
  </si>
  <si>
    <t>V2.4d</t>
  </si>
  <si>
    <t>31/10/2025</t>
  </si>
  <si>
    <t>Amélioration soudure plat en cisaillement quand M_Ed = 0</t>
  </si>
  <si>
    <t>mx =</t>
  </si>
  <si>
    <t>V2.4e</t>
  </si>
  <si>
    <r>
      <t>Ajout outils calcul dimension m et m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pour T Tendus</t>
    </r>
  </si>
  <si>
    <t>01/04/2026</t>
  </si>
  <si>
    <t>V2.5</t>
  </si>
  <si>
    <t>Ajout d'une feuille "Configuration" pour modifier les paramètres généraux</t>
  </si>
  <si>
    <t>Feuille 18</t>
  </si>
  <si>
    <t>Configurations Générales de la Feuille</t>
  </si>
  <si>
    <t>Langue</t>
  </si>
  <si>
    <t>FR</t>
  </si>
  <si>
    <t>Coefficients partiels :</t>
  </si>
  <si>
    <t>Résistance des sections à la plastification</t>
  </si>
  <si>
    <t>Résistance à l'instabilité des membrures</t>
  </si>
  <si>
    <t>Résistance ultime des sections nettes — boulons, rivets, soudures</t>
  </si>
  <si>
    <t>Résistance de la tige en traction — boulons HR injectés</t>
  </si>
  <si>
    <t>Résistance des assemblages bois — structures mixtes</t>
  </si>
  <si>
    <t>Résistance des boulons HR en traction</t>
  </si>
  <si>
    <t>Résistance des boulons précontraints — catégorie E</t>
  </si>
  <si>
    <t>Glissement d'assemblages boulonnés — catégorie C</t>
  </si>
  <si>
    <t>Glissement d'assemblages boulonnés — catégories A et B</t>
  </si>
  <si>
    <t>γ_M0 =</t>
  </si>
  <si>
    <t>γ_M1 =</t>
  </si>
  <si>
    <t>γ_M2 =</t>
  </si>
  <si>
    <t>γ_M3 =</t>
  </si>
  <si>
    <t>γ_M3,ser  =</t>
  </si>
  <si>
    <t>γ_M4 =</t>
  </si>
  <si>
    <t>γ_M5  =</t>
  </si>
  <si>
    <t>γ_M6,ser =</t>
  </si>
  <si>
    <t>γ_M7 =</t>
  </si>
  <si>
    <t>02/04/2026</t>
  </si>
  <si>
    <t>Ajout de la posibilité de modifier les coefficients partiels (sauf Feuille EN1992-4)</t>
  </si>
  <si>
    <t>Ajout de l'option Anglais - Choix FR/EN dans la feuille Configuration</t>
  </si>
  <si>
    <t>Configuration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</si>
</sst>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9">
    <numFmt numFmtId="164" formatCode="0.0"/>
    <numFmt numFmtId="165" formatCode="0.000"/>
    <numFmt numFmtId="166" formatCode="#,##0.0"/>
    <numFmt numFmtId="167" formatCode="#,##0.00&quot;  mm&quot;"/>
    <numFmt numFmtId="168" formatCode="#,##0&quot;  mm&quot;"/>
    <numFmt numFmtId="169" formatCode="0&quot; mm²&quot;"/>
    <numFmt numFmtId="170" formatCode="&quot;S&quot;0"/>
    <numFmt numFmtId="171" formatCode="&quot;M&quot;0"/>
    <numFmt numFmtId="172" formatCode="#,##0.00&quot;  m&quot;"/>
    <numFmt numFmtId="173" formatCode="&quot;L/ &quot;0"/>
    <numFmt numFmtId="174" formatCode="##,##0&quot; daN.m&quot;"/>
    <numFmt numFmtId="175" formatCode="#,##0&quot; daN&quot;"/>
    <numFmt numFmtId="176" formatCode="#,##0.0&quot;  mm&quot;"/>
    <numFmt numFmtId="177" formatCode="#,##0.0&quot; mm&quot;"/>
    <numFmt numFmtId="178" formatCode="#,##0.0&quot;  cm²&quot;"/>
    <numFmt numFmtId="179" formatCode="#,##0.0&quot; cm3&quot;"/>
    <numFmt numFmtId="180" formatCode="#,##0&quot; mm&quot;"/>
    <numFmt numFmtId="181" formatCode="##,##0&quot; daN&quot;"/>
    <numFmt numFmtId="182" formatCode="#,##0&quot; cm4&quot;"/>
    <numFmt numFmtId="183" formatCode="0.0000"/>
    <numFmt numFmtId="184" formatCode="#,##0.0&quot; cm4&quot;"/>
    <numFmt numFmtId="185" formatCode="#,##0&quot;  mm²&quot;"/>
    <numFmt numFmtId="186" formatCode="##,##0&quot; daN /boulon&quot;"/>
    <numFmt numFmtId="187" formatCode="#,##0&quot;  mm2&quot;"/>
    <numFmt numFmtId="188" formatCode="#,##0&quot;  daN/mm²&quot;"/>
    <numFmt numFmtId="189" formatCode="&quot;HR &quot;0.0"/>
    <numFmt numFmtId="190" formatCode="#,##0.00&quot;  daN/mm²&quot;"/>
    <numFmt numFmtId="191" formatCode="&quot;Ø &quot;0"/>
    <numFmt numFmtId="192" formatCode="#,##0.0&quot;  daN/mm²&quot;"/>
    <numFmt numFmtId="193" formatCode="#,##0.0&quot;  cm³&quot;"/>
    <numFmt numFmtId="194" formatCode="#,##0.0&quot;  cm&quot;"/>
    <numFmt numFmtId="195" formatCode="#,##0&quot;  cm³&quot;"/>
    <numFmt numFmtId="196" formatCode="#,##0&quot;  cm⁴&quot;"/>
    <numFmt numFmtId="197" formatCode="#,##0.0&quot;  daN/mm&quot;"/>
    <numFmt numFmtId="198" formatCode="#,##0.0&quot;  N/mm²&quot;"/>
    <numFmt numFmtId="199" formatCode="0.000000"/>
    <numFmt numFmtId="200" formatCode="0.00000"/>
    <numFmt numFmtId="201" formatCode="0&quot; mm&quot;"/>
    <numFmt numFmtId="202" formatCode="0.0&quot; mm&quot;"/>
  </numFmts>
  <fonts count="1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vertAlign val="superscript"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sz val="10"/>
      <name val="MS Sans Serif"/>
    </font>
    <font>
      <sz val="11"/>
      <color theme="0" tint="-0.34998626667073579"/>
      <name val="Calibri"/>
      <family val="2"/>
    </font>
    <font>
      <b/>
      <sz val="12"/>
      <color theme="0" tint="-0.34998626667073579"/>
      <name val="Calibri"/>
      <family val="2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vertAlign val="superscript"/>
      <sz val="14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4"/>
      <color theme="2" tint="-0.249977111117893"/>
      <name val="Calibri"/>
      <family val="2"/>
      <scheme val="minor"/>
    </font>
    <font>
      <vertAlign val="superscript"/>
      <sz val="11"/>
      <color theme="0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vertAlign val="superscript"/>
      <sz val="14"/>
      <color theme="0" tint="-0.499984740745262"/>
      <name val="Calibri"/>
      <family val="2"/>
      <scheme val="minor"/>
    </font>
    <font>
      <b/>
      <sz val="13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4"/>
      <color theme="1" tint="0.34998626667073579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name val="Symbol"/>
      <family val="1"/>
      <charset val="2"/>
    </font>
    <font>
      <sz val="11"/>
      <name val="Symbol"/>
      <family val="1"/>
      <charset val="2"/>
    </font>
    <font>
      <sz val="11"/>
      <color theme="1"/>
      <name val="Symbol"/>
      <family val="1"/>
      <charset val="2"/>
    </font>
    <font>
      <sz val="11"/>
      <color theme="0" tint="-0.249977111117893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indexed="48"/>
      <name val="Arial"/>
      <family val="2"/>
    </font>
    <font>
      <sz val="10"/>
      <color indexed="10"/>
      <name val="Arial"/>
      <family val="2"/>
    </font>
    <font>
      <vertAlign val="subscript"/>
      <sz val="11"/>
      <name val="Calibri"/>
      <family val="2"/>
    </font>
    <font>
      <vertAlign val="subscript"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vertAlign val="subscript"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vertAlign val="subscript"/>
      <sz val="11"/>
      <name val="Calibri"/>
      <family val="2"/>
      <scheme val="minor"/>
    </font>
    <font>
      <i/>
      <vertAlign val="subscript"/>
      <sz val="9"/>
      <color theme="1"/>
      <name val="Calibri"/>
      <family val="2"/>
      <scheme val="minor"/>
    </font>
    <font>
      <vertAlign val="subscript"/>
      <sz val="9"/>
      <color theme="1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vertAlign val="subscript"/>
      <sz val="11"/>
      <color theme="0" tint="-0.34998626667073579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vertAlign val="subscript"/>
      <sz val="9"/>
      <name val="Calibri"/>
      <family val="2"/>
      <scheme val="minor"/>
    </font>
    <font>
      <sz val="6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8"/>
      <color rgb="FF0070C0"/>
      <name val="Calibri"/>
      <family val="2"/>
      <scheme val="minor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sz val="11"/>
      <color rgb="FFC00000"/>
      <name val="Calibri"/>
      <family val="2"/>
      <scheme val="minor"/>
    </font>
    <font>
      <b/>
      <sz val="14"/>
      <color theme="1"/>
      <name val="Arial"/>
      <family val="2"/>
    </font>
    <font>
      <vertAlign val="subscript"/>
      <sz val="12"/>
      <color theme="1"/>
      <name val="Calibri"/>
      <family val="2"/>
      <scheme val="minor"/>
    </font>
    <font>
      <vertAlign val="subscript"/>
      <sz val="10.5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vertAlign val="subscript"/>
      <sz val="11"/>
      <color rgb="FF22222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0"/>
      <color theme="1"/>
      <name val="Arial Narrow"/>
      <family val="2"/>
    </font>
    <font>
      <sz val="9"/>
      <color rgb="FF0070C0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vertAlign val="subscript"/>
      <sz val="11"/>
      <color rgb="FF00B050"/>
      <name val="Calibri"/>
      <family val="2"/>
      <scheme val="minor"/>
    </font>
    <font>
      <vertAlign val="subscript"/>
      <sz val="11"/>
      <color rgb="FFC00000"/>
      <name val="Calibri"/>
      <family val="2"/>
      <scheme val="minor"/>
    </font>
    <font>
      <sz val="10"/>
      <color rgb="FFC00000"/>
      <name val="Calibri"/>
      <family val="2"/>
      <scheme val="minor"/>
    </font>
    <font>
      <vertAlign val="subscript"/>
      <sz val="11"/>
      <color theme="0" tint="-0.34998626667073579"/>
      <name val="Calibri"/>
      <family val="2"/>
      <scheme val="minor"/>
    </font>
    <font>
      <vertAlign val="superscript"/>
      <sz val="11"/>
      <color theme="0" tint="-0.34998626667073579"/>
      <name val="Calibri"/>
      <family val="2"/>
      <scheme val="minor"/>
    </font>
    <font>
      <b/>
      <sz val="11"/>
      <color rgb="FF0070C0"/>
      <name val="Calibri"/>
      <family val="2"/>
      <scheme val="minor"/>
    </font>
    <font>
      <vertAlign val="subscript"/>
      <sz val="9"/>
      <color indexed="81"/>
      <name val="Tahoma"/>
      <family val="2"/>
    </font>
    <font>
      <b/>
      <sz val="11"/>
      <color theme="0" tint="-0.249977111117893"/>
      <name val="Calibri"/>
      <family val="2"/>
      <scheme val="minor"/>
    </font>
    <font>
      <b/>
      <vertAlign val="subscript"/>
      <sz val="11"/>
      <color theme="0" tint="-0.249977111117893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1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theme="0" tint="-0.24994659260841701"/>
      </top>
      <bottom style="dotted">
        <color auto="1"/>
      </bottom>
      <diagonal/>
    </border>
  </borders>
  <cellStyleXfs count="5">
    <xf numFmtId="0" fontId="0" fillId="0" borderId="0"/>
    <xf numFmtId="0" fontId="5" fillId="0" borderId="0"/>
    <xf numFmtId="0" fontId="13" fillId="0" borderId="0"/>
    <xf numFmtId="0" fontId="20" fillId="0" borderId="0" applyNumberFormat="0" applyFill="0" applyBorder="0" applyAlignment="0" applyProtection="0"/>
    <xf numFmtId="0" fontId="5" fillId="0" borderId="0"/>
  </cellStyleXfs>
  <cellXfs count="1144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6" xfId="0" applyFont="1" applyFill="1" applyBorder="1"/>
    <xf numFmtId="0" fontId="2" fillId="3" borderId="17" xfId="0" applyFont="1" applyFill="1" applyBorder="1"/>
    <xf numFmtId="0" fontId="2" fillId="3" borderId="18" xfId="0" applyFont="1" applyFill="1" applyBorder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22" xfId="0" applyNumberFormat="1" applyBorder="1"/>
    <xf numFmtId="3" fontId="0" fillId="0" borderId="21" xfId="0" applyNumberFormat="1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3" fontId="2" fillId="3" borderId="18" xfId="0" applyNumberFormat="1" applyFont="1" applyFill="1" applyBorder="1"/>
    <xf numFmtId="164" fontId="0" fillId="0" borderId="1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164" fontId="0" fillId="0" borderId="2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6" xfId="0" applyFont="1" applyFill="1" applyBorder="1"/>
    <xf numFmtId="0" fontId="4" fillId="3" borderId="17" xfId="0" applyFont="1" applyFill="1" applyBorder="1"/>
    <xf numFmtId="3" fontId="4" fillId="3" borderId="18" xfId="0" applyNumberFormat="1" applyFont="1" applyFill="1" applyBorder="1"/>
    <xf numFmtId="0" fontId="4" fillId="3" borderId="18" xfId="0" applyFont="1" applyFill="1" applyBorder="1"/>
    <xf numFmtId="164" fontId="0" fillId="0" borderId="21" xfId="0" applyNumberFormat="1" applyBorder="1" applyAlignment="1">
      <alignment horizontal="center"/>
    </xf>
    <xf numFmtId="0" fontId="0" fillId="0" borderId="22" xfId="0" applyBorder="1"/>
    <xf numFmtId="0" fontId="0" fillId="0" borderId="27" xfId="0" applyBorder="1"/>
    <xf numFmtId="3" fontId="0" fillId="0" borderId="28" xfId="0" applyNumberFormat="1" applyBorder="1"/>
    <xf numFmtId="0" fontId="0" fillId="0" borderId="11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5" xfId="0" applyNumberFormat="1" applyBorder="1"/>
    <xf numFmtId="1" fontId="0" fillId="0" borderId="14" xfId="0" applyNumberFormat="1" applyBorder="1"/>
    <xf numFmtId="0" fontId="0" fillId="2" borderId="30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1" applyFill="1" applyBorder="1" applyAlignment="1">
      <alignment horizontal="center" vertical="center"/>
    </xf>
    <xf numFmtId="0" fontId="5" fillId="2" borderId="4" xfId="1" applyFill="1" applyBorder="1" applyAlignment="1">
      <alignment horizontal="center" vertical="center"/>
    </xf>
    <xf numFmtId="0" fontId="5" fillId="2" borderId="1" xfId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0" borderId="0" xfId="1"/>
    <xf numFmtId="0" fontId="6" fillId="2" borderId="20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21" xfId="1" applyFont="1" applyFill="1" applyBorder="1" applyAlignment="1">
      <alignment horizontal="center"/>
    </xf>
    <xf numFmtId="0" fontId="6" fillId="2" borderId="37" xfId="1" applyFont="1" applyFill="1" applyBorder="1" applyAlignment="1">
      <alignment horizontal="center"/>
    </xf>
    <xf numFmtId="0" fontId="6" fillId="2" borderId="19" xfId="1" applyFont="1" applyFill="1" applyBorder="1" applyAlignment="1">
      <alignment horizontal="center"/>
    </xf>
    <xf numFmtId="0" fontId="6" fillId="2" borderId="38" xfId="1" applyFont="1" applyFill="1" applyBorder="1" applyAlignment="1">
      <alignment horizontal="center"/>
    </xf>
    <xf numFmtId="0" fontId="6" fillId="2" borderId="39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6" fillId="2" borderId="43" xfId="1" applyFont="1" applyFill="1" applyBorder="1" applyAlignment="1">
      <alignment horizontal="center"/>
    </xf>
    <xf numFmtId="0" fontId="7" fillId="2" borderId="41" xfId="1" applyFont="1" applyFill="1" applyBorder="1" applyAlignment="1">
      <alignment horizontal="center"/>
    </xf>
    <xf numFmtId="0" fontId="7" fillId="2" borderId="39" xfId="1" applyFont="1" applyFill="1" applyBorder="1" applyAlignment="1">
      <alignment horizontal="center"/>
    </xf>
    <xf numFmtId="0" fontId="7" fillId="2" borderId="42" xfId="1" applyFont="1" applyFill="1" applyBorder="1" applyAlignment="1">
      <alignment horizontal="center"/>
    </xf>
    <xf numFmtId="0" fontId="7" fillId="2" borderId="20" xfId="1" applyFont="1" applyFill="1" applyBorder="1" applyAlignment="1">
      <alignment horizontal="center"/>
    </xf>
    <xf numFmtId="0" fontId="7" fillId="2" borderId="38" xfId="1" applyFont="1" applyFill="1" applyBorder="1" applyAlignment="1">
      <alignment horizontal="center"/>
    </xf>
    <xf numFmtId="0" fontId="7" fillId="2" borderId="40" xfId="1" applyFont="1" applyFill="1" applyBorder="1" applyAlignment="1">
      <alignment horizont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  <xf numFmtId="0" fontId="5" fillId="2" borderId="44" xfId="1" applyFill="1" applyBorder="1" applyAlignment="1">
      <alignment horizontal="center"/>
    </xf>
    <xf numFmtId="0" fontId="5" fillId="2" borderId="11" xfId="1" applyFill="1" applyBorder="1" applyAlignment="1">
      <alignment horizontal="center"/>
    </xf>
    <xf numFmtId="0" fontId="5" fillId="2" borderId="45" xfId="1" applyFill="1" applyBorder="1" applyAlignment="1">
      <alignment horizontal="center"/>
    </xf>
    <xf numFmtId="0" fontId="5" fillId="2" borderId="46" xfId="1" applyFill="1" applyBorder="1" applyAlignment="1">
      <alignment horizontal="center"/>
    </xf>
    <xf numFmtId="49" fontId="6" fillId="4" borderId="48" xfId="1" applyNumberFormat="1" applyFont="1" applyFill="1" applyBorder="1"/>
    <xf numFmtId="49" fontId="6" fillId="0" borderId="50" xfId="1" applyNumberFormat="1" applyFont="1" applyBorder="1" applyAlignment="1">
      <alignment horizontal="center"/>
    </xf>
    <xf numFmtId="1" fontId="6" fillId="0" borderId="50" xfId="1" applyNumberFormat="1" applyFont="1" applyBorder="1" applyAlignment="1">
      <alignment horizontal="center"/>
    </xf>
    <xf numFmtId="164" fontId="6" fillId="0" borderId="50" xfId="1" applyNumberFormat="1" applyFont="1" applyBorder="1" applyAlignment="1">
      <alignment horizontal="center"/>
    </xf>
    <xf numFmtId="2" fontId="6" fillId="0" borderId="50" xfId="1" applyNumberFormat="1" applyFont="1" applyBorder="1" applyAlignment="1">
      <alignment horizontal="center"/>
    </xf>
    <xf numFmtId="165" fontId="6" fillId="0" borderId="50" xfId="1" applyNumberFormat="1" applyFont="1" applyBorder="1" applyAlignment="1">
      <alignment horizontal="center"/>
    </xf>
    <xf numFmtId="2" fontId="6" fillId="0" borderId="51" xfId="1" applyNumberFormat="1" applyFont="1" applyBorder="1" applyAlignment="1">
      <alignment horizontal="center"/>
    </xf>
    <xf numFmtId="0" fontId="6" fillId="0" borderId="0" xfId="1" applyFont="1"/>
    <xf numFmtId="49" fontId="6" fillId="5" borderId="52" xfId="1" applyNumberFormat="1" applyFont="1" applyFill="1" applyBorder="1" applyAlignment="1">
      <alignment horizontal="center"/>
    </xf>
    <xf numFmtId="1" fontId="6" fillId="5" borderId="52" xfId="1" applyNumberFormat="1" applyFont="1" applyFill="1" applyBorder="1" applyAlignment="1">
      <alignment horizontal="center"/>
    </xf>
    <xf numFmtId="164" fontId="6" fillId="5" borderId="52" xfId="1" applyNumberFormat="1" applyFont="1" applyFill="1" applyBorder="1" applyAlignment="1">
      <alignment horizontal="center"/>
    </xf>
    <xf numFmtId="2" fontId="6" fillId="5" borderId="52" xfId="1" applyNumberFormat="1" applyFont="1" applyFill="1" applyBorder="1" applyAlignment="1">
      <alignment horizontal="center"/>
    </xf>
    <xf numFmtId="165" fontId="6" fillId="5" borderId="52" xfId="1" applyNumberFormat="1" applyFont="1" applyFill="1" applyBorder="1" applyAlignment="1">
      <alignment horizontal="center"/>
    </xf>
    <xf numFmtId="2" fontId="6" fillId="5" borderId="53" xfId="1" applyNumberFormat="1" applyFont="1" applyFill="1" applyBorder="1" applyAlignment="1">
      <alignment horizontal="center"/>
    </xf>
    <xf numFmtId="49" fontId="5" fillId="5" borderId="50" xfId="1" applyNumberFormat="1" applyFill="1" applyBorder="1" applyAlignment="1">
      <alignment horizontal="center"/>
    </xf>
    <xf numFmtId="1" fontId="5" fillId="5" borderId="50" xfId="1" applyNumberFormat="1" applyFill="1" applyBorder="1" applyAlignment="1">
      <alignment horizontal="center"/>
    </xf>
    <xf numFmtId="164" fontId="5" fillId="5" borderId="50" xfId="1" applyNumberFormat="1" applyFill="1" applyBorder="1" applyAlignment="1">
      <alignment horizontal="center"/>
    </xf>
    <xf numFmtId="2" fontId="5" fillId="5" borderId="50" xfId="1" applyNumberFormat="1" applyFill="1" applyBorder="1" applyAlignment="1">
      <alignment horizontal="center"/>
    </xf>
    <xf numFmtId="165" fontId="5" fillId="5" borderId="50" xfId="1" applyNumberFormat="1" applyFill="1" applyBorder="1" applyAlignment="1">
      <alignment horizontal="center"/>
    </xf>
    <xf numFmtId="2" fontId="5" fillId="5" borderId="51" xfId="1" applyNumberFormat="1" applyFill="1" applyBorder="1" applyAlignment="1">
      <alignment horizontal="center"/>
    </xf>
    <xf numFmtId="49" fontId="5" fillId="5" borderId="54" xfId="1" applyNumberFormat="1" applyFill="1" applyBorder="1" applyAlignment="1">
      <alignment horizontal="center"/>
    </xf>
    <xf numFmtId="1" fontId="5" fillId="5" borderId="54" xfId="1" applyNumberFormat="1" applyFill="1" applyBorder="1" applyAlignment="1">
      <alignment horizontal="center"/>
    </xf>
    <xf numFmtId="164" fontId="5" fillId="5" borderId="54" xfId="1" applyNumberFormat="1" applyFill="1" applyBorder="1" applyAlignment="1">
      <alignment horizontal="center"/>
    </xf>
    <xf numFmtId="2" fontId="5" fillId="5" borderId="54" xfId="1" applyNumberFormat="1" applyFill="1" applyBorder="1" applyAlignment="1">
      <alignment horizontal="center"/>
    </xf>
    <xf numFmtId="165" fontId="5" fillId="5" borderId="54" xfId="1" applyNumberFormat="1" applyFill="1" applyBorder="1" applyAlignment="1">
      <alignment horizontal="center"/>
    </xf>
    <xf numFmtId="2" fontId="5" fillId="5" borderId="55" xfId="1" applyNumberFormat="1" applyFill="1" applyBorder="1" applyAlignment="1">
      <alignment horizontal="center"/>
    </xf>
    <xf numFmtId="49" fontId="5" fillId="0" borderId="50" xfId="1" applyNumberFormat="1" applyBorder="1" applyAlignment="1">
      <alignment horizontal="center"/>
    </xf>
    <xf numFmtId="1" fontId="5" fillId="0" borderId="50" xfId="1" applyNumberFormat="1" applyBorder="1" applyAlignment="1">
      <alignment horizontal="center"/>
    </xf>
    <xf numFmtId="164" fontId="5" fillId="0" borderId="50" xfId="1" applyNumberFormat="1" applyBorder="1" applyAlignment="1">
      <alignment horizontal="center"/>
    </xf>
    <xf numFmtId="2" fontId="5" fillId="0" borderId="50" xfId="1" applyNumberFormat="1" applyBorder="1" applyAlignment="1">
      <alignment horizontal="center"/>
    </xf>
    <xf numFmtId="165" fontId="5" fillId="0" borderId="50" xfId="1" applyNumberFormat="1" applyBorder="1" applyAlignment="1">
      <alignment horizontal="center"/>
    </xf>
    <xf numFmtId="2" fontId="5" fillId="0" borderId="51" xfId="1" applyNumberFormat="1" applyBorder="1" applyAlignment="1">
      <alignment horizontal="center"/>
    </xf>
    <xf numFmtId="49" fontId="6" fillId="5" borderId="56" xfId="1" applyNumberFormat="1" applyFont="1" applyFill="1" applyBorder="1" applyAlignment="1">
      <alignment horizontal="center"/>
    </xf>
    <xf numFmtId="1" fontId="6" fillId="5" borderId="56" xfId="1" applyNumberFormat="1" applyFont="1" applyFill="1" applyBorder="1" applyAlignment="1">
      <alignment horizontal="center"/>
    </xf>
    <xf numFmtId="164" fontId="6" fillId="5" borderId="56" xfId="1" applyNumberFormat="1" applyFont="1" applyFill="1" applyBorder="1" applyAlignment="1">
      <alignment horizontal="center"/>
    </xf>
    <xf numFmtId="2" fontId="6" fillId="5" borderId="56" xfId="1" applyNumberFormat="1" applyFont="1" applyFill="1" applyBorder="1" applyAlignment="1">
      <alignment horizontal="center"/>
    </xf>
    <xf numFmtId="165" fontId="6" fillId="5" borderId="56" xfId="1" applyNumberFormat="1" applyFont="1" applyFill="1" applyBorder="1" applyAlignment="1">
      <alignment horizontal="center"/>
    </xf>
    <xf numFmtId="2" fontId="6" fillId="5" borderId="57" xfId="1" applyNumberFormat="1" applyFont="1" applyFill="1" applyBorder="1" applyAlignment="1">
      <alignment horizontal="center"/>
    </xf>
    <xf numFmtId="0" fontId="6" fillId="5" borderId="52" xfId="1" applyFont="1" applyFill="1" applyBorder="1" applyAlignment="1">
      <alignment horizontal="center"/>
    </xf>
    <xf numFmtId="0" fontId="5" fillId="5" borderId="50" xfId="1" applyFill="1" applyBorder="1" applyAlignment="1">
      <alignment horizontal="center"/>
    </xf>
    <xf numFmtId="0" fontId="5" fillId="5" borderId="54" xfId="1" applyFill="1" applyBorder="1" applyAlignment="1">
      <alignment horizontal="center"/>
    </xf>
    <xf numFmtId="0" fontId="6" fillId="0" borderId="50" xfId="1" applyFont="1" applyBorder="1" applyAlignment="1">
      <alignment horizontal="center"/>
    </xf>
    <xf numFmtId="0" fontId="5" fillId="0" borderId="50" xfId="1" applyBorder="1" applyAlignment="1">
      <alignment horizontal="center"/>
    </xf>
    <xf numFmtId="49" fontId="6" fillId="5" borderId="50" xfId="1" applyNumberFormat="1" applyFont="1" applyFill="1" applyBorder="1" applyAlignment="1">
      <alignment horizontal="center"/>
    </xf>
    <xf numFmtId="1" fontId="6" fillId="5" borderId="50" xfId="1" applyNumberFormat="1" applyFont="1" applyFill="1" applyBorder="1" applyAlignment="1">
      <alignment horizontal="center"/>
    </xf>
    <xf numFmtId="164" fontId="6" fillId="5" borderId="50" xfId="1" applyNumberFormat="1" applyFont="1" applyFill="1" applyBorder="1" applyAlignment="1">
      <alignment horizontal="center"/>
    </xf>
    <xf numFmtId="2" fontId="6" fillId="5" borderId="50" xfId="1" applyNumberFormat="1" applyFont="1" applyFill="1" applyBorder="1" applyAlignment="1">
      <alignment horizontal="center"/>
    </xf>
    <xf numFmtId="165" fontId="6" fillId="5" borderId="50" xfId="1" applyNumberFormat="1" applyFont="1" applyFill="1" applyBorder="1" applyAlignment="1">
      <alignment horizontal="center"/>
    </xf>
    <xf numFmtId="2" fontId="6" fillId="5" borderId="51" xfId="1" applyNumberFormat="1" applyFont="1" applyFill="1" applyBorder="1" applyAlignment="1">
      <alignment horizontal="center"/>
    </xf>
    <xf numFmtId="49" fontId="9" fillId="5" borderId="52" xfId="1" applyNumberFormat="1" applyFont="1" applyFill="1" applyBorder="1" applyAlignment="1">
      <alignment horizontal="center"/>
    </xf>
    <xf numFmtId="49" fontId="10" fillId="5" borderId="50" xfId="1" applyNumberFormat="1" applyFont="1" applyFill="1" applyBorder="1" applyAlignment="1">
      <alignment horizontal="center"/>
    </xf>
    <xf numFmtId="49" fontId="10" fillId="5" borderId="54" xfId="1" applyNumberFormat="1" applyFont="1" applyFill="1" applyBorder="1" applyAlignment="1">
      <alignment horizontal="center"/>
    </xf>
    <xf numFmtId="49" fontId="9" fillId="0" borderId="50" xfId="1" applyNumberFormat="1" applyFont="1" applyBorder="1" applyAlignment="1">
      <alignment horizontal="center"/>
    </xf>
    <xf numFmtId="49" fontId="10" fillId="0" borderId="50" xfId="1" applyNumberFormat="1" applyFont="1" applyBorder="1" applyAlignment="1">
      <alignment horizontal="center"/>
    </xf>
    <xf numFmtId="49" fontId="5" fillId="0" borderId="0" xfId="1" applyNumberFormat="1"/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2" borderId="23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49" fontId="2" fillId="3" borderId="58" xfId="0" applyNumberFormat="1" applyFont="1" applyFill="1" applyBorder="1" applyAlignment="1">
      <alignment horizontal="center"/>
    </xf>
    <xf numFmtId="0" fontId="2" fillId="3" borderId="47" xfId="0" applyFont="1" applyFill="1" applyBorder="1"/>
    <xf numFmtId="0" fontId="2" fillId="3" borderId="49" xfId="0" applyFont="1" applyFill="1" applyBorder="1"/>
    <xf numFmtId="0" fontId="2" fillId="3" borderId="48" xfId="0" applyFont="1" applyFill="1" applyBorder="1"/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49" fontId="0" fillId="5" borderId="46" xfId="0" applyNumberFormat="1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2" fontId="0" fillId="5" borderId="44" xfId="0" applyNumberFormat="1" applyFill="1" applyBorder="1" applyAlignment="1">
      <alignment horizontal="center"/>
    </xf>
    <xf numFmtId="165" fontId="0" fillId="5" borderId="44" xfId="0" applyNumberFormat="1" applyFill="1" applyBorder="1" applyAlignment="1">
      <alignment horizontal="center"/>
    </xf>
    <xf numFmtId="166" fontId="0" fillId="5" borderId="44" xfId="0" applyNumberFormat="1" applyFill="1" applyBorder="1" applyAlignment="1">
      <alignment horizontal="center"/>
    </xf>
    <xf numFmtId="0" fontId="0" fillId="5" borderId="45" xfId="0" applyFill="1" applyBorder="1" applyAlignment="1">
      <alignment horizontal="center"/>
    </xf>
    <xf numFmtId="49" fontId="0" fillId="5" borderId="59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165" fontId="0" fillId="5" borderId="0" xfId="0" applyNumberFormat="1" applyFill="1" applyAlignment="1">
      <alignment horizontal="center"/>
    </xf>
    <xf numFmtId="166" fontId="0" fillId="5" borderId="0" xfId="0" applyNumberFormat="1" applyFill="1" applyAlignment="1">
      <alignment horizontal="center"/>
    </xf>
    <xf numFmtId="0" fontId="0" fillId="5" borderId="60" xfId="0" applyFill="1" applyBorder="1" applyAlignment="1">
      <alignment horizontal="center"/>
    </xf>
    <xf numFmtId="49" fontId="0" fillId="5" borderId="42" xfId="0" applyNumberFormat="1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2" fontId="0" fillId="5" borderId="37" xfId="0" applyNumberFormat="1" applyFill="1" applyBorder="1" applyAlignment="1">
      <alignment horizontal="center"/>
    </xf>
    <xf numFmtId="165" fontId="0" fillId="5" borderId="37" xfId="0" applyNumberFormat="1" applyFill="1" applyBorder="1" applyAlignment="1">
      <alignment horizontal="center"/>
    </xf>
    <xf numFmtId="166" fontId="0" fillId="5" borderId="37" xfId="0" applyNumberFormat="1" applyFill="1" applyBorder="1" applyAlignment="1">
      <alignment horizontal="center"/>
    </xf>
    <xf numFmtId="0" fontId="0" fillId="5" borderId="41" xfId="0" applyFill="1" applyBorder="1" applyAlignment="1">
      <alignment horizontal="center"/>
    </xf>
    <xf numFmtId="3" fontId="0" fillId="5" borderId="44" xfId="0" applyNumberFormat="1" applyFill="1" applyBorder="1" applyAlignment="1">
      <alignment horizontal="center"/>
    </xf>
    <xf numFmtId="3" fontId="0" fillId="5" borderId="0" xfId="0" applyNumberFormat="1" applyFill="1" applyAlignment="1">
      <alignment horizontal="center"/>
    </xf>
    <xf numFmtId="3" fontId="0" fillId="5" borderId="37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5" borderId="44" xfId="0" applyNumberForma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0" fillId="5" borderId="37" xfId="0" applyNumberForma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49" fontId="0" fillId="5" borderId="46" xfId="0" applyNumberFormat="1" applyFill="1" applyBorder="1" applyAlignment="1">
      <alignment horizontal="center" vertical="center"/>
    </xf>
    <xf numFmtId="2" fontId="0" fillId="5" borderId="44" xfId="0" applyNumberFormat="1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166" fontId="0" fillId="5" borderId="44" xfId="0" applyNumberFormat="1" applyFill="1" applyBorder="1" applyAlignment="1">
      <alignment horizontal="center" vertical="center"/>
    </xf>
    <xf numFmtId="0" fontId="0" fillId="5" borderId="45" xfId="0" applyFill="1" applyBorder="1" applyAlignment="1">
      <alignment horizontal="center" vertical="center"/>
    </xf>
    <xf numFmtId="49" fontId="0" fillId="5" borderId="59" xfId="0" applyNumberFormat="1" applyFill="1" applyBorder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5" borderId="60" xfId="0" applyFill="1" applyBorder="1" applyAlignment="1">
      <alignment horizontal="center" vertical="center"/>
    </xf>
    <xf numFmtId="49" fontId="0" fillId="5" borderId="42" xfId="0" applyNumberFormat="1" applyFill="1" applyBorder="1" applyAlignment="1">
      <alignment horizontal="center" vertical="center"/>
    </xf>
    <xf numFmtId="2" fontId="0" fillId="5" borderId="37" xfId="0" applyNumberForma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166" fontId="0" fillId="5" borderId="37" xfId="0" applyNumberFormat="1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2" fillId="3" borderId="47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49" fontId="0" fillId="0" borderId="0" xfId="0" applyNumberFormat="1"/>
    <xf numFmtId="0" fontId="0" fillId="2" borderId="1" xfId="0" applyFill="1" applyBorder="1" applyAlignment="1">
      <alignment horizontal="center" vertical="center" wrapText="1"/>
    </xf>
    <xf numFmtId="0" fontId="2" fillId="3" borderId="58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0" fontId="0" fillId="5" borderId="46" xfId="0" applyFill="1" applyBorder="1" applyAlignment="1">
      <alignment horizontal="center"/>
    </xf>
    <xf numFmtId="4" fontId="0" fillId="5" borderId="44" xfId="0" applyNumberFormat="1" applyFill="1" applyBorder="1" applyAlignment="1">
      <alignment horizontal="center"/>
    </xf>
    <xf numFmtId="0" fontId="0" fillId="5" borderId="45" xfId="0" applyFill="1" applyBorder="1"/>
    <xf numFmtId="0" fontId="0" fillId="5" borderId="59" xfId="0" applyFill="1" applyBorder="1" applyAlignment="1">
      <alignment horizontal="center"/>
    </xf>
    <xf numFmtId="4" fontId="0" fillId="5" borderId="0" xfId="0" applyNumberFormat="1" applyFill="1" applyAlignment="1">
      <alignment horizontal="center"/>
    </xf>
    <xf numFmtId="0" fontId="0" fillId="5" borderId="60" xfId="0" applyFill="1" applyBorder="1"/>
    <xf numFmtId="0" fontId="0" fillId="5" borderId="42" xfId="0" applyFill="1" applyBorder="1" applyAlignment="1">
      <alignment horizontal="center"/>
    </xf>
    <xf numFmtId="4" fontId="0" fillId="5" borderId="37" xfId="0" applyNumberFormat="1" applyFill="1" applyBorder="1" applyAlignment="1">
      <alignment horizontal="center"/>
    </xf>
    <xf numFmtId="0" fontId="0" fillId="5" borderId="41" xfId="0" applyFill="1" applyBorder="1"/>
    <xf numFmtId="1" fontId="0" fillId="0" borderId="0" xfId="0" applyNumberFormat="1" applyAlignment="1">
      <alignment horizontal="center"/>
    </xf>
    <xf numFmtId="1" fontId="0" fillId="5" borderId="44" xfId="0" applyNumberFormat="1" applyFill="1" applyBorder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5" borderId="37" xfId="0" applyNumberForma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6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6" fillId="4" borderId="47" xfId="1" applyFont="1" applyFill="1" applyBorder="1"/>
    <xf numFmtId="0" fontId="6" fillId="4" borderId="49" xfId="1" applyFont="1" applyFill="1" applyBorder="1"/>
    <xf numFmtId="0" fontId="6" fillId="4" borderId="48" xfId="1" applyFont="1" applyFill="1" applyBorder="1"/>
    <xf numFmtId="0" fontId="0" fillId="6" borderId="0" xfId="0" applyFill="1"/>
    <xf numFmtId="0" fontId="0" fillId="2" borderId="7" xfId="0" applyFill="1" applyBorder="1" applyAlignment="1">
      <alignment horizontal="center" vertical="center" wrapText="1"/>
    </xf>
    <xf numFmtId="0" fontId="7" fillId="2" borderId="37" xfId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/>
    </xf>
    <xf numFmtId="0" fontId="12" fillId="0" borderId="3" xfId="2" applyFont="1" applyBorder="1"/>
    <xf numFmtId="0" fontId="12" fillId="0" borderId="3" xfId="2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1" fillId="0" borderId="63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/>
    </xf>
    <xf numFmtId="167" fontId="11" fillId="0" borderId="63" xfId="2" applyNumberFormat="1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64" xfId="0" applyFont="1" applyBorder="1" applyAlignment="1">
      <alignment horizontal="center"/>
    </xf>
    <xf numFmtId="0" fontId="11" fillId="0" borderId="65" xfId="0" applyFont="1" applyBorder="1" applyAlignment="1">
      <alignment horizontal="center"/>
    </xf>
    <xf numFmtId="0" fontId="11" fillId="0" borderId="66" xfId="0" applyFont="1" applyBorder="1" applyAlignment="1">
      <alignment horizontal="center"/>
    </xf>
    <xf numFmtId="0" fontId="11" fillId="0" borderId="6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6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/>
    </xf>
    <xf numFmtId="0" fontId="14" fillId="0" borderId="66" xfId="0" applyFont="1" applyBorder="1" applyAlignment="1">
      <alignment horizontal="center"/>
    </xf>
    <xf numFmtId="0" fontId="14" fillId="0" borderId="68" xfId="0" applyFont="1" applyBorder="1" applyAlignment="1">
      <alignment horizontal="center"/>
    </xf>
    <xf numFmtId="167" fontId="11" fillId="0" borderId="67" xfId="2" applyNumberFormat="1" applyFont="1" applyBorder="1" applyAlignment="1">
      <alignment horizontal="center"/>
    </xf>
    <xf numFmtId="167" fontId="11" fillId="0" borderId="27" xfId="2" applyNumberFormat="1" applyFont="1" applyBorder="1" applyAlignment="1">
      <alignment horizontal="center"/>
    </xf>
    <xf numFmtId="168" fontId="11" fillId="0" borderId="27" xfId="0" applyNumberFormat="1" applyFont="1" applyBorder="1" applyAlignment="1">
      <alignment horizontal="center"/>
    </xf>
    <xf numFmtId="169" fontId="11" fillId="0" borderId="27" xfId="0" applyNumberFormat="1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69" xfId="0" applyFont="1" applyBorder="1" applyAlignment="1">
      <alignment horizontal="center"/>
    </xf>
    <xf numFmtId="0" fontId="11" fillId="0" borderId="67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" fillId="6" borderId="27" xfId="0" applyFont="1" applyFill="1" applyBorder="1"/>
    <xf numFmtId="0" fontId="0" fillId="6" borderId="27" xfId="0" applyFill="1" applyBorder="1"/>
    <xf numFmtId="0" fontId="21" fillId="6" borderId="0" xfId="3" applyFont="1" applyFill="1" applyBorder="1" applyProtection="1"/>
    <xf numFmtId="2" fontId="0" fillId="0" borderId="14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2" borderId="3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1" fillId="6" borderId="0" xfId="0" applyFont="1" applyFill="1"/>
    <xf numFmtId="0" fontId="0" fillId="10" borderId="10" xfId="0" applyFill="1" applyBorder="1" applyAlignment="1">
      <alignment horizontal="center" vertical="center"/>
    </xf>
    <xf numFmtId="0" fontId="0" fillId="6" borderId="0" xfId="0" applyFill="1" applyAlignment="1">
      <alignment horizontal="right" vertical="center"/>
    </xf>
    <xf numFmtId="0" fontId="1" fillId="6" borderId="37" xfId="0" applyFont="1" applyFill="1" applyBorder="1"/>
    <xf numFmtId="0" fontId="0" fillId="6" borderId="37" xfId="0" applyFill="1" applyBorder="1"/>
    <xf numFmtId="0" fontId="0" fillId="0" borderId="69" xfId="0" applyBorder="1" applyAlignment="1">
      <alignment horizontal="center"/>
    </xf>
    <xf numFmtId="164" fontId="0" fillId="0" borderId="69" xfId="0" applyNumberFormat="1" applyBorder="1" applyAlignment="1">
      <alignment horizontal="center"/>
    </xf>
    <xf numFmtId="1" fontId="0" fillId="0" borderId="68" xfId="0" applyNumberFormat="1" applyBorder="1" applyAlignment="1">
      <alignment horizontal="center"/>
    </xf>
    <xf numFmtId="1" fontId="0" fillId="0" borderId="94" xfId="0" applyNumberFormat="1" applyBorder="1" applyAlignment="1">
      <alignment horizontal="center"/>
    </xf>
    <xf numFmtId="1" fontId="0" fillId="0" borderId="28" xfId="0" applyNumberFormat="1" applyBorder="1" applyAlignment="1">
      <alignment horizontal="center"/>
    </xf>
    <xf numFmtId="164" fontId="0" fillId="0" borderId="68" xfId="0" applyNumberFormat="1" applyBorder="1" applyAlignment="1">
      <alignment horizontal="center"/>
    </xf>
    <xf numFmtId="164" fontId="0" fillId="0" borderId="94" xfId="0" applyNumberFormat="1" applyBorder="1" applyAlignment="1">
      <alignment horizontal="center"/>
    </xf>
    <xf numFmtId="2" fontId="0" fillId="0" borderId="94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67" xfId="0" applyNumberFormat="1" applyBorder="1"/>
    <xf numFmtId="1" fontId="0" fillId="0" borderId="28" xfId="0" applyNumberFormat="1" applyBorder="1"/>
    <xf numFmtId="1" fontId="0" fillId="0" borderId="20" xfId="0" applyNumberFormat="1" applyBorder="1" applyAlignment="1">
      <alignment horizontal="center"/>
    </xf>
    <xf numFmtId="1" fontId="0" fillId="0" borderId="21" xfId="0" applyNumberFormat="1" applyBorder="1" applyAlignment="1">
      <alignment horizontal="center"/>
    </xf>
    <xf numFmtId="1" fontId="0" fillId="0" borderId="21" xfId="0" applyNumberFormat="1" applyBorder="1"/>
    <xf numFmtId="0" fontId="19" fillId="6" borderId="0" xfId="0" applyFont="1" applyFill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19" fillId="6" borderId="59" xfId="0" applyFont="1" applyFill="1" applyBorder="1" applyAlignment="1">
      <alignment vertical="center"/>
    </xf>
    <xf numFmtId="0" fontId="22" fillId="6" borderId="0" xfId="0" applyFont="1" applyFill="1" applyAlignment="1">
      <alignment horizontal="right" vertical="center"/>
    </xf>
    <xf numFmtId="0" fontId="22" fillId="6" borderId="0" xfId="0" applyFont="1" applyFill="1" applyAlignment="1">
      <alignment vertical="center"/>
    </xf>
    <xf numFmtId="0" fontId="25" fillId="6" borderId="0" xfId="0" applyFont="1" applyFill="1" applyAlignment="1">
      <alignment vertical="center"/>
    </xf>
    <xf numFmtId="0" fontId="19" fillId="6" borderId="60" xfId="0" applyFont="1" applyFill="1" applyBorder="1" applyAlignment="1">
      <alignment vertical="center"/>
    </xf>
    <xf numFmtId="0" fontId="26" fillId="6" borderId="60" xfId="0" applyFont="1" applyFill="1" applyBorder="1" applyAlignment="1">
      <alignment vertical="center"/>
    </xf>
    <xf numFmtId="0" fontId="26" fillId="6" borderId="0" xfId="0" applyFont="1" applyFill="1" applyAlignment="1">
      <alignment vertical="center"/>
    </xf>
    <xf numFmtId="0" fontId="28" fillId="6" borderId="0" xfId="0" applyFont="1" applyFill="1" applyAlignment="1">
      <alignment horizontal="right" vertical="center"/>
    </xf>
    <xf numFmtId="0" fontId="28" fillId="6" borderId="0" xfId="0" applyFont="1" applyFill="1" applyAlignment="1">
      <alignment horizontal="center" vertical="center"/>
    </xf>
    <xf numFmtId="0" fontId="22" fillId="6" borderId="0" xfId="0" applyFont="1" applyFill="1" applyAlignment="1">
      <alignment horizontal="right"/>
    </xf>
    <xf numFmtId="0" fontId="22" fillId="6" borderId="0" xfId="0" applyFont="1" applyFill="1"/>
    <xf numFmtId="0" fontId="29" fillId="6" borderId="0" xfId="0" applyFont="1" applyFill="1" applyAlignment="1">
      <alignment vertical="center"/>
    </xf>
    <xf numFmtId="0" fontId="1" fillId="6" borderId="0" xfId="0" applyFont="1" applyFill="1" applyAlignment="1">
      <alignment horizontal="left" vertical="top"/>
    </xf>
    <xf numFmtId="0" fontId="22" fillId="6" borderId="59" xfId="0" applyFont="1" applyFill="1" applyBorder="1" applyAlignment="1">
      <alignment vertical="center"/>
    </xf>
    <xf numFmtId="0" fontId="19" fillId="6" borderId="0" xfId="0" applyFont="1" applyFill="1" applyAlignment="1">
      <alignment horizontal="right" vertical="center"/>
    </xf>
    <xf numFmtId="49" fontId="22" fillId="6" borderId="60" xfId="0" applyNumberFormat="1" applyFont="1" applyFill="1" applyBorder="1" applyAlignment="1">
      <alignment vertical="center"/>
    </xf>
    <xf numFmtId="49" fontId="22" fillId="6" borderId="0" xfId="0" applyNumberFormat="1" applyFont="1" applyFill="1" applyAlignment="1">
      <alignment vertical="center"/>
    </xf>
    <xf numFmtId="2" fontId="28" fillId="6" borderId="0" xfId="0" applyNumberFormat="1" applyFont="1" applyFill="1" applyAlignment="1">
      <alignment horizontal="center" vertical="center"/>
    </xf>
    <xf numFmtId="0" fontId="22" fillId="6" borderId="60" xfId="0" applyFont="1" applyFill="1" applyBorder="1" applyAlignment="1">
      <alignment vertical="center"/>
    </xf>
    <xf numFmtId="0" fontId="28" fillId="6" borderId="0" xfId="0" applyFont="1" applyFill="1" applyAlignment="1">
      <alignment horizontal="center"/>
    </xf>
    <xf numFmtId="0" fontId="19" fillId="6" borderId="59" xfId="0" applyFont="1" applyFill="1" applyBorder="1" applyAlignment="1">
      <alignment horizontal="right" vertical="center"/>
    </xf>
    <xf numFmtId="0" fontId="19" fillId="6" borderId="0" xfId="0" applyFont="1" applyFill="1" applyAlignment="1">
      <alignment horizontal="center" vertical="center"/>
    </xf>
    <xf numFmtId="164" fontId="28" fillId="6" borderId="0" xfId="0" applyNumberFormat="1" applyFont="1" applyFill="1" applyAlignment="1">
      <alignment horizontal="center" vertical="center"/>
    </xf>
    <xf numFmtId="1" fontId="28" fillId="6" borderId="0" xfId="0" applyNumberFormat="1" applyFont="1" applyFill="1" applyAlignment="1">
      <alignment horizontal="center" vertical="center"/>
    </xf>
    <xf numFmtId="0" fontId="22" fillId="6" borderId="72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74" xfId="0" applyFont="1" applyFill="1" applyBorder="1" applyAlignment="1">
      <alignment horizontal="center" vertical="center"/>
    </xf>
    <xf numFmtId="0" fontId="22" fillId="6" borderId="10" xfId="0" applyFont="1" applyFill="1" applyBorder="1" applyAlignment="1">
      <alignment horizontal="right" vertical="center"/>
    </xf>
    <xf numFmtId="49" fontId="22" fillId="6" borderId="10" xfId="0" applyNumberFormat="1" applyFont="1" applyFill="1" applyBorder="1" applyAlignment="1">
      <alignment vertical="center"/>
    </xf>
    <xf numFmtId="49" fontId="19" fillId="6" borderId="0" xfId="0" applyNumberFormat="1" applyFont="1" applyFill="1" applyAlignment="1">
      <alignment vertical="center"/>
    </xf>
    <xf numFmtId="0" fontId="22" fillId="6" borderId="10" xfId="0" applyFont="1" applyFill="1" applyBorder="1" applyAlignment="1">
      <alignment horizontal="center" vertical="center"/>
    </xf>
    <xf numFmtId="0" fontId="19" fillId="6" borderId="75" xfId="0" applyFont="1" applyFill="1" applyBorder="1" applyAlignment="1">
      <alignment vertical="center"/>
    </xf>
    <xf numFmtId="0" fontId="31" fillId="6" borderId="59" xfId="0" applyFont="1" applyFill="1" applyBorder="1" applyAlignment="1">
      <alignment vertical="center"/>
    </xf>
    <xf numFmtId="0" fontId="32" fillId="6" borderId="0" xfId="0" applyFont="1" applyFill="1" applyAlignment="1">
      <alignment horizontal="center"/>
    </xf>
    <xf numFmtId="0" fontId="19" fillId="6" borderId="42" xfId="0" applyFont="1" applyFill="1" applyBorder="1" applyAlignment="1">
      <alignment vertical="center"/>
    </xf>
    <xf numFmtId="0" fontId="19" fillId="6" borderId="37" xfId="0" applyFont="1" applyFill="1" applyBorder="1" applyAlignment="1">
      <alignment vertical="center"/>
    </xf>
    <xf numFmtId="0" fontId="3" fillId="6" borderId="37" xfId="0" applyFont="1" applyFill="1" applyBorder="1"/>
    <xf numFmtId="0" fontId="19" fillId="6" borderId="41" xfId="0" applyFont="1" applyFill="1" applyBorder="1" applyAlignment="1">
      <alignment vertical="center"/>
    </xf>
    <xf numFmtId="0" fontId="22" fillId="6" borderId="46" xfId="0" applyFont="1" applyFill="1" applyBorder="1" applyAlignment="1">
      <alignment vertical="center"/>
    </xf>
    <xf numFmtId="0" fontId="19" fillId="6" borderId="44" xfId="0" applyFont="1" applyFill="1" applyBorder="1" applyAlignment="1">
      <alignment vertical="center"/>
    </xf>
    <xf numFmtId="0" fontId="19" fillId="6" borderId="44" xfId="0" applyFont="1" applyFill="1" applyBorder="1" applyAlignment="1">
      <alignment horizontal="right" vertical="center"/>
    </xf>
    <xf numFmtId="0" fontId="19" fillId="6" borderId="45" xfId="0" applyFont="1" applyFill="1" applyBorder="1" applyAlignment="1">
      <alignment vertical="center"/>
    </xf>
    <xf numFmtId="49" fontId="34" fillId="6" borderId="81" xfId="0" applyNumberFormat="1" applyFont="1" applyFill="1" applyBorder="1" applyAlignment="1">
      <alignment vertical="center"/>
    </xf>
    <xf numFmtId="0" fontId="34" fillId="6" borderId="81" xfId="0" applyFont="1" applyFill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28" fillId="6" borderId="0" xfId="0" applyFont="1" applyFill="1" applyAlignment="1">
      <alignment horizontal="left" vertical="center"/>
    </xf>
    <xf numFmtId="0" fontId="28" fillId="6" borderId="0" xfId="0" applyFont="1" applyFill="1" applyAlignment="1">
      <alignment horizontal="left"/>
    </xf>
    <xf numFmtId="0" fontId="29" fillId="6" borderId="42" xfId="0" applyFont="1" applyFill="1" applyBorder="1" applyAlignment="1">
      <alignment vertical="center"/>
    </xf>
    <xf numFmtId="0" fontId="34" fillId="6" borderId="83" xfId="0" applyFont="1" applyFill="1" applyBorder="1" applyAlignment="1">
      <alignment vertical="center"/>
    </xf>
    <xf numFmtId="0" fontId="34" fillId="6" borderId="84" xfId="0" applyFont="1" applyFill="1" applyBorder="1" applyAlignment="1">
      <alignment vertical="center"/>
    </xf>
    <xf numFmtId="0" fontId="34" fillId="6" borderId="0" xfId="0" applyFont="1" applyFill="1" applyAlignment="1">
      <alignment horizontal="right" vertical="center"/>
    </xf>
    <xf numFmtId="0" fontId="34" fillId="6" borderId="0" xfId="0" applyFont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right"/>
    </xf>
    <xf numFmtId="49" fontId="1" fillId="6" borderId="0" xfId="0" applyNumberFormat="1" applyFont="1" applyFill="1" applyAlignment="1">
      <alignment horizontal="left" vertical="center"/>
    </xf>
    <xf numFmtId="4" fontId="0" fillId="0" borderId="0" xfId="0" applyNumberFormat="1" applyAlignment="1">
      <alignment horizontal="center" vertical="center"/>
    </xf>
    <xf numFmtId="4" fontId="0" fillId="5" borderId="44" xfId="0" applyNumberFormat="1" applyFill="1" applyBorder="1" applyAlignment="1">
      <alignment horizontal="center" vertical="center"/>
    </xf>
    <xf numFmtId="4" fontId="0" fillId="5" borderId="45" xfId="0" applyNumberFormat="1" applyFill="1" applyBorder="1" applyAlignment="1">
      <alignment horizontal="center" vertical="center"/>
    </xf>
    <xf numFmtId="4" fontId="0" fillId="5" borderId="0" xfId="0" applyNumberFormat="1" applyFill="1" applyAlignment="1">
      <alignment horizontal="center" vertical="center"/>
    </xf>
    <xf numFmtId="4" fontId="0" fillId="5" borderId="60" xfId="0" applyNumberFormat="1" applyFill="1" applyBorder="1" applyAlignment="1">
      <alignment horizontal="center" vertical="center"/>
    </xf>
    <xf numFmtId="4" fontId="0" fillId="5" borderId="37" xfId="0" applyNumberFormat="1" applyFill="1" applyBorder="1" applyAlignment="1">
      <alignment horizontal="center" vertical="center"/>
    </xf>
    <xf numFmtId="4" fontId="0" fillId="5" borderId="41" xfId="0" applyNumberFormat="1" applyFill="1" applyBorder="1" applyAlignment="1">
      <alignment horizontal="center" vertical="center"/>
    </xf>
    <xf numFmtId="0" fontId="0" fillId="6" borderId="59" xfId="0" applyFill="1" applyBorder="1" applyAlignment="1">
      <alignment vertical="center"/>
    </xf>
    <xf numFmtId="0" fontId="0" fillId="6" borderId="91" xfId="0" applyFill="1" applyBorder="1" applyAlignment="1">
      <alignment vertical="center"/>
    </xf>
    <xf numFmtId="0" fontId="0" fillId="6" borderId="36" xfId="0" applyFill="1" applyBorder="1" applyAlignment="1">
      <alignment horizontal="center" vertical="center"/>
    </xf>
    <xf numFmtId="0" fontId="3" fillId="6" borderId="62" xfId="0" applyFont="1" applyFill="1" applyBorder="1" applyAlignment="1">
      <alignment horizontal="center" vertical="center"/>
    </xf>
    <xf numFmtId="164" fontId="3" fillId="6" borderId="0" xfId="0" applyNumberFormat="1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36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181" fontId="0" fillId="6" borderId="0" xfId="0" applyNumberFormat="1" applyFill="1" applyAlignment="1">
      <alignment horizontal="left" vertical="center"/>
    </xf>
    <xf numFmtId="0" fontId="0" fillId="6" borderId="0" xfId="0" quotePrefix="1" applyFill="1" applyAlignment="1">
      <alignment vertical="center"/>
    </xf>
    <xf numFmtId="0" fontId="56" fillId="6" borderId="91" xfId="0" applyFont="1" applyFill="1" applyBorder="1" applyAlignment="1">
      <alignment horizontal="right" vertical="center"/>
    </xf>
    <xf numFmtId="0" fontId="3" fillId="6" borderId="0" xfId="0" applyFont="1" applyFill="1" applyAlignment="1">
      <alignment horizontal="right" vertical="center"/>
    </xf>
    <xf numFmtId="0" fontId="3" fillId="6" borderId="0" xfId="0" applyFont="1" applyFill="1" applyAlignment="1">
      <alignment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3" fillId="6" borderId="0" xfId="0" applyFont="1" applyFill="1"/>
    <xf numFmtId="0" fontId="3" fillId="6" borderId="16" xfId="0" applyFont="1" applyFill="1" applyBorder="1" applyAlignment="1">
      <alignment horizontal="right"/>
    </xf>
    <xf numFmtId="0" fontId="3" fillId="6" borderId="17" xfId="0" applyFont="1" applyFill="1" applyBorder="1"/>
    <xf numFmtId="0" fontId="3" fillId="6" borderId="17" xfId="0" applyFont="1" applyFill="1" applyBorder="1" applyAlignment="1">
      <alignment horizontal="right"/>
    </xf>
    <xf numFmtId="0" fontId="3" fillId="6" borderId="63" xfId="0" applyFont="1" applyFill="1" applyBorder="1" applyAlignment="1">
      <alignment horizontal="right"/>
    </xf>
    <xf numFmtId="0" fontId="3" fillId="6" borderId="0" xfId="0" applyFont="1" applyFill="1" applyAlignment="1">
      <alignment horizontal="right"/>
    </xf>
    <xf numFmtId="0" fontId="3" fillId="6" borderId="36" xfId="0" applyFont="1" applyFill="1" applyBorder="1"/>
    <xf numFmtId="0" fontId="3" fillId="6" borderId="0" xfId="0" applyFont="1" applyFill="1" applyAlignment="1">
      <alignment horizontal="center"/>
    </xf>
    <xf numFmtId="0" fontId="3" fillId="6" borderId="27" xfId="0" applyFont="1" applyFill="1" applyBorder="1"/>
    <xf numFmtId="0" fontId="3" fillId="6" borderId="27" xfId="0" applyFont="1" applyFill="1" applyBorder="1" applyAlignment="1">
      <alignment horizontal="right"/>
    </xf>
    <xf numFmtId="0" fontId="3" fillId="6" borderId="62" xfId="0" applyFont="1" applyFill="1" applyBorder="1"/>
    <xf numFmtId="181" fontId="1" fillId="6" borderId="0" xfId="0" applyNumberFormat="1" applyFont="1" applyFill="1" applyAlignment="1">
      <alignment vertical="center"/>
    </xf>
    <xf numFmtId="0" fontId="0" fillId="6" borderId="2" xfId="0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47" fillId="6" borderId="73" xfId="0" applyFont="1" applyFill="1" applyBorder="1" applyAlignment="1">
      <alignment horizontal="left" vertical="center"/>
    </xf>
    <xf numFmtId="0" fontId="47" fillId="6" borderId="10" xfId="0" applyFont="1" applyFill="1" applyBorder="1" applyAlignment="1">
      <alignment horizontal="center" vertical="center"/>
    </xf>
    <xf numFmtId="0" fontId="47" fillId="6" borderId="64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47" fillId="6" borderId="61" xfId="0" applyFont="1" applyFill="1" applyBorder="1" applyAlignment="1">
      <alignment horizontal="left" vertical="center"/>
    </xf>
    <xf numFmtId="0" fontId="47" fillId="6" borderId="25" xfId="0" applyFont="1" applyFill="1" applyBorder="1" applyAlignment="1">
      <alignment horizontal="center" vertical="center"/>
    </xf>
    <xf numFmtId="0" fontId="47" fillId="6" borderId="93" xfId="0" applyFont="1" applyFill="1" applyBorder="1" applyAlignment="1">
      <alignment horizontal="center" vertical="center"/>
    </xf>
    <xf numFmtId="0" fontId="58" fillId="5" borderId="16" xfId="0" applyFont="1" applyFill="1" applyBorder="1" applyAlignment="1">
      <alignment horizontal="right"/>
    </xf>
    <xf numFmtId="0" fontId="58" fillId="5" borderId="17" xfId="0" applyFont="1" applyFill="1" applyBorder="1" applyAlignment="1">
      <alignment horizontal="right"/>
    </xf>
    <xf numFmtId="0" fontId="49" fillId="5" borderId="63" xfId="0" applyFont="1" applyFill="1" applyBorder="1" applyAlignment="1">
      <alignment horizontal="right" vertical="center"/>
    </xf>
    <xf numFmtId="0" fontId="58" fillId="5" borderId="0" xfId="0" applyFont="1" applyFill="1" applyAlignment="1">
      <alignment horizontal="right"/>
    </xf>
    <xf numFmtId="0" fontId="49" fillId="6" borderId="0" xfId="0" applyFont="1" applyFill="1"/>
    <xf numFmtId="0" fontId="58" fillId="6" borderId="63" xfId="0" applyFont="1" applyFill="1" applyBorder="1" applyAlignment="1">
      <alignment horizontal="center"/>
    </xf>
    <xf numFmtId="0" fontId="58" fillId="6" borderId="0" xfId="0" applyFont="1" applyFill="1" applyAlignment="1">
      <alignment horizontal="center"/>
    </xf>
    <xf numFmtId="0" fontId="58" fillId="6" borderId="36" xfId="0" applyFont="1" applyFill="1" applyBorder="1" applyAlignment="1">
      <alignment horizontal="center"/>
    </xf>
    <xf numFmtId="0" fontId="49" fillId="6" borderId="0" xfId="0" quotePrefix="1" applyFont="1" applyFill="1"/>
    <xf numFmtId="187" fontId="49" fillId="6" borderId="67" xfId="0" applyNumberFormat="1" applyFont="1" applyFill="1" applyBorder="1"/>
    <xf numFmtId="187" fontId="49" fillId="6" borderId="27" xfId="0" applyNumberFormat="1" applyFont="1" applyFill="1" applyBorder="1"/>
    <xf numFmtId="188" fontId="49" fillId="6" borderId="27" xfId="0" applyNumberFormat="1" applyFont="1" applyFill="1" applyBorder="1"/>
    <xf numFmtId="0" fontId="49" fillId="6" borderId="62" xfId="0" applyFont="1" applyFill="1" applyBorder="1" applyAlignment="1">
      <alignment horizontal="center"/>
    </xf>
    <xf numFmtId="0" fontId="59" fillId="6" borderId="0" xfId="0" applyFont="1" applyFill="1" applyAlignment="1">
      <alignment horizontal="left"/>
    </xf>
    <xf numFmtId="0" fontId="49" fillId="5" borderId="16" xfId="0" applyFont="1" applyFill="1" applyBorder="1" applyAlignment="1">
      <alignment horizontal="right"/>
    </xf>
    <xf numFmtId="0" fontId="49" fillId="5" borderId="17" xfId="0" applyFont="1" applyFill="1" applyBorder="1" applyAlignment="1">
      <alignment horizontal="right" vertical="center"/>
    </xf>
    <xf numFmtId="0" fontId="3" fillId="6" borderId="18" xfId="0" applyFont="1" applyFill="1" applyBorder="1" applyAlignment="1">
      <alignment horizontal="center" vertical="center"/>
    </xf>
    <xf numFmtId="0" fontId="49" fillId="5" borderId="63" xfId="0" applyFont="1" applyFill="1" applyBorder="1" applyAlignment="1">
      <alignment horizontal="right"/>
    </xf>
    <xf numFmtId="0" fontId="49" fillId="5" borderId="0" xfId="0" applyFont="1" applyFill="1" applyAlignment="1">
      <alignment horizontal="right"/>
    </xf>
    <xf numFmtId="0" fontId="49" fillId="5" borderId="67" xfId="0" applyFont="1" applyFill="1" applyBorder="1" applyAlignment="1">
      <alignment horizontal="right"/>
    </xf>
    <xf numFmtId="0" fontId="51" fillId="6" borderId="27" xfId="0" applyFont="1" applyFill="1" applyBorder="1" applyAlignment="1">
      <alignment horizontal="center" vertical="center"/>
    </xf>
    <xf numFmtId="0" fontId="49" fillId="6" borderId="27" xfId="0" applyFont="1" applyFill="1" applyBorder="1" applyAlignment="1">
      <alignment horizontal="right"/>
    </xf>
    <xf numFmtId="0" fontId="1" fillId="6" borderId="27" xfId="0" applyFont="1" applyFill="1" applyBorder="1" applyAlignment="1" applyProtection="1">
      <alignment horizontal="center" vertical="center"/>
      <protection locked="0"/>
    </xf>
    <xf numFmtId="0" fontId="41" fillId="6" borderId="0" xfId="0" applyFont="1" applyFill="1" applyAlignment="1">
      <alignment horizontal="left" vertical="center"/>
    </xf>
    <xf numFmtId="2" fontId="1" fillId="6" borderId="0" xfId="0" applyNumberFormat="1" applyFont="1" applyFill="1" applyAlignment="1">
      <alignment horizontal="center" vertical="center"/>
    </xf>
    <xf numFmtId="0" fontId="47" fillId="6" borderId="0" xfId="0" applyFont="1" applyFill="1" applyAlignment="1">
      <alignment vertical="center"/>
    </xf>
    <xf numFmtId="2" fontId="0" fillId="6" borderId="0" xfId="0" applyNumberFormat="1" applyFill="1" applyAlignment="1">
      <alignment horizontal="center" vertical="center"/>
    </xf>
    <xf numFmtId="0" fontId="51" fillId="6" borderId="0" xfId="0" applyFont="1" applyFill="1" applyAlignment="1">
      <alignment horizontal="right" vertical="center"/>
    </xf>
    <xf numFmtId="0" fontId="44" fillId="6" borderId="0" xfId="0" applyFont="1" applyFill="1" applyAlignment="1">
      <alignment horizontal="right" vertical="center"/>
    </xf>
    <xf numFmtId="0" fontId="25" fillId="6" borderId="0" xfId="0" applyFont="1" applyFill="1" applyAlignment="1">
      <alignment horizontal="right" vertical="center"/>
    </xf>
    <xf numFmtId="2" fontId="0" fillId="6" borderId="0" xfId="0" applyNumberFormat="1" applyFill="1" applyAlignment="1">
      <alignment horizontal="left" vertical="center"/>
    </xf>
    <xf numFmtId="164" fontId="0" fillId="6" borderId="0" xfId="0" applyNumberForma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49" fillId="6" borderId="0" xfId="0" applyFont="1" applyFill="1" applyAlignment="1">
      <alignment horizontal="center" vertical="center"/>
    </xf>
    <xf numFmtId="0" fontId="44" fillId="6" borderId="0" xfId="0" applyFont="1" applyFill="1" applyAlignment="1">
      <alignment horizontal="left" vertical="center"/>
    </xf>
    <xf numFmtId="0" fontId="0" fillId="6" borderId="46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6" borderId="45" xfId="0" applyFill="1" applyBorder="1" applyAlignment="1">
      <alignment horizontal="center" vertical="center"/>
    </xf>
    <xf numFmtId="0" fontId="0" fillId="6" borderId="59" xfId="0" applyFill="1" applyBorder="1" applyAlignment="1">
      <alignment horizontal="center" vertical="center"/>
    </xf>
    <xf numFmtId="0" fontId="0" fillId="6" borderId="60" xfId="0" applyFill="1" applyBorder="1" applyAlignment="1">
      <alignment horizontal="center" vertical="center"/>
    </xf>
    <xf numFmtId="0" fontId="0" fillId="6" borderId="42" xfId="0" applyFill="1" applyBorder="1" applyAlignment="1">
      <alignment horizontal="center" vertical="center"/>
    </xf>
    <xf numFmtId="0" fontId="0" fillId="6" borderId="41" xfId="0" applyFill="1" applyBorder="1" applyAlignment="1">
      <alignment horizontal="center" vertical="center"/>
    </xf>
    <xf numFmtId="0" fontId="0" fillId="6" borderId="46" xfId="0" applyFill="1" applyBorder="1" applyAlignment="1">
      <alignment vertical="center"/>
    </xf>
    <xf numFmtId="0" fontId="0" fillId="6" borderId="44" xfId="0" applyFill="1" applyBorder="1" applyAlignment="1">
      <alignment vertical="center"/>
    </xf>
    <xf numFmtId="0" fontId="0" fillId="6" borderId="45" xfId="0" applyFill="1" applyBorder="1" applyAlignment="1">
      <alignment vertical="center"/>
    </xf>
    <xf numFmtId="0" fontId="41" fillId="6" borderId="0" xfId="0" applyFont="1" applyFill="1" applyAlignment="1">
      <alignment vertical="center"/>
    </xf>
    <xf numFmtId="0" fontId="0" fillId="6" borderId="60" xfId="0" applyFill="1" applyBorder="1" applyAlignment="1">
      <alignment vertical="center"/>
    </xf>
    <xf numFmtId="0" fontId="43" fillId="6" borderId="0" xfId="0" applyFont="1" applyFill="1" applyAlignment="1">
      <alignment horizontal="right" vertical="center"/>
    </xf>
    <xf numFmtId="0" fontId="43" fillId="6" borderId="0" xfId="0" applyFont="1" applyFill="1" applyAlignment="1">
      <alignment vertical="center"/>
    </xf>
    <xf numFmtId="0" fontId="0" fillId="6" borderId="42" xfId="0" applyFill="1" applyBorder="1" applyAlignment="1">
      <alignment vertical="center"/>
    </xf>
    <xf numFmtId="0" fontId="0" fillId="6" borderId="37" xfId="0" quotePrefix="1" applyFill="1" applyBorder="1" applyAlignment="1">
      <alignment vertical="center"/>
    </xf>
    <xf numFmtId="0" fontId="0" fillId="6" borderId="37" xfId="0" applyFill="1" applyBorder="1" applyAlignment="1">
      <alignment vertical="center"/>
    </xf>
    <xf numFmtId="0" fontId="0" fillId="6" borderId="41" xfId="0" applyFill="1" applyBorder="1" applyAlignment="1">
      <alignment vertical="center"/>
    </xf>
    <xf numFmtId="0" fontId="1" fillId="6" borderId="0" xfId="0" applyFont="1" applyFill="1" applyAlignment="1">
      <alignment horizontal="right" vertical="center"/>
    </xf>
    <xf numFmtId="0" fontId="1" fillId="6" borderId="0" xfId="0" applyFont="1" applyFill="1" applyAlignment="1">
      <alignment vertical="center"/>
    </xf>
    <xf numFmtId="165" fontId="5" fillId="0" borderId="0" xfId="4" applyNumberFormat="1" applyAlignment="1">
      <alignment horizontal="center"/>
    </xf>
    <xf numFmtId="165" fontId="6" fillId="0" borderId="107" xfId="4" applyNumberFormat="1" applyFont="1" applyBorder="1" applyAlignment="1">
      <alignment horizontal="center"/>
    </xf>
    <xf numFmtId="165" fontId="60" fillId="0" borderId="0" xfId="4" applyNumberFormat="1" applyFont="1" applyAlignment="1">
      <alignment horizontal="center"/>
    </xf>
    <xf numFmtId="165" fontId="60" fillId="0" borderId="108" xfId="4" applyNumberFormat="1" applyFont="1" applyBorder="1" applyAlignment="1">
      <alignment horizontal="center"/>
    </xf>
    <xf numFmtId="165" fontId="60" fillId="0" borderId="107" xfId="4" applyNumberFormat="1" applyFont="1" applyBorder="1" applyAlignment="1">
      <alignment horizontal="center"/>
    </xf>
    <xf numFmtId="165" fontId="61" fillId="0" borderId="104" xfId="4" applyNumberFormat="1" applyFont="1" applyBorder="1" applyAlignment="1">
      <alignment horizontal="center"/>
    </xf>
    <xf numFmtId="165" fontId="61" fillId="0" borderId="105" xfId="4" applyNumberFormat="1" applyFont="1" applyBorder="1" applyAlignment="1">
      <alignment horizontal="center"/>
    </xf>
    <xf numFmtId="165" fontId="61" fillId="0" borderId="106" xfId="4" applyNumberFormat="1" applyFont="1" applyBorder="1" applyAlignment="1">
      <alignment horizontal="center"/>
    </xf>
    <xf numFmtId="165" fontId="60" fillId="0" borderId="109" xfId="4" applyNumberFormat="1" applyFont="1" applyBorder="1" applyAlignment="1">
      <alignment horizontal="center"/>
    </xf>
    <xf numFmtId="165" fontId="61" fillId="0" borderId="110" xfId="4" applyNumberFormat="1" applyFont="1" applyBorder="1" applyAlignment="1">
      <alignment horizontal="center"/>
    </xf>
    <xf numFmtId="165" fontId="61" fillId="0" borderId="0" xfId="4" applyNumberFormat="1" applyFont="1" applyAlignment="1">
      <alignment horizontal="center"/>
    </xf>
    <xf numFmtId="165" fontId="61" fillId="0" borderId="108" xfId="4" applyNumberFormat="1" applyFont="1" applyBorder="1" applyAlignment="1">
      <alignment horizontal="center"/>
    </xf>
    <xf numFmtId="165" fontId="60" fillId="0" borderId="111" xfId="4" applyNumberFormat="1" applyFont="1" applyBorder="1" applyAlignment="1">
      <alignment horizontal="center"/>
    </xf>
    <xf numFmtId="165" fontId="61" fillId="0" borderId="112" xfId="4" applyNumberFormat="1" applyFont="1" applyBorder="1" applyAlignment="1">
      <alignment horizontal="center"/>
    </xf>
    <xf numFmtId="165" fontId="61" fillId="0" borderId="113" xfId="4" applyNumberFormat="1" applyFont="1" applyBorder="1" applyAlignment="1">
      <alignment horizontal="center"/>
    </xf>
    <xf numFmtId="165" fontId="6" fillId="0" borderId="114" xfId="4" applyNumberFormat="1" applyFont="1" applyBorder="1" applyAlignment="1">
      <alignment horizontal="center"/>
    </xf>
    <xf numFmtId="165" fontId="6" fillId="0" borderId="115" xfId="4" applyNumberFormat="1" applyFont="1" applyBorder="1" applyAlignment="1">
      <alignment horizontal="center"/>
    </xf>
    <xf numFmtId="165" fontId="5" fillId="0" borderId="115" xfId="4" applyNumberFormat="1" applyBorder="1" applyAlignment="1">
      <alignment horizontal="center"/>
    </xf>
    <xf numFmtId="165" fontId="5" fillId="0" borderId="116" xfId="4" applyNumberFormat="1" applyBorder="1" applyAlignment="1">
      <alignment horizontal="center"/>
    </xf>
    <xf numFmtId="0" fontId="56" fillId="6" borderId="0" xfId="0" applyFont="1" applyFill="1" applyAlignment="1">
      <alignment horizontal="right" vertical="center"/>
    </xf>
    <xf numFmtId="0" fontId="5" fillId="6" borderId="0" xfId="4" applyFill="1"/>
    <xf numFmtId="165" fontId="5" fillId="6" borderId="25" xfId="4" applyNumberFormat="1" applyFill="1" applyBorder="1"/>
    <xf numFmtId="165" fontId="5" fillId="6" borderId="26" xfId="4" applyNumberFormat="1" applyFill="1" applyBorder="1"/>
    <xf numFmtId="165" fontId="5" fillId="6" borderId="39" xfId="4" applyNumberFormat="1" applyFill="1" applyBorder="1"/>
    <xf numFmtId="165" fontId="5" fillId="6" borderId="40" xfId="4" applyNumberFormat="1" applyFill="1" applyBorder="1"/>
    <xf numFmtId="165" fontId="5" fillId="6" borderId="95" xfId="4" applyNumberFormat="1" applyFill="1" applyBorder="1" applyAlignment="1">
      <alignment horizontal="center" vertical="center"/>
    </xf>
    <xf numFmtId="165" fontId="5" fillId="6" borderId="97" xfId="4" applyNumberFormat="1" applyFill="1" applyBorder="1" applyAlignment="1">
      <alignment horizontal="center" vertical="center"/>
    </xf>
    <xf numFmtId="165" fontId="5" fillId="6" borderId="117" xfId="4" applyNumberFormat="1" applyFill="1" applyBorder="1" applyAlignment="1">
      <alignment horizontal="center" vertical="center"/>
    </xf>
    <xf numFmtId="165" fontId="5" fillId="6" borderId="41" xfId="4" applyNumberFormat="1" applyFill="1" applyBorder="1"/>
    <xf numFmtId="165" fontId="5" fillId="6" borderId="34" xfId="4" applyNumberFormat="1" applyFill="1" applyBorder="1"/>
    <xf numFmtId="0" fontId="56" fillId="6" borderId="58" xfId="0" applyFont="1" applyFill="1" applyBorder="1" applyAlignment="1">
      <alignment horizontal="center" vertical="center"/>
    </xf>
    <xf numFmtId="0" fontId="5" fillId="6" borderId="49" xfId="4" applyFill="1" applyBorder="1" applyAlignment="1">
      <alignment horizontal="center" vertical="center"/>
    </xf>
    <xf numFmtId="165" fontId="5" fillId="10" borderId="58" xfId="4" applyNumberFormat="1" applyFill="1" applyBorder="1" applyAlignment="1">
      <alignment horizontal="center" vertical="center"/>
    </xf>
    <xf numFmtId="0" fontId="5" fillId="6" borderId="48" xfId="4" applyFill="1" applyBorder="1" applyAlignment="1">
      <alignment horizontal="center" vertical="center"/>
    </xf>
    <xf numFmtId="165" fontId="5" fillId="6" borderId="69" xfId="4" applyNumberFormat="1" applyFill="1" applyBorder="1" applyAlignment="1">
      <alignment horizontal="center" vertical="center"/>
    </xf>
    <xf numFmtId="165" fontId="5" fillId="6" borderId="27" xfId="4" applyNumberFormat="1" applyFill="1" applyBorder="1" applyAlignment="1">
      <alignment horizontal="center" vertical="center"/>
    </xf>
    <xf numFmtId="165" fontId="5" fillId="10" borderId="69" xfId="4" applyNumberFormat="1" applyFill="1" applyBorder="1" applyAlignment="1">
      <alignment horizontal="center" vertical="center"/>
    </xf>
    <xf numFmtId="165" fontId="5" fillId="6" borderId="62" xfId="4" applyNumberFormat="1" applyFill="1" applyBorder="1" applyAlignment="1">
      <alignment horizontal="center" vertical="center"/>
    </xf>
    <xf numFmtId="165" fontId="5" fillId="10" borderId="65" xfId="4" applyNumberFormat="1" applyFill="1" applyBorder="1" applyAlignment="1">
      <alignment horizontal="center" vertical="center"/>
    </xf>
    <xf numFmtId="0" fontId="5" fillId="10" borderId="0" xfId="4" applyFill="1" applyAlignment="1">
      <alignment horizontal="center" vertical="center"/>
    </xf>
    <xf numFmtId="165" fontId="6" fillId="14" borderId="65" xfId="4" applyNumberFormat="1" applyFont="1" applyFill="1" applyBorder="1" applyAlignment="1">
      <alignment horizontal="center" vertical="center"/>
    </xf>
    <xf numFmtId="0" fontId="5" fillId="10" borderId="36" xfId="4" applyFill="1" applyBorder="1" applyAlignment="1">
      <alignment horizontal="center" vertical="center"/>
    </xf>
    <xf numFmtId="0" fontId="5" fillId="6" borderId="43" xfId="4" applyFill="1" applyBorder="1" applyAlignment="1">
      <alignment horizontal="center" vertical="center"/>
    </xf>
    <xf numFmtId="0" fontId="5" fillId="6" borderId="23" xfId="4" applyFill="1" applyBorder="1" applyAlignment="1">
      <alignment horizontal="center" vertical="center"/>
    </xf>
    <xf numFmtId="2" fontId="0" fillId="6" borderId="0" xfId="0" applyNumberFormat="1" applyFill="1" applyAlignment="1">
      <alignment vertical="center"/>
    </xf>
    <xf numFmtId="0" fontId="17" fillId="6" borderId="0" xfId="0" applyFont="1" applyFill="1" applyAlignment="1">
      <alignment vertical="center"/>
    </xf>
    <xf numFmtId="0" fontId="1" fillId="6" borderId="44" xfId="0" applyFont="1" applyFill="1" applyBorder="1" applyAlignment="1">
      <alignment horizontal="left" vertical="center"/>
    </xf>
    <xf numFmtId="0" fontId="58" fillId="6" borderId="18" xfId="0" applyFont="1" applyFill="1" applyBorder="1" applyAlignment="1">
      <alignment horizontal="center"/>
    </xf>
    <xf numFmtId="187" fontId="49" fillId="6" borderId="36" xfId="0" applyNumberFormat="1" applyFont="1" applyFill="1" applyBorder="1" applyAlignment="1">
      <alignment horizontal="center"/>
    </xf>
    <xf numFmtId="188" fontId="49" fillId="6" borderId="36" xfId="0" applyNumberFormat="1" applyFont="1" applyFill="1" applyBorder="1" applyAlignment="1">
      <alignment horizontal="center"/>
    </xf>
    <xf numFmtId="0" fontId="65" fillId="6" borderId="0" xfId="0" applyFont="1" applyFill="1" applyAlignment="1">
      <alignment horizontal="right" vertical="center"/>
    </xf>
    <xf numFmtId="0" fontId="67" fillId="6" borderId="0" xfId="0" applyFont="1" applyFill="1" applyAlignment="1">
      <alignment vertical="center"/>
    </xf>
    <xf numFmtId="0" fontId="67" fillId="6" borderId="0" xfId="0" applyFont="1" applyFill="1" applyAlignment="1">
      <alignment horizontal="center" vertical="center"/>
    </xf>
    <xf numFmtId="0" fontId="64" fillId="6" borderId="0" xfId="0" applyFont="1" applyFill="1" applyAlignment="1">
      <alignment horizontal="center" vertical="center"/>
    </xf>
    <xf numFmtId="0" fontId="0" fillId="6" borderId="63" xfId="0" applyFill="1" applyBorder="1" applyAlignment="1">
      <alignment horizontal="center" vertical="center"/>
    </xf>
    <xf numFmtId="0" fontId="0" fillId="6" borderId="67" xfId="0" applyFill="1" applyBorder="1" applyAlignment="1">
      <alignment horizontal="center" vertical="center"/>
    </xf>
    <xf numFmtId="0" fontId="0" fillId="6" borderId="62" xfId="0" applyFill="1" applyBorder="1" applyAlignment="1">
      <alignment horizontal="center" vertical="center"/>
    </xf>
    <xf numFmtId="0" fontId="0" fillId="6" borderId="0" xfId="0" applyFill="1" applyAlignment="1">
      <alignment horizontal="left" vertical="center"/>
    </xf>
    <xf numFmtId="0" fontId="25" fillId="6" borderId="0" xfId="0" applyFont="1" applyFill="1" applyAlignment="1">
      <alignment horizontal="left"/>
    </xf>
    <xf numFmtId="0" fontId="58" fillId="5" borderId="67" xfId="0" applyFont="1" applyFill="1" applyBorder="1" applyAlignment="1">
      <alignment horizontal="right"/>
    </xf>
    <xf numFmtId="0" fontId="49" fillId="5" borderId="27" xfId="0" applyFont="1" applyFill="1" applyBorder="1" applyAlignment="1">
      <alignment horizontal="right" vertical="center"/>
    </xf>
    <xf numFmtId="175" fontId="0" fillId="6" borderId="0" xfId="0" applyNumberFormat="1" applyFill="1" applyAlignment="1">
      <alignment horizontal="center"/>
    </xf>
    <xf numFmtId="177" fontId="0" fillId="6" borderId="0" xfId="0" applyNumberFormat="1" applyFill="1" applyAlignment="1">
      <alignment horizontal="center" vertical="center"/>
    </xf>
    <xf numFmtId="164" fontId="1" fillId="6" borderId="0" xfId="0" applyNumberFormat="1" applyFont="1" applyFill="1" applyAlignment="1">
      <alignment horizontal="center" vertical="center"/>
    </xf>
    <xf numFmtId="0" fontId="67" fillId="6" borderId="0" xfId="0" applyFont="1" applyFill="1" applyAlignment="1">
      <alignment horizontal="right" vertical="center" indent="1"/>
    </xf>
    <xf numFmtId="177" fontId="0" fillId="6" borderId="0" xfId="0" applyNumberFormat="1" applyFill="1" applyAlignment="1">
      <alignment horizontal="left" vertical="center"/>
    </xf>
    <xf numFmtId="0" fontId="71" fillId="6" borderId="0" xfId="0" applyFont="1" applyFill="1" applyAlignment="1">
      <alignment horizontal="left" vertical="center"/>
    </xf>
    <xf numFmtId="0" fontId="72" fillId="6" borderId="0" xfId="0" applyFont="1" applyFill="1" applyAlignment="1">
      <alignment horizontal="left" vertical="center"/>
    </xf>
    <xf numFmtId="185" fontId="0" fillId="6" borderId="0" xfId="0" applyNumberFormat="1" applyFill="1" applyAlignment="1">
      <alignment horizontal="left" vertical="center"/>
    </xf>
    <xf numFmtId="183" fontId="0" fillId="6" borderId="0" xfId="0" applyNumberFormat="1" applyFill="1" applyAlignment="1">
      <alignment horizontal="left" vertical="center"/>
    </xf>
    <xf numFmtId="180" fontId="0" fillId="6" borderId="0" xfId="0" applyNumberFormat="1" applyFill="1" applyAlignment="1">
      <alignment horizontal="left" vertical="center"/>
    </xf>
    <xf numFmtId="0" fontId="43" fillId="6" borderId="0" xfId="0" applyFont="1" applyFill="1" applyAlignment="1">
      <alignment horizontal="left" vertical="center" indent="1"/>
    </xf>
    <xf numFmtId="0" fontId="57" fillId="6" borderId="17" xfId="0" applyFont="1" applyFill="1" applyBorder="1" applyAlignment="1">
      <alignment horizontal="center" vertical="center"/>
    </xf>
    <xf numFmtId="0" fontId="3" fillId="6" borderId="67" xfId="0" applyFont="1" applyFill="1" applyBorder="1" applyAlignment="1">
      <alignment horizontal="right"/>
    </xf>
    <xf numFmtId="0" fontId="3" fillId="10" borderId="27" xfId="0" applyFont="1" applyFill="1" applyBorder="1" applyAlignment="1">
      <alignment horizontal="center" vertical="center"/>
    </xf>
    <xf numFmtId="0" fontId="3" fillId="10" borderId="62" xfId="0" applyFont="1" applyFill="1" applyBorder="1" applyAlignment="1">
      <alignment horizontal="center" vertical="center"/>
    </xf>
    <xf numFmtId="0" fontId="44" fillId="6" borderId="0" xfId="0" applyFont="1" applyFill="1" applyAlignment="1">
      <alignment horizontal="left" vertical="center" indent="1"/>
    </xf>
    <xf numFmtId="0" fontId="25" fillId="6" borderId="0" xfId="0" applyFont="1" applyFill="1" applyAlignment="1">
      <alignment horizontal="left" vertical="center"/>
    </xf>
    <xf numFmtId="0" fontId="0" fillId="10" borderId="0" xfId="0" applyFill="1" applyAlignment="1">
      <alignment horizontal="center" vertical="center"/>
    </xf>
    <xf numFmtId="190" fontId="0" fillId="6" borderId="0" xfId="0" applyNumberFormat="1" applyFill="1" applyAlignment="1">
      <alignment horizontal="left" vertical="center"/>
    </xf>
    <xf numFmtId="2" fontId="17" fillId="6" borderId="0" xfId="0" applyNumberFormat="1" applyFont="1" applyFill="1" applyAlignment="1">
      <alignment horizontal="center" vertical="center"/>
    </xf>
    <xf numFmtId="0" fontId="3" fillId="6" borderId="67" xfId="0" applyFont="1" applyFill="1" applyBorder="1" applyAlignment="1">
      <alignment horizontal="right" vertical="center"/>
    </xf>
    <xf numFmtId="0" fontId="0" fillId="6" borderId="0" xfId="0" applyFill="1" applyAlignment="1">
      <alignment horizontal="right" vertical="center" indent="1"/>
    </xf>
    <xf numFmtId="0" fontId="3" fillId="10" borderId="0" xfId="0" applyFont="1" applyFill="1" applyAlignment="1" applyProtection="1">
      <alignment horizontal="center"/>
      <protection locked="0"/>
    </xf>
    <xf numFmtId="0" fontId="3" fillId="10" borderId="27" xfId="0" applyFont="1" applyFill="1" applyBorder="1" applyAlignment="1" applyProtection="1">
      <alignment horizontal="center"/>
      <protection locked="0"/>
    </xf>
    <xf numFmtId="0" fontId="68" fillId="6" borderId="0" xfId="0" applyFont="1" applyFill="1" applyAlignment="1">
      <alignment horizontal="left" vertical="center"/>
    </xf>
    <xf numFmtId="0" fontId="0" fillId="6" borderId="0" xfId="0" applyFill="1" applyAlignment="1">
      <alignment horizontal="left" indent="1"/>
    </xf>
    <xf numFmtId="1" fontId="1" fillId="6" borderId="0" xfId="0" applyNumberFormat="1" applyFont="1" applyFill="1" applyAlignment="1">
      <alignment horizontal="center" vertical="center"/>
    </xf>
    <xf numFmtId="0" fontId="49" fillId="5" borderId="0" xfId="0" applyFont="1" applyFill="1" applyAlignment="1">
      <alignment horizontal="right" vertical="center"/>
    </xf>
    <xf numFmtId="0" fontId="72" fillId="6" borderId="0" xfId="0" applyFont="1" applyFill="1" applyAlignment="1">
      <alignment horizontal="left"/>
    </xf>
    <xf numFmtId="0" fontId="49" fillId="5" borderId="22" xfId="0" applyFont="1" applyFill="1" applyBorder="1" applyAlignment="1">
      <alignment horizontal="right" vertical="center"/>
    </xf>
    <xf numFmtId="0" fontId="49" fillId="5" borderId="73" xfId="0" applyFont="1" applyFill="1" applyBorder="1" applyAlignment="1">
      <alignment horizontal="right" vertical="center"/>
    </xf>
    <xf numFmtId="0" fontId="58" fillId="5" borderId="70" xfId="0" applyFont="1" applyFill="1" applyBorder="1" applyAlignment="1">
      <alignment horizontal="right"/>
    </xf>
    <xf numFmtId="180" fontId="0" fillId="6" borderId="0" xfId="0" applyNumberFormat="1" applyFill="1" applyAlignment="1">
      <alignment horizontal="center" vertical="center"/>
    </xf>
    <xf numFmtId="190" fontId="49" fillId="6" borderId="36" xfId="0" applyNumberFormat="1" applyFont="1" applyFill="1" applyBorder="1" applyAlignment="1">
      <alignment horizontal="center"/>
    </xf>
    <xf numFmtId="0" fontId="11" fillId="0" borderId="6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76" fillId="0" borderId="67" xfId="0" applyFont="1" applyBorder="1" applyAlignment="1">
      <alignment horizontal="center" vertical="center" wrapText="1"/>
    </xf>
    <xf numFmtId="0" fontId="76" fillId="0" borderId="27" xfId="0" applyFont="1" applyBorder="1" applyAlignment="1">
      <alignment horizontal="center" vertical="center" wrapText="1"/>
    </xf>
    <xf numFmtId="0" fontId="76" fillId="0" borderId="62" xfId="0" applyFont="1" applyBorder="1" applyAlignment="1">
      <alignment horizontal="center" vertical="center" wrapText="1"/>
    </xf>
    <xf numFmtId="1" fontId="0" fillId="6" borderId="0" xfId="0" applyNumberFormat="1" applyFill="1" applyAlignment="1">
      <alignment horizontal="center" vertical="center"/>
    </xf>
    <xf numFmtId="165" fontId="11" fillId="0" borderId="36" xfId="0" applyNumberFormat="1" applyFont="1" applyBorder="1" applyAlignment="1">
      <alignment horizontal="center"/>
    </xf>
    <xf numFmtId="1" fontId="49" fillId="6" borderId="62" xfId="0" applyNumberFormat="1" applyFont="1" applyFill="1" applyBorder="1" applyAlignment="1">
      <alignment horizontal="center"/>
    </xf>
    <xf numFmtId="180" fontId="49" fillId="6" borderId="67" xfId="0" applyNumberFormat="1" applyFont="1" applyFill="1" applyBorder="1" applyAlignment="1">
      <alignment horizontal="center"/>
    </xf>
    <xf numFmtId="0" fontId="78" fillId="6" borderId="0" xfId="0" applyFont="1" applyFill="1" applyAlignment="1">
      <alignment horizontal="left" vertical="center"/>
    </xf>
    <xf numFmtId="187" fontId="49" fillId="6" borderId="27" xfId="0" applyNumberFormat="1" applyFont="1" applyFill="1" applyBorder="1" applyAlignment="1">
      <alignment horizontal="center"/>
    </xf>
    <xf numFmtId="0" fontId="44" fillId="6" borderId="0" xfId="0" applyFont="1" applyFill="1" applyAlignment="1">
      <alignment horizontal="left" vertical="center" indent="3"/>
    </xf>
    <xf numFmtId="180" fontId="0" fillId="6" borderId="0" xfId="0" applyNumberFormat="1" applyFill="1" applyAlignment="1">
      <alignment horizontal="left" vertical="center" indent="1"/>
    </xf>
    <xf numFmtId="0" fontId="0" fillId="6" borderId="0" xfId="0" applyFill="1" applyAlignment="1">
      <alignment horizontal="left" vertical="center" indent="1"/>
    </xf>
    <xf numFmtId="0" fontId="49" fillId="5" borderId="16" xfId="0" applyFont="1" applyFill="1" applyBorder="1" applyAlignment="1">
      <alignment horizontal="right" vertical="center"/>
    </xf>
    <xf numFmtId="0" fontId="80" fillId="6" borderId="0" xfId="0" applyFont="1" applyFill="1" applyAlignment="1">
      <alignment horizontal="left" indent="1"/>
    </xf>
    <xf numFmtId="0" fontId="81" fillId="6" borderId="0" xfId="0" applyFont="1" applyFill="1" applyAlignment="1">
      <alignment horizontal="center" vertical="center"/>
    </xf>
    <xf numFmtId="0" fontId="43" fillId="6" borderId="0" xfId="0" applyFont="1" applyFill="1" applyAlignment="1">
      <alignment horizontal="left" indent="1"/>
    </xf>
    <xf numFmtId="0" fontId="1" fillId="6" borderId="0" xfId="0" applyFont="1" applyFill="1" applyAlignment="1">
      <alignment horizontal="center" vertical="center"/>
    </xf>
    <xf numFmtId="0" fontId="80" fillId="6" borderId="0" xfId="0" applyFont="1" applyFill="1" applyAlignment="1">
      <alignment horizontal="left" indent="2"/>
    </xf>
    <xf numFmtId="180" fontId="0" fillId="6" borderId="0" xfId="0" applyNumberFormat="1" applyFill="1" applyAlignment="1">
      <alignment horizontal="right" vertical="center"/>
    </xf>
    <xf numFmtId="192" fontId="49" fillId="6" borderId="0" xfId="0" applyNumberFormat="1" applyFont="1" applyFill="1" applyAlignment="1">
      <alignment horizontal="center"/>
    </xf>
    <xf numFmtId="180" fontId="0" fillId="6" borderId="0" xfId="0" applyNumberFormat="1" applyFill="1" applyAlignment="1">
      <alignment horizontal="right" vertical="center" indent="1"/>
    </xf>
    <xf numFmtId="0" fontId="49" fillId="6" borderId="46" xfId="0" applyFont="1" applyFill="1" applyBorder="1" applyAlignment="1">
      <alignment horizontal="center" vertical="center"/>
    </xf>
    <xf numFmtId="0" fontId="49" fillId="6" borderId="45" xfId="0" applyFont="1" applyFill="1" applyBorder="1" applyAlignment="1">
      <alignment horizontal="center" vertical="center"/>
    </xf>
    <xf numFmtId="0" fontId="49" fillId="6" borderId="44" xfId="0" applyFont="1" applyFill="1" applyBorder="1" applyAlignment="1">
      <alignment horizontal="center" vertical="center"/>
    </xf>
    <xf numFmtId="180" fontId="49" fillId="6" borderId="37" xfId="0" applyNumberFormat="1" applyFont="1" applyFill="1" applyBorder="1" applyAlignment="1">
      <alignment horizontal="center"/>
    </xf>
    <xf numFmtId="177" fontId="49" fillId="6" borderId="37" xfId="0" applyNumberFormat="1" applyFont="1" applyFill="1" applyBorder="1" applyAlignment="1">
      <alignment horizontal="center"/>
    </xf>
    <xf numFmtId="177" fontId="49" fillId="6" borderId="41" xfId="0" applyNumberFormat="1" applyFont="1" applyFill="1" applyBorder="1" applyAlignment="1">
      <alignment horizontal="center"/>
    </xf>
    <xf numFmtId="0" fontId="58" fillId="6" borderId="63" xfId="0" applyFont="1" applyFill="1" applyBorder="1" applyAlignment="1">
      <alignment horizontal="center" vertical="center"/>
    </xf>
    <xf numFmtId="0" fontId="49" fillId="6" borderId="36" xfId="0" applyFont="1" applyFill="1" applyBorder="1" applyAlignment="1">
      <alignment horizontal="center" vertical="center"/>
    </xf>
    <xf numFmtId="190" fontId="49" fillId="6" borderId="67" xfId="0" applyNumberFormat="1" applyFont="1" applyFill="1" applyBorder="1" applyAlignment="1">
      <alignment horizontal="center" vertical="center"/>
    </xf>
    <xf numFmtId="0" fontId="49" fillId="6" borderId="27" xfId="0" applyFont="1" applyFill="1" applyBorder="1" applyAlignment="1">
      <alignment horizontal="center" vertical="center"/>
    </xf>
    <xf numFmtId="0" fontId="81" fillId="6" borderId="27" xfId="0" applyFont="1" applyFill="1" applyBorder="1" applyAlignment="1">
      <alignment horizontal="center" vertical="center"/>
    </xf>
    <xf numFmtId="169" fontId="49" fillId="6" borderId="27" xfId="0" applyNumberFormat="1" applyFont="1" applyFill="1" applyBorder="1" applyAlignment="1">
      <alignment horizontal="center"/>
    </xf>
    <xf numFmtId="193" fontId="49" fillId="6" borderId="62" xfId="0" applyNumberFormat="1" applyFont="1" applyFill="1" applyBorder="1" applyAlignment="1">
      <alignment horizontal="center"/>
    </xf>
    <xf numFmtId="190" fontId="49" fillId="6" borderId="63" xfId="0" applyNumberFormat="1" applyFont="1" applyFill="1" applyBorder="1" applyAlignment="1">
      <alignment horizontal="center"/>
    </xf>
    <xf numFmtId="0" fontId="49" fillId="6" borderId="15" xfId="0" applyFont="1" applyFill="1" applyBorder="1" applyAlignment="1">
      <alignment horizontal="center" vertical="center"/>
    </xf>
    <xf numFmtId="180" fontId="49" fillId="6" borderId="70" xfId="0" applyNumberFormat="1" applyFont="1" applyFill="1" applyBorder="1" applyAlignment="1">
      <alignment horizontal="center"/>
    </xf>
    <xf numFmtId="169" fontId="49" fillId="6" borderId="67" xfId="0" applyNumberFormat="1" applyFont="1" applyFill="1" applyBorder="1" applyAlignment="1">
      <alignment horizontal="center"/>
    </xf>
    <xf numFmtId="193" fontId="49" fillId="6" borderId="119" xfId="0" applyNumberFormat="1" applyFont="1" applyFill="1" applyBorder="1" applyAlignment="1">
      <alignment horizontal="center"/>
    </xf>
    <xf numFmtId="169" fontId="49" fillId="6" borderId="120" xfId="0" applyNumberFormat="1" applyFont="1" applyFill="1" applyBorder="1" applyAlignment="1">
      <alignment horizontal="center"/>
    </xf>
    <xf numFmtId="0" fontId="3" fillId="6" borderId="27" xfId="0" applyFont="1" applyFill="1" applyBorder="1" applyAlignment="1">
      <alignment horizontal="right" vertical="center"/>
    </xf>
    <xf numFmtId="0" fontId="12" fillId="0" borderId="2" xfId="0" applyFont="1" applyBorder="1" applyAlignment="1">
      <alignment horizontal="center"/>
    </xf>
    <xf numFmtId="167" fontId="11" fillId="0" borderId="0" xfId="2" applyNumberFormat="1" applyFont="1" applyAlignment="1">
      <alignment horizontal="center"/>
    </xf>
    <xf numFmtId="168" fontId="11" fillId="0" borderId="0" xfId="0" applyNumberFormat="1" applyFont="1" applyAlignment="1">
      <alignment horizontal="center"/>
    </xf>
    <xf numFmtId="169" fontId="11" fillId="0" borderId="0" xfId="0" applyNumberFormat="1" applyFont="1" applyAlignment="1">
      <alignment horizontal="center"/>
    </xf>
    <xf numFmtId="167" fontId="11" fillId="0" borderId="0" xfId="0" applyNumberFormat="1" applyFont="1" applyAlignment="1">
      <alignment horizontal="center"/>
    </xf>
    <xf numFmtId="167" fontId="11" fillId="0" borderId="27" xfId="0" applyNumberFormat="1" applyFont="1" applyBorder="1" applyAlignment="1">
      <alignment horizontal="center"/>
    </xf>
    <xf numFmtId="0" fontId="76" fillId="0" borderId="4" xfId="0" applyFont="1" applyBorder="1" applyAlignment="1">
      <alignment horizontal="center"/>
    </xf>
    <xf numFmtId="0" fontId="0" fillId="6" borderId="0" xfId="0" quotePrefix="1" applyFill="1" applyAlignment="1">
      <alignment horizontal="center" vertical="center"/>
    </xf>
    <xf numFmtId="171" fontId="0" fillId="6" borderId="0" xfId="0" applyNumberFormat="1" applyFill="1" applyAlignment="1">
      <alignment horizontal="center" vertical="center"/>
    </xf>
    <xf numFmtId="2" fontId="0" fillId="6" borderId="0" xfId="0" quotePrefix="1" applyNumberFormat="1" applyFill="1" applyAlignment="1">
      <alignment horizontal="left" vertical="center"/>
    </xf>
    <xf numFmtId="0" fontId="0" fillId="5" borderId="47" xfId="0" applyFill="1" applyBorder="1" applyAlignment="1">
      <alignment horizontal="right"/>
    </xf>
    <xf numFmtId="0" fontId="0" fillId="5" borderId="49" xfId="0" applyFill="1" applyBorder="1" applyAlignment="1">
      <alignment horizontal="right" vertical="center"/>
    </xf>
    <xf numFmtId="0" fontId="49" fillId="6" borderId="36" xfId="0" applyFont="1" applyFill="1" applyBorder="1" applyAlignment="1">
      <alignment horizontal="center"/>
    </xf>
    <xf numFmtId="190" fontId="49" fillId="6" borderId="27" xfId="0" applyNumberFormat="1" applyFont="1" applyFill="1" applyBorder="1" applyAlignment="1">
      <alignment horizontal="center"/>
    </xf>
    <xf numFmtId="190" fontId="49" fillId="6" borderId="62" xfId="0" applyNumberFormat="1" applyFont="1" applyFill="1" applyBorder="1" applyAlignment="1">
      <alignment horizontal="center"/>
    </xf>
    <xf numFmtId="0" fontId="67" fillId="6" borderId="0" xfId="0" applyFont="1" applyFill="1" applyAlignment="1">
      <alignment horizontal="left" vertical="center"/>
    </xf>
    <xf numFmtId="190" fontId="0" fillId="6" borderId="0" xfId="0" applyNumberFormat="1" applyFill="1" applyAlignment="1">
      <alignment horizontal="center" vertical="center"/>
    </xf>
    <xf numFmtId="185" fontId="0" fillId="6" borderId="0" xfId="0" applyNumberFormat="1" applyFill="1" applyAlignment="1">
      <alignment horizontal="center" vertical="center"/>
    </xf>
    <xf numFmtId="194" fontId="0" fillId="6" borderId="0" xfId="0" applyNumberFormat="1" applyFill="1" applyAlignment="1">
      <alignment horizontal="center" vertical="center"/>
    </xf>
    <xf numFmtId="195" fontId="0" fillId="6" borderId="0" xfId="0" applyNumberFormat="1" applyFill="1" applyAlignment="1">
      <alignment horizontal="center" vertical="center"/>
    </xf>
    <xf numFmtId="0" fontId="3" fillId="6" borderId="0" xfId="0" applyFont="1" applyFill="1" applyAlignment="1" applyProtection="1">
      <alignment horizontal="center"/>
      <protection locked="0"/>
    </xf>
    <xf numFmtId="196" fontId="0" fillId="6" borderId="0" xfId="0" applyNumberFormat="1" applyFill="1" applyAlignment="1">
      <alignment horizontal="center" vertical="center"/>
    </xf>
    <xf numFmtId="177" fontId="1" fillId="6" borderId="0" xfId="0" applyNumberFormat="1" applyFont="1" applyFill="1" applyAlignment="1">
      <alignment horizontal="center" vertical="center"/>
    </xf>
    <xf numFmtId="196" fontId="1" fillId="6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left" vertical="center" indent="2"/>
    </xf>
    <xf numFmtId="193" fontId="0" fillId="6" borderId="0" xfId="0" applyNumberFormat="1" applyFill="1" applyAlignment="1">
      <alignment horizontal="center" vertical="center"/>
    </xf>
    <xf numFmtId="197" fontId="0" fillId="6" borderId="0" xfId="0" applyNumberFormat="1" applyFill="1" applyAlignment="1">
      <alignment horizontal="center" vertical="center"/>
    </xf>
    <xf numFmtId="2" fontId="11" fillId="0" borderId="0" xfId="0" applyNumberFormat="1" applyFont="1" applyAlignment="1">
      <alignment horizontal="center"/>
    </xf>
    <xf numFmtId="0" fontId="83" fillId="5" borderId="0" xfId="0" applyFont="1" applyFill="1" applyAlignment="1">
      <alignment horizontal="right" vertical="center" wrapText="1"/>
    </xf>
    <xf numFmtId="0" fontId="49" fillId="5" borderId="0" xfId="0" applyFont="1" applyFill="1" applyAlignment="1">
      <alignment horizontal="right" vertical="center" wrapText="1"/>
    </xf>
    <xf numFmtId="180" fontId="0" fillId="6" borderId="0" xfId="0" applyNumberFormat="1" applyFill="1" applyAlignment="1" applyProtection="1">
      <alignment horizontal="center" vertical="center"/>
      <protection locked="0"/>
    </xf>
    <xf numFmtId="190" fontId="49" fillId="6" borderId="0" xfId="0" applyNumberFormat="1" applyFont="1" applyFill="1" applyAlignment="1">
      <alignment horizontal="center"/>
    </xf>
    <xf numFmtId="0" fontId="80" fillId="6" borderId="0" xfId="0" applyFont="1" applyFill="1" applyAlignment="1">
      <alignment horizontal="left" vertical="center" indent="1"/>
    </xf>
    <xf numFmtId="164" fontId="0" fillId="6" borderId="0" xfId="0" applyNumberFormat="1" applyFill="1" applyAlignment="1">
      <alignment horizontal="center" vertical="center"/>
    </xf>
    <xf numFmtId="0" fontId="0" fillId="6" borderId="0" xfId="0" quotePrefix="1" applyFill="1" applyAlignment="1">
      <alignment horizontal="right" vertical="center"/>
    </xf>
    <xf numFmtId="0" fontId="0" fillId="13" borderId="0" xfId="0" applyFill="1" applyAlignment="1">
      <alignment horizontal="center" vertical="center"/>
    </xf>
    <xf numFmtId="0" fontId="6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right"/>
    </xf>
    <xf numFmtId="180" fontId="0" fillId="13" borderId="0" xfId="0" applyNumberFormat="1" applyFill="1" applyAlignment="1">
      <alignment horizontal="center" vertical="center"/>
    </xf>
    <xf numFmtId="0" fontId="71" fillId="6" borderId="0" xfId="0" applyFont="1" applyFill="1" applyAlignment="1">
      <alignment horizontal="right" vertical="center"/>
    </xf>
    <xf numFmtId="1" fontId="0" fillId="10" borderId="0" xfId="0" applyNumberFormat="1" applyFill="1" applyAlignment="1">
      <alignment horizontal="center" vertical="center"/>
    </xf>
    <xf numFmtId="199" fontId="0" fillId="6" borderId="0" xfId="0" applyNumberFormat="1" applyFill="1" applyAlignment="1">
      <alignment horizontal="center" vertical="center"/>
    </xf>
    <xf numFmtId="1" fontId="0" fillId="5" borderId="0" xfId="0" applyNumberFormat="1" applyFill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Continuous" vertical="center"/>
    </xf>
    <xf numFmtId="0" fontId="71" fillId="6" borderId="0" xfId="0" applyFont="1" applyFill="1" applyAlignment="1">
      <alignment horizontal="left" vertical="center" indent="4"/>
    </xf>
    <xf numFmtId="0" fontId="80" fillId="6" borderId="0" xfId="0" applyFont="1" applyFill="1" applyAlignment="1">
      <alignment horizontal="right" vertical="center"/>
    </xf>
    <xf numFmtId="0" fontId="0" fillId="6" borderId="16" xfId="0" applyFill="1" applyBorder="1" applyAlignment="1">
      <alignment horizontal="center" vertical="center"/>
    </xf>
    <xf numFmtId="0" fontId="0" fillId="6" borderId="63" xfId="0" applyFill="1" applyBorder="1" applyAlignment="1">
      <alignment horizontal="right" vertical="center"/>
    </xf>
    <xf numFmtId="0" fontId="0" fillId="6" borderId="27" xfId="0" applyFill="1" applyBorder="1" applyAlignment="1">
      <alignment horizontal="right" vertical="center"/>
    </xf>
    <xf numFmtId="1" fontId="0" fillId="6" borderId="27" xfId="0" applyNumberFormat="1" applyFill="1" applyBorder="1" applyAlignment="1">
      <alignment horizontal="center" vertical="center"/>
    </xf>
    <xf numFmtId="0" fontId="0" fillId="6" borderId="62" xfId="0" applyFill="1" applyBorder="1" applyAlignment="1">
      <alignment horizontal="left" vertical="center"/>
    </xf>
    <xf numFmtId="1" fontId="1" fillId="5" borderId="0" xfId="0" applyNumberFormat="1" applyFont="1" applyFill="1" applyAlignment="1">
      <alignment horizontal="center" vertical="center"/>
    </xf>
    <xf numFmtId="0" fontId="87" fillId="6" borderId="0" xfId="0" applyFont="1" applyFill="1" applyAlignment="1">
      <alignment horizontal="left" vertical="center" indent="1"/>
    </xf>
    <xf numFmtId="0" fontId="88" fillId="6" borderId="0" xfId="0" applyFont="1" applyFill="1" applyAlignment="1">
      <alignment horizontal="left" vertical="center"/>
    </xf>
    <xf numFmtId="0" fontId="89" fillId="6" borderId="0" xfId="0" applyFont="1" applyFill="1" applyAlignment="1">
      <alignment horizontal="left" vertical="center" indent="1"/>
    </xf>
    <xf numFmtId="0" fontId="90" fillId="6" borderId="0" xfId="0" applyFont="1" applyFill="1" applyAlignment="1">
      <alignment horizontal="left" vertical="center"/>
    </xf>
    <xf numFmtId="0" fontId="86" fillId="6" borderId="0" xfId="0" applyFont="1" applyFill="1"/>
    <xf numFmtId="2" fontId="91" fillId="6" borderId="0" xfId="0" applyNumberFormat="1" applyFont="1" applyFill="1" applyAlignment="1">
      <alignment horizontal="centerContinuous" vertical="center"/>
    </xf>
    <xf numFmtId="0" fontId="78" fillId="6" borderId="0" xfId="0" applyFont="1" applyFill="1" applyAlignment="1">
      <alignment horizontal="center" vertical="center"/>
    </xf>
    <xf numFmtId="0" fontId="78" fillId="6" borderId="0" xfId="0" applyFont="1" applyFill="1" applyAlignment="1">
      <alignment horizontal="right" vertical="center"/>
    </xf>
    <xf numFmtId="0" fontId="1" fillId="5" borderId="0" xfId="0" applyFont="1" applyFill="1" applyAlignment="1">
      <alignment horizontal="center" vertical="center"/>
    </xf>
    <xf numFmtId="0" fontId="94" fillId="6" borderId="0" xfId="0" applyFont="1" applyFill="1" applyAlignment="1">
      <alignment horizontal="center" vertical="center"/>
    </xf>
    <xf numFmtId="164" fontId="0" fillId="5" borderId="0" xfId="0" applyNumberFormat="1" applyFill="1" applyAlignment="1">
      <alignment horizontal="center" vertical="center"/>
    </xf>
    <xf numFmtId="2" fontId="25" fillId="5" borderId="91" xfId="0" applyNumberFormat="1" applyFont="1" applyFill="1" applyBorder="1" applyAlignment="1">
      <alignment horizontal="center" vertical="center"/>
    </xf>
    <xf numFmtId="2" fontId="0" fillId="5" borderId="91" xfId="0" applyNumberFormat="1" applyFill="1" applyBorder="1" applyAlignment="1">
      <alignment horizontal="center" vertical="center"/>
    </xf>
    <xf numFmtId="2" fontId="25" fillId="5" borderId="0" xfId="0" applyNumberFormat="1" applyFont="1" applyFill="1" applyAlignment="1">
      <alignment horizontal="center" vertical="center"/>
    </xf>
    <xf numFmtId="181" fontId="1" fillId="13" borderId="118" xfId="0" applyNumberFormat="1" applyFont="1" applyFill="1" applyBorder="1" applyAlignment="1" applyProtection="1">
      <alignment vertical="center"/>
      <protection locked="0"/>
    </xf>
    <xf numFmtId="181" fontId="1" fillId="13" borderId="41" xfId="0" applyNumberFormat="1" applyFont="1" applyFill="1" applyBorder="1" applyAlignment="1" applyProtection="1">
      <alignment vertical="center"/>
      <protection locked="0"/>
    </xf>
    <xf numFmtId="180" fontId="0" fillId="13" borderId="0" xfId="0" applyNumberFormat="1" applyFill="1" applyAlignment="1" applyProtection="1">
      <alignment horizontal="center" vertical="center"/>
      <protection locked="0"/>
    </xf>
    <xf numFmtId="180" fontId="0" fillId="13" borderId="73" xfId="0" applyNumberFormat="1" applyFill="1" applyBorder="1" applyAlignment="1" applyProtection="1">
      <alignment horizontal="center" vertical="center"/>
      <protection locked="0"/>
    </xf>
    <xf numFmtId="171" fontId="0" fillId="13" borderId="17" xfId="0" applyNumberFormat="1" applyFill="1" applyBorder="1" applyAlignment="1" applyProtection="1">
      <alignment horizontal="center" vertical="center"/>
      <protection locked="0"/>
    </xf>
    <xf numFmtId="0" fontId="0" fillId="13" borderId="0" xfId="0" applyFill="1" applyAlignment="1" applyProtection="1">
      <alignment horizontal="center" vertical="center"/>
      <protection locked="0"/>
    </xf>
    <xf numFmtId="191" fontId="0" fillId="13" borderId="17" xfId="0" applyNumberFormat="1" applyFill="1" applyBorder="1" applyAlignment="1" applyProtection="1">
      <alignment horizontal="center" vertical="center"/>
      <protection locked="0"/>
    </xf>
    <xf numFmtId="0" fontId="0" fillId="13" borderId="17" xfId="0" applyFill="1" applyBorder="1" applyAlignment="1" applyProtection="1">
      <alignment horizontal="center" vertical="center"/>
      <protection locked="0"/>
    </xf>
    <xf numFmtId="0" fontId="17" fillId="13" borderId="0" xfId="0" applyFont="1" applyFill="1" applyAlignment="1" applyProtection="1">
      <alignment horizontal="center" vertical="center"/>
      <protection locked="0"/>
    </xf>
    <xf numFmtId="180" fontId="0" fillId="13" borderId="17" xfId="0" applyNumberFormat="1" applyFill="1" applyBorder="1" applyAlignment="1" applyProtection="1">
      <alignment horizontal="center" vertical="center"/>
      <protection locked="0"/>
    </xf>
    <xf numFmtId="181" fontId="1" fillId="13" borderId="0" xfId="0" applyNumberFormat="1" applyFont="1" applyFill="1" applyAlignment="1" applyProtection="1">
      <alignment vertical="center"/>
      <protection locked="0"/>
    </xf>
    <xf numFmtId="0" fontId="3" fillId="13" borderId="17" xfId="0" applyFont="1" applyFill="1" applyBorder="1" applyAlignment="1" applyProtection="1">
      <alignment horizontal="center"/>
      <protection locked="0"/>
    </xf>
    <xf numFmtId="170" fontId="3" fillId="13" borderId="27" xfId="0" applyNumberFormat="1" applyFont="1" applyFill="1" applyBorder="1" applyAlignment="1" applyProtection="1">
      <alignment horizontal="center"/>
      <protection locked="0"/>
    </xf>
    <xf numFmtId="0" fontId="3" fillId="13" borderId="27" xfId="0" applyFont="1" applyFill="1" applyBorder="1" applyAlignment="1" applyProtection="1">
      <alignment horizontal="center"/>
      <protection locked="0"/>
    </xf>
    <xf numFmtId="0" fontId="3" fillId="13" borderId="0" xfId="0" applyFont="1" applyFill="1" applyAlignment="1" applyProtection="1">
      <alignment horizontal="center"/>
      <protection locked="0"/>
    </xf>
    <xf numFmtId="0" fontId="3" fillId="13" borderId="0" xfId="0" applyFont="1" applyFill="1" applyAlignment="1" applyProtection="1">
      <alignment horizontal="right"/>
      <protection locked="0"/>
    </xf>
    <xf numFmtId="170" fontId="3" fillId="13" borderId="62" xfId="0" applyNumberFormat="1" applyFont="1" applyFill="1" applyBorder="1" applyAlignment="1" applyProtection="1">
      <alignment horizontal="center"/>
      <protection locked="0"/>
    </xf>
    <xf numFmtId="181" fontId="1" fillId="13" borderId="17" xfId="0" applyNumberFormat="1" applyFont="1" applyFill="1" applyBorder="1" applyAlignment="1" applyProtection="1">
      <alignment vertical="center"/>
      <protection locked="0"/>
    </xf>
    <xf numFmtId="0" fontId="17" fillId="13" borderId="73" xfId="0" applyFont="1" applyFill="1" applyBorder="1" applyAlignment="1" applyProtection="1">
      <alignment horizontal="center" vertical="center"/>
      <protection locked="0"/>
    </xf>
    <xf numFmtId="0" fontId="17" fillId="13" borderId="61" xfId="0" applyFont="1" applyFill="1" applyBorder="1" applyAlignment="1" applyProtection="1">
      <alignment horizontal="center" vertical="center"/>
      <protection locked="0"/>
    </xf>
    <xf numFmtId="171" fontId="0" fillId="13" borderId="27" xfId="0" applyNumberFormat="1" applyFill="1" applyBorder="1" applyAlignment="1" applyProtection="1">
      <alignment horizontal="center" vertical="center"/>
      <protection locked="0"/>
    </xf>
    <xf numFmtId="185" fontId="1" fillId="13" borderId="0" xfId="0" applyNumberFormat="1" applyFont="1" applyFill="1" applyAlignment="1" applyProtection="1">
      <alignment vertical="center"/>
      <protection locked="0"/>
    </xf>
    <xf numFmtId="185" fontId="1" fillId="13" borderId="27" xfId="0" applyNumberFormat="1" applyFont="1" applyFill="1" applyBorder="1" applyAlignment="1" applyProtection="1">
      <alignment vertical="center"/>
      <protection locked="0"/>
    </xf>
    <xf numFmtId="171" fontId="0" fillId="13" borderId="49" xfId="0" applyNumberFormat="1" applyFill="1" applyBorder="1" applyAlignment="1" applyProtection="1">
      <alignment horizontal="center" vertical="center"/>
      <protection locked="0"/>
    </xf>
    <xf numFmtId="180" fontId="0" fillId="13" borderId="48" xfId="0" applyNumberFormat="1" applyFill="1" applyBorder="1" applyAlignment="1" applyProtection="1">
      <alignment horizontal="center" vertical="center"/>
      <protection locked="0"/>
    </xf>
    <xf numFmtId="0" fontId="17" fillId="13" borderId="17" xfId="0" applyFont="1" applyFill="1" applyBorder="1" applyAlignment="1" applyProtection="1">
      <alignment horizontal="center" vertical="center"/>
      <protection locked="0"/>
    </xf>
    <xf numFmtId="0" fontId="1" fillId="13" borderId="0" xfId="0" applyFont="1" applyFill="1" applyAlignment="1" applyProtection="1">
      <alignment horizontal="center" vertical="center"/>
      <protection locked="0"/>
    </xf>
    <xf numFmtId="0" fontId="0" fillId="13" borderId="27" xfId="0" applyFill="1" applyBorder="1" applyAlignment="1" applyProtection="1">
      <alignment horizontal="center" vertical="center"/>
      <protection locked="0"/>
    </xf>
    <xf numFmtId="189" fontId="0" fillId="13" borderId="0" xfId="0" applyNumberFormat="1" applyFill="1" applyAlignment="1" applyProtection="1">
      <alignment horizontal="center" vertical="center"/>
      <protection locked="0"/>
    </xf>
    <xf numFmtId="181" fontId="1" fillId="13" borderId="17" xfId="0" applyNumberFormat="1" applyFont="1" applyFill="1" applyBorder="1" applyAlignment="1" applyProtection="1">
      <alignment horizontal="center" vertical="center"/>
      <protection locked="0"/>
    </xf>
    <xf numFmtId="181" fontId="1" fillId="13" borderId="0" xfId="0" applyNumberFormat="1" applyFont="1" applyFill="1" applyAlignment="1" applyProtection="1">
      <alignment horizontal="center" vertical="center"/>
      <protection locked="0"/>
    </xf>
    <xf numFmtId="0" fontId="0" fillId="13" borderId="20" xfId="0" applyFill="1" applyBorder="1" applyAlignment="1" applyProtection="1">
      <alignment horizontal="center" vertical="center"/>
      <protection locked="0"/>
    </xf>
    <xf numFmtId="0" fontId="0" fillId="13" borderId="10" xfId="0" applyFill="1" applyBorder="1" applyAlignment="1" applyProtection="1">
      <alignment horizontal="center"/>
      <protection locked="0"/>
    </xf>
    <xf numFmtId="180" fontId="1" fillId="13" borderId="95" xfId="0" applyNumberFormat="1" applyFont="1" applyFill="1" applyBorder="1" applyAlignment="1" applyProtection="1">
      <alignment horizontal="center" vertical="center"/>
      <protection locked="0"/>
    </xf>
    <xf numFmtId="0" fontId="17" fillId="13" borderId="25" xfId="0" applyFont="1" applyFill="1" applyBorder="1" applyAlignment="1" applyProtection="1">
      <alignment horizontal="center" vertical="center"/>
      <protection locked="0"/>
    </xf>
    <xf numFmtId="177" fontId="1" fillId="13" borderId="95" xfId="0" applyNumberFormat="1" applyFont="1" applyFill="1" applyBorder="1" applyAlignment="1" applyProtection="1">
      <alignment horizontal="center" vertical="center"/>
      <protection locked="0"/>
    </xf>
    <xf numFmtId="180" fontId="1" fillId="13" borderId="97" xfId="0" applyNumberFormat="1" applyFont="1" applyFill="1" applyBorder="1" applyAlignment="1" applyProtection="1">
      <alignment horizontal="center" vertical="center"/>
      <protection locked="0"/>
    </xf>
    <xf numFmtId="0" fontId="1" fillId="13" borderId="27" xfId="0" applyFont="1" applyFill="1" applyBorder="1" applyAlignment="1" applyProtection="1">
      <alignment horizontal="center" vertical="center"/>
      <protection locked="0"/>
    </xf>
    <xf numFmtId="164" fontId="19" fillId="5" borderId="10" xfId="0" applyNumberFormat="1" applyFont="1" applyFill="1" applyBorder="1" applyAlignment="1">
      <alignment vertical="center"/>
    </xf>
    <xf numFmtId="2" fontId="19" fillId="5" borderId="10" xfId="0" applyNumberFormat="1" applyFont="1" applyFill="1" applyBorder="1" applyAlignment="1">
      <alignment vertical="center"/>
    </xf>
    <xf numFmtId="1" fontId="19" fillId="5" borderId="10" xfId="0" applyNumberFormat="1" applyFont="1" applyFill="1" applyBorder="1" applyAlignment="1">
      <alignment vertical="center"/>
    </xf>
    <xf numFmtId="0" fontId="19" fillId="5" borderId="10" xfId="0" applyFont="1" applyFill="1" applyBorder="1" applyAlignment="1">
      <alignment horizontal="center" vertical="center"/>
    </xf>
    <xf numFmtId="164" fontId="19" fillId="5" borderId="39" xfId="0" applyNumberFormat="1" applyFont="1" applyFill="1" applyBorder="1" applyAlignment="1">
      <alignment vertical="center"/>
    </xf>
    <xf numFmtId="164" fontId="24" fillId="5" borderId="10" xfId="0" applyNumberFormat="1" applyFont="1" applyFill="1" applyBorder="1" applyAlignment="1">
      <alignment vertical="center"/>
    </xf>
    <xf numFmtId="164" fontId="34" fillId="5" borderId="80" xfId="0" applyNumberFormat="1" applyFont="1" applyFill="1" applyBorder="1" applyAlignment="1">
      <alignment horizontal="right" vertical="center"/>
    </xf>
    <xf numFmtId="1" fontId="34" fillId="5" borderId="80" xfId="0" applyNumberFormat="1" applyFont="1" applyFill="1" applyBorder="1" applyAlignment="1">
      <alignment horizontal="right" vertical="center"/>
    </xf>
    <xf numFmtId="2" fontId="34" fillId="5" borderId="80" xfId="0" applyNumberFormat="1" applyFont="1" applyFill="1" applyBorder="1" applyAlignment="1">
      <alignment horizontal="right" vertical="center"/>
    </xf>
    <xf numFmtId="0" fontId="19" fillId="13" borderId="10" xfId="0" applyFont="1" applyFill="1" applyBorder="1" applyAlignment="1" applyProtection="1">
      <alignment horizontal="center" vertical="center"/>
      <protection locked="0"/>
    </xf>
    <xf numFmtId="170" fontId="19" fillId="13" borderId="10" xfId="0" applyNumberFormat="1" applyFont="1" applyFill="1" applyBorder="1" applyAlignment="1" applyProtection="1">
      <alignment horizontal="center" vertical="center"/>
      <protection locked="0"/>
    </xf>
    <xf numFmtId="0" fontId="19" fillId="13" borderId="10" xfId="0" applyFont="1" applyFill="1" applyBorder="1" applyAlignment="1" applyProtection="1">
      <alignment horizontal="center"/>
      <protection locked="0"/>
    </xf>
    <xf numFmtId="0" fontId="19" fillId="13" borderId="10" xfId="0" applyFont="1" applyFill="1" applyBorder="1" applyProtection="1">
      <protection locked="0"/>
    </xf>
    <xf numFmtId="0" fontId="24" fillId="13" borderId="10" xfId="0" applyFont="1" applyFill="1" applyBorder="1" applyAlignment="1" applyProtection="1">
      <alignment vertical="center"/>
      <protection locked="0"/>
    </xf>
    <xf numFmtId="0" fontId="32" fillId="6" borderId="0" xfId="0" applyFont="1" applyFill="1" applyAlignment="1">
      <alignment horizontal="left" vertical="center"/>
    </xf>
    <xf numFmtId="0" fontId="96" fillId="6" borderId="0" xfId="0" applyFont="1" applyFill="1" applyAlignment="1">
      <alignment horizontal="right"/>
    </xf>
    <xf numFmtId="0" fontId="72" fillId="6" borderId="0" xfId="0" applyFont="1" applyFill="1" applyAlignment="1">
      <alignment horizontal="left" vertical="center" indent="2"/>
    </xf>
    <xf numFmtId="0" fontId="78" fillId="5" borderId="0" xfId="0" applyFont="1" applyFill="1" applyAlignment="1">
      <alignment horizontal="center" vertical="center"/>
    </xf>
    <xf numFmtId="0" fontId="98" fillId="6" borderId="0" xfId="0" applyFont="1" applyFill="1" applyAlignment="1">
      <alignment vertical="center"/>
    </xf>
    <xf numFmtId="200" fontId="0" fillId="5" borderId="0" xfId="0" applyNumberFormat="1" applyFill="1" applyAlignment="1">
      <alignment horizontal="center" vertical="center"/>
    </xf>
    <xf numFmtId="1" fontId="0" fillId="5" borderId="0" xfId="0" applyNumberFormat="1" applyFill="1" applyAlignment="1">
      <alignment horizontal="left" vertical="center"/>
    </xf>
    <xf numFmtId="200" fontId="0" fillId="6" borderId="0" xfId="0" applyNumberFormat="1" applyFill="1" applyAlignment="1">
      <alignment horizontal="center" vertical="center"/>
    </xf>
    <xf numFmtId="0" fontId="96" fillId="6" borderId="0" xfId="0" applyFont="1" applyFill="1" applyAlignment="1">
      <alignment horizontal="center"/>
    </xf>
    <xf numFmtId="0" fontId="72" fillId="6" borderId="0" xfId="0" applyFont="1" applyFill="1" applyAlignment="1">
      <alignment vertical="center"/>
    </xf>
    <xf numFmtId="0" fontId="0" fillId="6" borderId="0" xfId="0" applyFill="1" applyAlignment="1">
      <alignment horizontal="right" vertical="center" indent="2"/>
    </xf>
    <xf numFmtId="0" fontId="95" fillId="6" borderId="0" xfId="0" applyFont="1" applyFill="1" applyAlignment="1">
      <alignment horizontal="left" vertical="center" indent="1"/>
    </xf>
    <xf numFmtId="0" fontId="0" fillId="13" borderId="121" xfId="0" applyFill="1" applyBorder="1" applyAlignment="1" applyProtection="1">
      <alignment horizontal="center" vertical="center"/>
      <protection locked="0"/>
    </xf>
    <xf numFmtId="0" fontId="20" fillId="6" borderId="0" xfId="3" applyFill="1" applyAlignment="1">
      <alignment vertical="center"/>
    </xf>
    <xf numFmtId="0" fontId="100" fillId="6" borderId="0" xfId="0" applyFont="1" applyFill="1" applyAlignment="1">
      <alignment horizontal="left" vertical="center"/>
    </xf>
    <xf numFmtId="170" fontId="3" fillId="13" borderId="0" xfId="0" applyNumberFormat="1" applyFont="1" applyFill="1" applyAlignment="1" applyProtection="1">
      <alignment horizontal="center" vertical="center"/>
      <protection locked="0"/>
    </xf>
    <xf numFmtId="0" fontId="0" fillId="6" borderId="0" xfId="0" quotePrefix="1" applyFill="1" applyAlignment="1">
      <alignment horizontal="left" vertical="center"/>
    </xf>
    <xf numFmtId="0" fontId="44" fillId="5" borderId="0" xfId="0" applyFont="1" applyFill="1" applyAlignment="1">
      <alignment horizontal="right"/>
    </xf>
    <xf numFmtId="0" fontId="0" fillId="5" borderId="0" xfId="0" applyFill="1" applyAlignment="1">
      <alignment horizontal="right" vertical="center"/>
    </xf>
    <xf numFmtId="1" fontId="0" fillId="5" borderId="0" xfId="0" quotePrefix="1" applyNumberFormat="1" applyFill="1" applyAlignment="1">
      <alignment horizontal="center" vertical="center"/>
    </xf>
    <xf numFmtId="0" fontId="72" fillId="6" borderId="0" xfId="0" quotePrefix="1" applyFont="1" applyFill="1" applyAlignment="1">
      <alignment horizontal="left" vertical="center"/>
    </xf>
    <xf numFmtId="0" fontId="3" fillId="13" borderId="0" xfId="0" applyFont="1" applyFill="1" applyAlignment="1" applyProtection="1">
      <alignment horizontal="center" vertical="center"/>
      <protection locked="0"/>
    </xf>
    <xf numFmtId="2" fontId="0" fillId="6" borderId="0" xfId="0" quotePrefix="1" applyNumberFormat="1" applyFill="1" applyAlignment="1">
      <alignment horizontal="center" vertical="center"/>
    </xf>
    <xf numFmtId="164" fontId="0" fillId="6" borderId="0" xfId="0" quotePrefix="1" applyNumberFormat="1" applyFill="1" applyAlignment="1">
      <alignment horizontal="center" vertical="center"/>
    </xf>
    <xf numFmtId="1" fontId="1" fillId="5" borderId="0" xfId="0" quotePrefix="1" applyNumberFormat="1" applyFont="1" applyFill="1" applyAlignment="1">
      <alignment horizontal="center" vertical="center"/>
    </xf>
    <xf numFmtId="0" fontId="1" fillId="13" borderId="0" xfId="0" quotePrefix="1" applyFont="1" applyFill="1" applyAlignment="1">
      <alignment horizontal="center" vertical="center"/>
    </xf>
    <xf numFmtId="2" fontId="0" fillId="10" borderId="0" xfId="0" applyNumberFormat="1" applyFill="1" applyAlignment="1">
      <alignment horizontal="center" vertical="center"/>
    </xf>
    <xf numFmtId="170" fontId="3" fillId="13" borderId="0" xfId="0" applyNumberFormat="1" applyFont="1" applyFill="1" applyAlignment="1" applyProtection="1">
      <alignment horizontal="center"/>
      <protection locked="0"/>
    </xf>
    <xf numFmtId="0" fontId="43" fillId="6" borderId="0" xfId="0" applyFont="1" applyFill="1" applyAlignment="1">
      <alignment horizontal="left" vertical="center" indent="2"/>
    </xf>
    <xf numFmtId="16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left"/>
    </xf>
    <xf numFmtId="175" fontId="0" fillId="6" borderId="0" xfId="0" applyNumberFormat="1" applyFill="1"/>
    <xf numFmtId="2" fontId="3" fillId="6" borderId="0" xfId="0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right"/>
    </xf>
    <xf numFmtId="171" fontId="17" fillId="13" borderId="0" xfId="0" applyNumberFormat="1" applyFont="1" applyFill="1" applyAlignment="1" applyProtection="1">
      <alignment horizontal="center" vertical="center"/>
      <protection locked="0"/>
    </xf>
    <xf numFmtId="0" fontId="58" fillId="6" borderId="0" xfId="0" applyFont="1" applyFill="1" applyAlignment="1">
      <alignment horizontal="right" vertical="center"/>
    </xf>
    <xf numFmtId="0" fontId="0" fillId="5" borderId="17" xfId="0" applyFill="1" applyBorder="1" applyAlignment="1">
      <alignment horizontal="right" vertical="center"/>
    </xf>
    <xf numFmtId="181" fontId="1" fillId="13" borderId="18" xfId="0" applyNumberFormat="1" applyFont="1" applyFill="1" applyBorder="1" applyAlignment="1" applyProtection="1">
      <alignment vertical="center"/>
      <protection locked="0"/>
    </xf>
    <xf numFmtId="188" fontId="81" fillId="6" borderId="36" xfId="0" applyNumberFormat="1" applyFont="1" applyFill="1" applyBorder="1" applyAlignment="1">
      <alignment horizontal="left" vertical="center"/>
    </xf>
    <xf numFmtId="180" fontId="81" fillId="6" borderId="36" xfId="0" applyNumberFormat="1" applyFont="1" applyFill="1" applyBorder="1" applyAlignment="1">
      <alignment horizontal="left" vertical="center"/>
    </xf>
    <xf numFmtId="0" fontId="0" fillId="5" borderId="27" xfId="0" applyFill="1" applyBorder="1" applyAlignment="1">
      <alignment horizontal="center" vertical="center"/>
    </xf>
    <xf numFmtId="0" fontId="58" fillId="6" borderId="27" xfId="0" applyFont="1" applyFill="1" applyBorder="1" applyAlignment="1">
      <alignment horizontal="right" vertical="center"/>
    </xf>
    <xf numFmtId="188" fontId="81" fillId="6" borderId="62" xfId="0" applyNumberFormat="1" applyFont="1" applyFill="1" applyBorder="1" applyAlignment="1">
      <alignment horizontal="left" vertical="center"/>
    </xf>
    <xf numFmtId="0" fontId="0" fillId="5" borderId="73" xfId="0" applyFill="1" applyBorder="1" applyAlignment="1">
      <alignment horizontal="right" vertical="center"/>
    </xf>
    <xf numFmtId="0" fontId="17" fillId="13" borderId="64" xfId="0" applyFont="1" applyFill="1" applyBorder="1" applyAlignment="1" applyProtection="1">
      <alignment horizontal="center" vertical="center"/>
      <protection locked="0"/>
    </xf>
    <xf numFmtId="0" fontId="0" fillId="6" borderId="17" xfId="0" applyFill="1" applyBorder="1" applyAlignment="1">
      <alignment horizontal="right" vertical="center"/>
    </xf>
    <xf numFmtId="181" fontId="1" fillId="6" borderId="18" xfId="0" applyNumberFormat="1" applyFont="1" applyFill="1" applyBorder="1" applyAlignment="1" applyProtection="1">
      <alignment vertical="center"/>
      <protection locked="0"/>
    </xf>
    <xf numFmtId="0" fontId="1" fillId="6" borderId="16" xfId="0" applyFont="1" applyFill="1" applyBorder="1" applyAlignment="1">
      <alignment horizontal="right" vertical="center" indent="1"/>
    </xf>
    <xf numFmtId="0" fontId="1" fillId="6" borderId="22" xfId="0" applyFont="1" applyFill="1" applyBorder="1" applyAlignment="1">
      <alignment horizontal="right" vertical="center" indent="1"/>
    </xf>
    <xf numFmtId="0" fontId="1" fillId="6" borderId="63" xfId="0" applyFont="1" applyFill="1" applyBorder="1" applyAlignment="1">
      <alignment horizontal="right" vertical="center" indent="1"/>
    </xf>
    <xf numFmtId="0" fontId="1" fillId="10" borderId="10" xfId="0" applyFont="1" applyFill="1" applyBorder="1" applyAlignment="1">
      <alignment horizontal="center" vertical="center"/>
    </xf>
    <xf numFmtId="2" fontId="17" fillId="5" borderId="0" xfId="0" applyNumberFormat="1" applyFont="1" applyFill="1" applyAlignment="1">
      <alignment horizontal="center"/>
    </xf>
    <xf numFmtId="2" fontId="17" fillId="5" borderId="0" xfId="0" applyNumberFormat="1" applyFont="1" applyFill="1" applyAlignment="1">
      <alignment horizontal="center" vertical="center"/>
    </xf>
    <xf numFmtId="164" fontId="17" fillId="5" borderId="0" xfId="0" applyNumberFormat="1" applyFont="1" applyFill="1" applyAlignment="1">
      <alignment horizontal="center" vertical="center"/>
    </xf>
    <xf numFmtId="2" fontId="1" fillId="5" borderId="0" xfId="0" quotePrefix="1" applyNumberFormat="1" applyFont="1" applyFill="1" applyAlignment="1">
      <alignment horizontal="left" vertical="center"/>
    </xf>
    <xf numFmtId="177" fontId="0" fillId="5" borderId="0" xfId="0" applyNumberFormat="1" applyFill="1" applyAlignment="1">
      <alignment horizontal="left" vertical="center" indent="1"/>
    </xf>
    <xf numFmtId="0" fontId="0" fillId="5" borderId="27" xfId="0" applyFill="1" applyBorder="1" applyAlignment="1">
      <alignment horizontal="right" vertical="center"/>
    </xf>
    <xf numFmtId="0" fontId="58" fillId="6" borderId="62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47" fillId="6" borderId="21" xfId="0" applyFont="1" applyFill="1" applyBorder="1" applyAlignment="1">
      <alignment horizontal="center" vertical="center"/>
    </xf>
    <xf numFmtId="0" fontId="47" fillId="6" borderId="26" xfId="0" applyFont="1" applyFill="1" applyBorder="1" applyAlignment="1">
      <alignment horizontal="center" vertical="center"/>
    </xf>
    <xf numFmtId="0" fontId="47" fillId="6" borderId="74" xfId="0" applyFont="1" applyFill="1" applyBorder="1" applyAlignment="1">
      <alignment horizontal="left" vertical="center"/>
    </xf>
    <xf numFmtId="0" fontId="47" fillId="6" borderId="34" xfId="0" applyFont="1" applyFill="1" applyBorder="1" applyAlignment="1">
      <alignment horizontal="left" vertical="center"/>
    </xf>
    <xf numFmtId="0" fontId="0" fillId="6" borderId="0" xfId="0" quotePrefix="1" applyFill="1" applyAlignment="1">
      <alignment horizontal="left" vertical="center" indent="2"/>
    </xf>
    <xf numFmtId="181" fontId="1" fillId="6" borderId="0" xfId="0" applyNumberFormat="1" applyFont="1" applyFill="1" applyAlignment="1">
      <alignment horizontal="center" vertical="center"/>
    </xf>
    <xf numFmtId="181" fontId="0" fillId="5" borderId="0" xfId="0" applyNumberFormat="1" applyFill="1" applyAlignment="1">
      <alignment horizontal="center" vertical="center"/>
    </xf>
    <xf numFmtId="0" fontId="95" fillId="6" borderId="0" xfId="0" applyFont="1" applyFill="1" applyAlignment="1">
      <alignment horizontal="left" indent="3"/>
    </xf>
    <xf numFmtId="1" fontId="0" fillId="6" borderId="0" xfId="0" applyNumberFormat="1" applyFill="1" applyAlignment="1">
      <alignment horizontal="left" vertical="center" indent="1"/>
    </xf>
    <xf numFmtId="2" fontId="1" fillId="6" borderId="0" xfId="0" applyNumberFormat="1" applyFont="1" applyFill="1" applyAlignment="1">
      <alignment horizontal="left" vertical="center" indent="1"/>
    </xf>
    <xf numFmtId="0" fontId="115" fillId="6" borderId="0" xfId="0" applyFont="1" applyFill="1" applyAlignment="1">
      <alignment horizontal="left" vertical="center"/>
    </xf>
    <xf numFmtId="0" fontId="0" fillId="6" borderId="0" xfId="0" quotePrefix="1" applyFill="1" applyAlignment="1">
      <alignment horizontal="right" vertical="center" indent="1"/>
    </xf>
    <xf numFmtId="171" fontId="0" fillId="13" borderId="0" xfId="0" applyNumberFormat="1" applyFill="1" applyAlignment="1" applyProtection="1">
      <alignment horizontal="center" vertical="center"/>
      <protection locked="0"/>
    </xf>
    <xf numFmtId="180" fontId="3" fillId="6" borderId="0" xfId="0" applyNumberFormat="1" applyFont="1" applyFill="1" applyAlignment="1">
      <alignment horizontal="center" vertical="center"/>
    </xf>
    <xf numFmtId="0" fontId="1" fillId="6" borderId="0" xfId="0" quotePrefix="1" applyFont="1" applyFill="1" applyAlignment="1">
      <alignment horizontal="right" vertical="center"/>
    </xf>
    <xf numFmtId="2" fontId="0" fillId="6" borderId="27" xfId="0" applyNumberFormat="1" applyFill="1" applyBorder="1" applyAlignment="1">
      <alignment horizontal="center" vertical="center"/>
    </xf>
    <xf numFmtId="2" fontId="1" fillId="5" borderId="0" xfId="0" quotePrefix="1" applyNumberFormat="1" applyFont="1" applyFill="1" applyAlignment="1">
      <alignment horizontal="center" vertical="center"/>
    </xf>
    <xf numFmtId="198" fontId="0" fillId="6" borderId="0" xfId="0" applyNumberFormat="1" applyFill="1" applyAlignment="1">
      <alignment horizontal="center"/>
    </xf>
    <xf numFmtId="0" fontId="0" fillId="13" borderId="0" xfId="0" applyFill="1" applyAlignment="1" applyProtection="1">
      <alignment horizontal="left" vertical="center"/>
      <protection locked="0"/>
    </xf>
    <xf numFmtId="0" fontId="87" fillId="6" borderId="0" xfId="0" applyFont="1" applyFill="1" applyAlignment="1">
      <alignment horizontal="left" vertical="center" indent="2"/>
    </xf>
    <xf numFmtId="0" fontId="101" fillId="6" borderId="0" xfId="0" applyFont="1" applyFill="1" applyAlignment="1">
      <alignment horizontal="left" vertical="center"/>
    </xf>
    <xf numFmtId="1" fontId="0" fillId="13" borderId="0" xfId="0" applyNumberFormat="1" applyFill="1" applyAlignment="1" applyProtection="1">
      <alignment horizontal="center" vertical="center"/>
      <protection locked="0"/>
    </xf>
    <xf numFmtId="1" fontId="1" fillId="13" borderId="0" xfId="0" applyNumberFormat="1" applyFont="1" applyFill="1" applyAlignment="1" applyProtection="1">
      <alignment horizontal="center" vertical="center"/>
      <protection locked="0"/>
    </xf>
    <xf numFmtId="0" fontId="0" fillId="6" borderId="0" xfId="0" applyFill="1" applyAlignment="1">
      <alignment horizontal="left"/>
    </xf>
    <xf numFmtId="0" fontId="0" fillId="6" borderId="46" xfId="0" applyFill="1" applyBorder="1"/>
    <xf numFmtId="0" fontId="0" fillId="6" borderId="44" xfId="0" applyFill="1" applyBorder="1"/>
    <xf numFmtId="0" fontId="0" fillId="6" borderId="45" xfId="0" applyFill="1" applyBorder="1"/>
    <xf numFmtId="0" fontId="0" fillId="6" borderId="59" xfId="0" applyFill="1" applyBorder="1"/>
    <xf numFmtId="0" fontId="0" fillId="6" borderId="60" xfId="0" applyFill="1" applyBorder="1"/>
    <xf numFmtId="0" fontId="0" fillId="6" borderId="122" xfId="0" applyFill="1" applyBorder="1" applyAlignment="1">
      <alignment horizontal="center" vertical="center"/>
    </xf>
    <xf numFmtId="0" fontId="0" fillId="6" borderId="50" xfId="0" applyFill="1" applyBorder="1" applyAlignment="1">
      <alignment horizontal="center" vertical="center"/>
    </xf>
    <xf numFmtId="1" fontId="0" fillId="6" borderId="50" xfId="0" applyNumberFormat="1" applyFill="1" applyBorder="1" applyAlignment="1">
      <alignment horizontal="center" vertical="center"/>
    </xf>
    <xf numFmtId="0" fontId="0" fillId="6" borderId="123" xfId="0" applyFill="1" applyBorder="1" applyAlignment="1">
      <alignment horizontal="center" vertical="center"/>
    </xf>
    <xf numFmtId="1" fontId="0" fillId="6" borderId="123" xfId="0" applyNumberFormat="1" applyFill="1" applyBorder="1" applyAlignment="1">
      <alignment horizontal="center" vertical="center"/>
    </xf>
    <xf numFmtId="0" fontId="0" fillId="6" borderId="0" xfId="0" applyFill="1" applyAlignment="1">
      <alignment horizontal="left" indent="2"/>
    </xf>
    <xf numFmtId="0" fontId="1" fillId="6" borderId="0" xfId="0" applyFont="1" applyFill="1" applyAlignment="1">
      <alignment horizontal="center"/>
    </xf>
    <xf numFmtId="1" fontId="0" fillId="6" borderId="0" xfId="0" applyNumberFormat="1" applyFill="1" applyAlignment="1">
      <alignment horizontal="left"/>
    </xf>
    <xf numFmtId="0" fontId="71" fillId="6" borderId="0" xfId="0" applyFont="1" applyFill="1"/>
    <xf numFmtId="0" fontId="0" fillId="6" borderId="122" xfId="0" applyFill="1" applyBorder="1" applyAlignment="1">
      <alignment horizontal="center"/>
    </xf>
    <xf numFmtId="0" fontId="109" fillId="6" borderId="50" xfId="0" applyFont="1" applyFill="1" applyBorder="1" applyAlignment="1">
      <alignment horizontal="left" textRotation="90"/>
    </xf>
    <xf numFmtId="1" fontId="108" fillId="6" borderId="50" xfId="0" applyNumberFormat="1" applyFont="1" applyFill="1" applyBorder="1" applyAlignment="1">
      <alignment horizontal="left" textRotation="90"/>
    </xf>
    <xf numFmtId="0" fontId="108" fillId="6" borderId="50" xfId="0" applyFont="1" applyFill="1" applyBorder="1" applyAlignment="1">
      <alignment horizontal="left" textRotation="90"/>
    </xf>
    <xf numFmtId="0" fontId="104" fillId="6" borderId="50" xfId="0" applyFont="1" applyFill="1" applyBorder="1" applyAlignment="1">
      <alignment horizontal="right"/>
    </xf>
    <xf numFmtId="1" fontId="112" fillId="6" borderId="50" xfId="0" applyNumberFormat="1" applyFont="1" applyFill="1" applyBorder="1" applyAlignment="1">
      <alignment horizontal="right"/>
    </xf>
    <xf numFmtId="0" fontId="0" fillId="6" borderId="50" xfId="0" applyFill="1" applyBorder="1" applyAlignment="1">
      <alignment horizontal="center"/>
    </xf>
    <xf numFmtId="0" fontId="112" fillId="6" borderId="50" xfId="0" applyFont="1" applyFill="1" applyBorder="1" applyAlignment="1">
      <alignment horizontal="right"/>
    </xf>
    <xf numFmtId="0" fontId="4" fillId="6" borderId="124" xfId="0" applyFont="1" applyFill="1" applyBorder="1" applyAlignment="1">
      <alignment horizontal="center"/>
    </xf>
    <xf numFmtId="1" fontId="1" fillId="6" borderId="124" xfId="0" applyNumberFormat="1" applyFont="1" applyFill="1" applyBorder="1" applyAlignment="1">
      <alignment horizontal="center"/>
    </xf>
    <xf numFmtId="0" fontId="1" fillId="6" borderId="124" xfId="0" applyFont="1" applyFill="1" applyBorder="1" applyAlignment="1">
      <alignment horizontal="center"/>
    </xf>
    <xf numFmtId="0" fontId="0" fillId="6" borderId="42" xfId="0" applyFill="1" applyBorder="1"/>
    <xf numFmtId="0" fontId="0" fillId="6" borderId="41" xfId="0" applyFill="1" applyBorder="1"/>
    <xf numFmtId="0" fontId="0" fillId="13" borderId="50" xfId="0" applyFill="1" applyBorder="1" applyAlignment="1" applyProtection="1">
      <alignment horizontal="center" vertical="center"/>
      <protection locked="0"/>
    </xf>
    <xf numFmtId="0" fontId="0" fillId="13" borderId="123" xfId="0" applyFill="1" applyBorder="1" applyAlignment="1" applyProtection="1">
      <alignment horizontal="center" vertical="center"/>
      <protection locked="0"/>
    </xf>
    <xf numFmtId="0" fontId="0" fillId="13" borderId="0" xfId="0" applyFill="1" applyAlignment="1" applyProtection="1">
      <alignment horizontal="center"/>
      <protection locked="0"/>
    </xf>
    <xf numFmtId="0" fontId="0" fillId="13" borderId="97" xfId="0" applyFill="1" applyBorder="1" applyAlignment="1" applyProtection="1">
      <alignment horizontal="center" vertical="center"/>
      <protection locked="0"/>
    </xf>
    <xf numFmtId="0" fontId="0" fillId="13" borderId="25" xfId="0" applyFill="1" applyBorder="1" applyAlignment="1" applyProtection="1">
      <alignment horizontal="center" vertical="center"/>
      <protection locked="0"/>
    </xf>
    <xf numFmtId="0" fontId="1" fillId="5" borderId="5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7" fillId="5" borderId="8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53" fillId="6" borderId="103" xfId="0" applyFont="1" applyFill="1" applyBorder="1" applyAlignment="1">
      <alignment horizontal="center" vertical="center"/>
    </xf>
    <xf numFmtId="183" fontId="53" fillId="6" borderId="103" xfId="0" applyNumberFormat="1" applyFont="1" applyFill="1" applyBorder="1" applyAlignment="1">
      <alignment horizontal="center" vertical="center"/>
    </xf>
    <xf numFmtId="183" fontId="53" fillId="6" borderId="102" xfId="0" applyNumberFormat="1" applyFont="1" applyFill="1" applyBorder="1" applyAlignment="1">
      <alignment horizontal="center" vertical="center"/>
    </xf>
    <xf numFmtId="180" fontId="47" fillId="6" borderId="0" xfId="0" applyNumberFormat="1" applyFont="1" applyFill="1" applyAlignment="1">
      <alignment vertical="center"/>
    </xf>
    <xf numFmtId="0" fontId="0" fillId="5" borderId="10" xfId="0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0" fontId="53" fillId="6" borderId="101" xfId="0" applyFont="1" applyFill="1" applyBorder="1" applyAlignment="1">
      <alignment horizontal="center" vertical="center"/>
    </xf>
    <xf numFmtId="183" fontId="53" fillId="6" borderId="101" xfId="0" applyNumberFormat="1" applyFont="1" applyFill="1" applyBorder="1" applyAlignment="1">
      <alignment horizontal="center" vertical="center"/>
    </xf>
    <xf numFmtId="183" fontId="53" fillId="6" borderId="100" xfId="0" applyNumberFormat="1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/>
    </xf>
    <xf numFmtId="0" fontId="17" fillId="5" borderId="21" xfId="0" applyFont="1" applyFill="1" applyBorder="1" applyAlignment="1">
      <alignment horizontal="center" vertical="center"/>
    </xf>
    <xf numFmtId="184" fontId="0" fillId="6" borderId="0" xfId="0" applyNumberFormat="1" applyFill="1" applyAlignment="1">
      <alignment horizontal="left" vertical="center"/>
    </xf>
    <xf numFmtId="0" fontId="0" fillId="5" borderId="24" xfId="0" applyFill="1" applyBorder="1" applyAlignment="1">
      <alignment horizontal="center" vertical="center"/>
    </xf>
    <xf numFmtId="0" fontId="54" fillId="5" borderId="25" xfId="0" applyFont="1" applyFill="1" applyBorder="1" applyAlignment="1">
      <alignment horizontal="center" vertical="center"/>
    </xf>
    <xf numFmtId="185" fontId="54" fillId="5" borderId="25" xfId="0" applyNumberFormat="1" applyFont="1" applyFill="1" applyBorder="1" applyAlignment="1">
      <alignment horizontal="center" vertical="center"/>
    </xf>
    <xf numFmtId="164" fontId="0" fillId="5" borderId="25" xfId="0" applyNumberFormat="1" applyFill="1" applyBorder="1" applyAlignment="1">
      <alignment horizontal="center" vertical="center"/>
    </xf>
    <xf numFmtId="2" fontId="0" fillId="5" borderId="25" xfId="0" applyNumberFormat="1" applyFill="1" applyBorder="1" applyAlignment="1">
      <alignment horizontal="center" vertical="center"/>
    </xf>
    <xf numFmtId="2" fontId="0" fillId="5" borderId="26" xfId="0" applyNumberFormat="1" applyFill="1" applyBorder="1" applyAlignment="1">
      <alignment horizontal="center" vertical="center"/>
    </xf>
    <xf numFmtId="0" fontId="53" fillId="6" borderId="99" xfId="0" applyFont="1" applyFill="1" applyBorder="1" applyAlignment="1">
      <alignment horizontal="center" vertical="center"/>
    </xf>
    <xf numFmtId="183" fontId="53" fillId="6" borderId="99" xfId="0" applyNumberFormat="1" applyFont="1" applyFill="1" applyBorder="1" applyAlignment="1">
      <alignment horizontal="center" vertical="center"/>
    </xf>
    <xf numFmtId="183" fontId="53" fillId="6" borderId="98" xfId="0" applyNumberFormat="1" applyFont="1" applyFill="1" applyBorder="1" applyAlignment="1">
      <alignment horizontal="center" vertical="center"/>
    </xf>
    <xf numFmtId="171" fontId="0" fillId="6" borderId="0" xfId="0" applyNumberFormat="1" applyFill="1" applyAlignment="1">
      <alignment horizontal="left" vertical="center"/>
    </xf>
    <xf numFmtId="0" fontId="52" fillId="6" borderId="0" xfId="0" applyFont="1" applyFill="1" applyAlignment="1">
      <alignment horizontal="right" vertical="center"/>
    </xf>
    <xf numFmtId="183" fontId="47" fillId="6" borderId="0" xfId="0" applyNumberFormat="1" applyFont="1" applyFill="1" applyAlignment="1">
      <alignment horizontal="left" vertical="center"/>
    </xf>
    <xf numFmtId="0" fontId="52" fillId="0" borderId="0" xfId="0" applyFont="1" applyAlignment="1">
      <alignment horizontal="right" vertical="center"/>
    </xf>
    <xf numFmtId="165" fontId="0" fillId="6" borderId="0" xfId="0" applyNumberFormat="1" applyFill="1" applyAlignment="1">
      <alignment horizontal="left" vertical="center"/>
    </xf>
    <xf numFmtId="181" fontId="0" fillId="6" borderId="0" xfId="0" applyNumberFormat="1" applyFill="1" applyAlignment="1">
      <alignment horizontal="center" vertical="center"/>
    </xf>
    <xf numFmtId="165" fontId="47" fillId="6" borderId="0" xfId="0" applyNumberFormat="1" applyFont="1" applyFill="1" applyAlignment="1">
      <alignment horizontal="left" vertical="center"/>
    </xf>
    <xf numFmtId="165" fontId="0" fillId="6" borderId="0" xfId="0" applyNumberFormat="1" applyFill="1" applyAlignment="1">
      <alignment horizontal="center" vertical="center"/>
    </xf>
    <xf numFmtId="0" fontId="1" fillId="5" borderId="8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178" fontId="3" fillId="6" borderId="25" xfId="0" applyNumberFormat="1" applyFont="1" applyFill="1" applyBorder="1" applyAlignment="1">
      <alignment horizontal="center" vertical="center"/>
    </xf>
    <xf numFmtId="182" fontId="3" fillId="6" borderId="25" xfId="0" applyNumberFormat="1" applyFont="1" applyFill="1" applyBorder="1" applyAlignment="1">
      <alignment horizontal="center" vertical="center"/>
    </xf>
    <xf numFmtId="0" fontId="3" fillId="6" borderId="35" xfId="0" applyFont="1" applyFill="1" applyBorder="1" applyAlignment="1">
      <alignment horizontal="center" vertical="center"/>
    </xf>
    <xf numFmtId="179" fontId="0" fillId="6" borderId="26" xfId="0" applyNumberFormat="1" applyFill="1" applyBorder="1" applyAlignment="1">
      <alignment horizontal="center" vertical="center"/>
    </xf>
    <xf numFmtId="0" fontId="1" fillId="5" borderId="96" xfId="0" applyFont="1" applyFill="1" applyBorder="1" applyAlignment="1">
      <alignment horizontal="center" vertical="center"/>
    </xf>
    <xf numFmtId="0" fontId="0" fillId="6" borderId="58" xfId="0" applyFill="1" applyBorder="1" applyAlignment="1">
      <alignment horizontal="center" vertical="center"/>
    </xf>
    <xf numFmtId="0" fontId="50" fillId="6" borderId="0" xfId="0" applyFont="1" applyFill="1" applyAlignment="1">
      <alignment horizontal="right" vertical="center"/>
    </xf>
    <xf numFmtId="183" fontId="0" fillId="6" borderId="0" xfId="0" applyNumberFormat="1" applyFill="1" applyAlignment="1">
      <alignment horizontal="center" vertical="center"/>
    </xf>
    <xf numFmtId="0" fontId="3" fillId="6" borderId="0" xfId="0" quotePrefix="1" applyFont="1" applyFill="1" applyAlignment="1">
      <alignment horizontal="center" vertical="center"/>
    </xf>
    <xf numFmtId="176" fontId="0" fillId="6" borderId="0" xfId="0" applyNumberFormat="1" applyFill="1" applyAlignment="1">
      <alignment vertical="center"/>
    </xf>
    <xf numFmtId="176" fontId="0" fillId="6" borderId="0" xfId="0" applyNumberFormat="1" applyFill="1" applyAlignment="1">
      <alignment horizontal="left" vertical="center"/>
    </xf>
    <xf numFmtId="176" fontId="0" fillId="6" borderId="0" xfId="0" applyNumberFormat="1" applyFill="1" applyAlignment="1">
      <alignment horizontal="center" vertical="center"/>
    </xf>
    <xf numFmtId="0" fontId="1" fillId="5" borderId="5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 vertical="center"/>
    </xf>
    <xf numFmtId="0" fontId="44" fillId="6" borderId="0" xfId="0" applyFont="1" applyFill="1" applyAlignment="1">
      <alignment vertical="center"/>
    </xf>
    <xf numFmtId="0" fontId="17" fillId="5" borderId="25" xfId="0" applyFont="1" applyFill="1" applyBorder="1" applyAlignment="1">
      <alignment horizontal="center" vertical="center"/>
    </xf>
    <xf numFmtId="184" fontId="3" fillId="6" borderId="25" xfId="0" applyNumberFormat="1" applyFont="1" applyFill="1" applyBorder="1" applyAlignment="1">
      <alignment horizontal="center" vertical="center"/>
    </xf>
    <xf numFmtId="0" fontId="3" fillId="6" borderId="26" xfId="0" applyFont="1" applyFill="1" applyBorder="1" applyAlignment="1">
      <alignment horizontal="center" vertical="center"/>
    </xf>
    <xf numFmtId="0" fontId="1" fillId="5" borderId="95" xfId="0" applyFont="1" applyFill="1" applyBorder="1" applyAlignment="1">
      <alignment horizontal="center" vertical="center"/>
    </xf>
    <xf numFmtId="179" fontId="0" fillId="6" borderId="95" xfId="0" applyNumberFormat="1" applyFill="1" applyBorder="1" applyAlignment="1">
      <alignment horizontal="center" vertical="center"/>
    </xf>
    <xf numFmtId="174" fontId="1" fillId="6" borderId="0" xfId="0" applyNumberFormat="1" applyFont="1" applyFill="1" applyAlignment="1">
      <alignment vertical="center"/>
    </xf>
    <xf numFmtId="0" fontId="49" fillId="6" borderId="0" xfId="0" applyFont="1" applyFill="1" applyAlignment="1">
      <alignment horizontal="right"/>
    </xf>
    <xf numFmtId="185" fontId="1" fillId="6" borderId="0" xfId="0" applyNumberFormat="1" applyFont="1" applyFill="1" applyAlignment="1">
      <alignment vertical="center"/>
    </xf>
    <xf numFmtId="0" fontId="51" fillId="6" borderId="0" xfId="0" applyFont="1" applyFill="1" applyAlignment="1">
      <alignment horizontal="center" vertical="center"/>
    </xf>
    <xf numFmtId="0" fontId="46" fillId="6" borderId="0" xfId="0" applyFont="1" applyFill="1" applyAlignment="1">
      <alignment vertical="center"/>
    </xf>
    <xf numFmtId="173" fontId="0" fillId="6" borderId="0" xfId="0" applyNumberFormat="1" applyFill="1" applyAlignment="1">
      <alignment horizontal="left" vertical="center"/>
    </xf>
    <xf numFmtId="0" fontId="0" fillId="13" borderId="8" xfId="0" applyFill="1" applyBorder="1" applyAlignment="1" applyProtection="1">
      <alignment horizontal="center" vertical="center"/>
      <protection locked="0"/>
    </xf>
    <xf numFmtId="0" fontId="0" fillId="13" borderId="10" xfId="0" applyFill="1" applyBorder="1" applyAlignment="1" applyProtection="1">
      <alignment horizontal="center" vertical="center"/>
      <protection locked="0"/>
    </xf>
    <xf numFmtId="0" fontId="1" fillId="13" borderId="5" xfId="0" applyFont="1" applyFill="1" applyBorder="1" applyAlignment="1" applyProtection="1">
      <alignment horizontal="center"/>
      <protection locked="0"/>
    </xf>
    <xf numFmtId="0" fontId="1" fillId="13" borderId="8" xfId="0" applyFont="1" applyFill="1" applyBorder="1" applyAlignment="1" applyProtection="1">
      <alignment horizontal="center"/>
      <protection locked="0"/>
    </xf>
    <xf numFmtId="0" fontId="3" fillId="13" borderId="25" xfId="0" applyFont="1" applyFill="1" applyBorder="1" applyAlignment="1" applyProtection="1">
      <alignment horizontal="center" vertical="center"/>
      <protection locked="0"/>
    </xf>
    <xf numFmtId="200" fontId="0" fillId="6" borderId="0" xfId="0" applyNumberFormat="1" applyFill="1" applyAlignment="1">
      <alignment horizontal="left" vertical="center"/>
    </xf>
    <xf numFmtId="0" fontId="117" fillId="6" borderId="0" xfId="0" applyFont="1" applyFill="1" applyAlignment="1">
      <alignment horizontal="right" vertical="center"/>
    </xf>
    <xf numFmtId="1" fontId="117" fillId="6" borderId="0" xfId="0" applyNumberFormat="1" applyFont="1" applyFill="1" applyAlignment="1">
      <alignment horizontal="center" vertical="center"/>
    </xf>
    <xf numFmtId="0" fontId="117" fillId="6" borderId="0" xfId="0" applyFont="1" applyFill="1" applyAlignment="1">
      <alignment horizontal="left" vertical="center"/>
    </xf>
    <xf numFmtId="0" fontId="53" fillId="6" borderId="0" xfId="0" applyFont="1" applyFill="1" applyAlignment="1">
      <alignment horizontal="center" vertical="center"/>
    </xf>
    <xf numFmtId="0" fontId="117" fillId="6" borderId="0" xfId="0" applyFont="1" applyFill="1" applyAlignment="1">
      <alignment horizontal="left" vertical="center" indent="1"/>
    </xf>
    <xf numFmtId="0" fontId="1" fillId="6" borderId="47" xfId="0" applyFont="1" applyFill="1" applyBorder="1" applyAlignment="1">
      <alignment horizontal="center" vertical="center"/>
    </xf>
    <xf numFmtId="0" fontId="3" fillId="6" borderId="48" xfId="0" applyFont="1" applyFill="1" applyBorder="1" applyAlignment="1">
      <alignment horizontal="center" vertical="center"/>
    </xf>
    <xf numFmtId="0" fontId="1" fillId="13" borderId="10" xfId="0" applyFont="1" applyFill="1" applyBorder="1" applyAlignment="1" applyProtection="1">
      <alignment horizontal="center" vertical="center"/>
      <protection locked="0"/>
    </xf>
    <xf numFmtId="0" fontId="17" fillId="13" borderId="8" xfId="0" applyFont="1" applyFill="1" applyBorder="1" applyAlignment="1" applyProtection="1">
      <alignment horizontal="center" vertical="center"/>
      <protection locked="0"/>
    </xf>
    <xf numFmtId="0" fontId="1" fillId="5" borderId="20" xfId="0" applyFont="1" applyFill="1" applyBorder="1" applyAlignment="1">
      <alignment horizontal="center" vertical="center"/>
    </xf>
    <xf numFmtId="0" fontId="1" fillId="13" borderId="25" xfId="0" applyFont="1" applyFill="1" applyBorder="1" applyAlignment="1" applyProtection="1">
      <alignment horizontal="center" vertical="center"/>
      <protection locked="0"/>
    </xf>
    <xf numFmtId="0" fontId="1" fillId="5" borderId="25" xfId="0" applyFont="1" applyFill="1" applyBorder="1" applyAlignment="1">
      <alignment horizontal="center" vertical="center"/>
    </xf>
    <xf numFmtId="0" fontId="58" fillId="6" borderId="0" xfId="0" applyFont="1" applyFill="1" applyAlignment="1">
      <alignment horizontal="right"/>
    </xf>
    <xf numFmtId="0" fontId="23" fillId="13" borderId="0" xfId="0" applyFont="1" applyFill="1" applyAlignment="1" applyProtection="1">
      <alignment horizontal="center" vertical="center"/>
      <protection locked="0"/>
    </xf>
    <xf numFmtId="0" fontId="49" fillId="6" borderId="0" xfId="0" applyFont="1" applyFill="1" applyAlignment="1">
      <alignment horizontal="right" vertical="center"/>
    </xf>
    <xf numFmtId="187" fontId="49" fillId="6" borderId="0" xfId="0" applyNumberFormat="1" applyFont="1" applyFill="1" applyAlignment="1">
      <alignment horizontal="left" vertical="center"/>
    </xf>
    <xf numFmtId="188" fontId="49" fillId="6" borderId="0" xfId="0" applyNumberFormat="1" applyFont="1" applyFill="1" applyAlignment="1">
      <alignment horizontal="left" vertical="center"/>
    </xf>
    <xf numFmtId="0" fontId="49" fillId="6" borderId="0" xfId="0" applyFont="1" applyFill="1" applyAlignment="1">
      <alignment horizontal="left" vertical="center"/>
    </xf>
    <xf numFmtId="181" fontId="44" fillId="6" borderId="0" xfId="0" applyNumberFormat="1" applyFont="1" applyFill="1" applyAlignment="1">
      <alignment horizontal="left" vertical="center"/>
    </xf>
    <xf numFmtId="2" fontId="0" fillId="6" borderId="0" xfId="0" quotePrefix="1" applyNumberFormat="1" applyFill="1" applyAlignment="1">
      <alignment horizontal="right" vertical="center"/>
    </xf>
    <xf numFmtId="1" fontId="0" fillId="6" borderId="0" xfId="0" quotePrefix="1" applyNumberFormat="1" applyFill="1" applyAlignment="1">
      <alignment horizontal="right" vertical="center"/>
    </xf>
    <xf numFmtId="0" fontId="0" fillId="5" borderId="33" xfId="0" applyFill="1" applyBorder="1" applyAlignment="1">
      <alignment horizontal="center" vertical="center"/>
    </xf>
    <xf numFmtId="0" fontId="0" fillId="13" borderId="40" xfId="0" applyFill="1" applyBorder="1" applyAlignment="1">
      <alignment horizontal="center" vertical="center"/>
    </xf>
    <xf numFmtId="0" fontId="0" fillId="5" borderId="47" xfId="0" applyFill="1" applyBorder="1" applyAlignment="1">
      <alignment horizontal="center" vertical="center"/>
    </xf>
    <xf numFmtId="0" fontId="0" fillId="13" borderId="48" xfId="0" applyFill="1" applyBorder="1" applyAlignment="1">
      <alignment horizontal="center" vertical="center"/>
    </xf>
    <xf numFmtId="0" fontId="25" fillId="5" borderId="63" xfId="0" applyFont="1" applyFill="1" applyBorder="1" applyAlignment="1">
      <alignment horizontal="center" vertical="center"/>
    </xf>
    <xf numFmtId="0" fontId="0" fillId="6" borderId="37" xfId="0" applyFill="1" applyBorder="1" applyAlignment="1">
      <alignment horizontal="center"/>
    </xf>
    <xf numFmtId="202" fontId="0" fillId="5" borderId="0" xfId="0" applyNumberFormat="1" applyFill="1" applyAlignment="1">
      <alignment vertical="center"/>
    </xf>
    <xf numFmtId="0" fontId="20" fillId="6" borderId="0" xfId="3" applyFill="1" applyAlignment="1"/>
    <xf numFmtId="0" fontId="0" fillId="6" borderId="0" xfId="0" applyFill="1" applyAlignment="1">
      <alignment horizontal="right" vertical="top"/>
    </xf>
    <xf numFmtId="0" fontId="0" fillId="6" borderId="17" xfId="0" applyFill="1" applyBorder="1" applyAlignment="1">
      <alignment vertical="top"/>
    </xf>
    <xf numFmtId="0" fontId="0" fillId="6" borderId="0" xfId="0" applyFill="1" applyAlignment="1">
      <alignment vertical="top"/>
    </xf>
    <xf numFmtId="201" fontId="0" fillId="13" borderId="0" xfId="0" applyNumberFormat="1" applyFill="1" applyAlignment="1" applyProtection="1">
      <alignment vertical="center"/>
      <protection locked="0"/>
    </xf>
    <xf numFmtId="0" fontId="0" fillId="6" borderId="0" xfId="0" applyFill="1" applyAlignment="1">
      <alignment horizontal="center"/>
    </xf>
    <xf numFmtId="0" fontId="0" fillId="6" borderId="60" xfId="0" applyFill="1" applyBorder="1" applyAlignment="1">
      <alignment horizontal="center"/>
    </xf>
    <xf numFmtId="14" fontId="0" fillId="6" borderId="59" xfId="0" quotePrefix="1" applyNumberFormat="1" applyFill="1" applyBorder="1" applyAlignment="1">
      <alignment horizontal="center"/>
    </xf>
    <xf numFmtId="14" fontId="0" fillId="6" borderId="0" xfId="0" quotePrefix="1" applyNumberFormat="1" applyFill="1" applyAlignment="1">
      <alignment horizontal="center"/>
    </xf>
    <xf numFmtId="14" fontId="0" fillId="6" borderId="60" xfId="0" quotePrefix="1" applyNumberFormat="1" applyFill="1" applyBorder="1" applyAlignment="1">
      <alignment horizontal="center"/>
    </xf>
    <xf numFmtId="0" fontId="0" fillId="6" borderId="59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17" xfId="0" applyFill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20" fillId="6" borderId="0" xfId="3" applyFill="1" applyAlignment="1">
      <alignment horizontal="left" vertical="center"/>
    </xf>
    <xf numFmtId="0" fontId="20" fillId="6" borderId="0" xfId="3" applyFill="1" applyAlignment="1">
      <alignment horizontal="left"/>
    </xf>
    <xf numFmtId="0" fontId="0" fillId="6" borderId="37" xfId="0" applyFill="1" applyBorder="1" applyAlignment="1">
      <alignment horizontal="center"/>
    </xf>
    <xf numFmtId="0" fontId="79" fillId="11" borderId="72" xfId="0" applyFont="1" applyFill="1" applyBorder="1" applyAlignment="1">
      <alignment horizontal="center"/>
    </xf>
    <xf numFmtId="0" fontId="79" fillId="11" borderId="74" xfId="0" applyFont="1" applyFill="1" applyBorder="1" applyAlignment="1">
      <alignment horizontal="center"/>
    </xf>
    <xf numFmtId="0" fontId="0" fillId="6" borderId="46" xfId="0" applyFill="1" applyBorder="1" applyAlignment="1">
      <alignment horizontal="left"/>
    </xf>
    <xf numFmtId="0" fontId="0" fillId="6" borderId="44" xfId="0" applyFill="1" applyBorder="1" applyAlignment="1">
      <alignment horizontal="left"/>
    </xf>
    <xf numFmtId="0" fontId="17" fillId="8" borderId="72" xfId="0" applyFont="1" applyFill="1" applyBorder="1" applyAlignment="1">
      <alignment horizontal="center"/>
    </xf>
    <xf numFmtId="0" fontId="17" fillId="8" borderId="73" xfId="0" applyFont="1" applyFill="1" applyBorder="1" applyAlignment="1">
      <alignment horizontal="center"/>
    </xf>
    <xf numFmtId="0" fontId="17" fillId="8" borderId="74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0" fillId="7" borderId="72" xfId="0" applyFill="1" applyBorder="1" applyAlignment="1">
      <alignment horizontal="center"/>
    </xf>
    <xf numFmtId="0" fontId="0" fillId="7" borderId="74" xfId="0" applyFill="1" applyBorder="1" applyAlignment="1">
      <alignment horizontal="center"/>
    </xf>
    <xf numFmtId="0" fontId="79" fillId="11" borderId="73" xfId="0" applyFont="1" applyFill="1" applyBorder="1" applyAlignment="1">
      <alignment horizontal="center"/>
    </xf>
    <xf numFmtId="0" fontId="1" fillId="6" borderId="42" xfId="0" applyFont="1" applyFill="1" applyBorder="1" applyAlignment="1">
      <alignment horizontal="center"/>
    </xf>
    <xf numFmtId="0" fontId="1" fillId="6" borderId="37" xfId="0" applyFont="1" applyFill="1" applyBorder="1" applyAlignment="1">
      <alignment horizontal="center"/>
    </xf>
    <xf numFmtId="0" fontId="1" fillId="6" borderId="41" xfId="0" applyFont="1" applyFill="1" applyBorder="1" applyAlignment="1">
      <alignment horizontal="center"/>
    </xf>
    <xf numFmtId="0" fontId="1" fillId="6" borderId="44" xfId="0" applyFont="1" applyFill="1" applyBorder="1" applyAlignment="1">
      <alignment horizontal="center" vertical="center"/>
    </xf>
    <xf numFmtId="0" fontId="1" fillId="6" borderId="45" xfId="0" applyFont="1" applyFill="1" applyBorder="1" applyAlignment="1">
      <alignment horizontal="center" vertical="center"/>
    </xf>
    <xf numFmtId="14" fontId="1" fillId="6" borderId="37" xfId="0" applyNumberFormat="1" applyFont="1" applyFill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0" fillId="13" borderId="72" xfId="0" applyFill="1" applyBorder="1" applyAlignment="1">
      <alignment horizontal="center"/>
    </xf>
    <xf numFmtId="0" fontId="0" fillId="13" borderId="73" xfId="0" applyFill="1" applyBorder="1" applyAlignment="1">
      <alignment horizontal="center"/>
    </xf>
    <xf numFmtId="0" fontId="0" fillId="13" borderId="74" xfId="0" applyFill="1" applyBorder="1" applyAlignment="1">
      <alignment horizontal="center"/>
    </xf>
    <xf numFmtId="0" fontId="1" fillId="10" borderId="72" xfId="0" applyFont="1" applyFill="1" applyBorder="1" applyAlignment="1">
      <alignment horizontal="center"/>
    </xf>
    <xf numFmtId="0" fontId="1" fillId="10" borderId="73" xfId="0" applyFont="1" applyFill="1" applyBorder="1" applyAlignment="1">
      <alignment horizontal="center"/>
    </xf>
    <xf numFmtId="0" fontId="1" fillId="10" borderId="74" xfId="0" applyFont="1" applyFill="1" applyBorder="1" applyAlignment="1">
      <alignment horizontal="center"/>
    </xf>
    <xf numFmtId="0" fontId="0" fillId="5" borderId="72" xfId="0" applyFill="1" applyBorder="1" applyAlignment="1">
      <alignment horizontal="center"/>
    </xf>
    <xf numFmtId="0" fontId="0" fillId="5" borderId="73" xfId="0" applyFill="1" applyBorder="1" applyAlignment="1">
      <alignment horizontal="center"/>
    </xf>
    <xf numFmtId="0" fontId="0" fillId="5" borderId="74" xfId="0" applyFill="1" applyBorder="1" applyAlignment="1">
      <alignment horizontal="center"/>
    </xf>
    <xf numFmtId="0" fontId="2" fillId="0" borderId="72" xfId="0" applyFont="1" applyBorder="1" applyAlignment="1">
      <alignment horizontal="center"/>
    </xf>
    <xf numFmtId="0" fontId="2" fillId="0" borderId="73" xfId="0" applyFont="1" applyBorder="1" applyAlignment="1">
      <alignment horizontal="center"/>
    </xf>
    <xf numFmtId="0" fontId="2" fillId="0" borderId="74" xfId="0" applyFont="1" applyBorder="1" applyAlignment="1">
      <alignment horizontal="center"/>
    </xf>
    <xf numFmtId="0" fontId="18" fillId="6" borderId="46" xfId="0" applyFont="1" applyFill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2" xfId="0" applyFont="1" applyFill="1" applyBorder="1" applyAlignment="1">
      <alignment horizontal="center" vertical="center"/>
    </xf>
    <xf numFmtId="0" fontId="18" fillId="6" borderId="37" xfId="0" applyFont="1" applyFill="1" applyBorder="1" applyAlignment="1">
      <alignment horizontal="center" vertic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14" fontId="0" fillId="6" borderId="46" xfId="0" quotePrefix="1" applyNumberFormat="1" applyFill="1" applyBorder="1" applyAlignment="1">
      <alignment horizontal="center"/>
    </xf>
    <xf numFmtId="14" fontId="0" fillId="6" borderId="44" xfId="0" quotePrefix="1" applyNumberFormat="1" applyFill="1" applyBorder="1" applyAlignment="1">
      <alignment horizontal="center"/>
    </xf>
    <xf numFmtId="14" fontId="0" fillId="6" borderId="45" xfId="0" quotePrefix="1" applyNumberFormat="1" applyFill="1" applyBorder="1" applyAlignment="1">
      <alignment horizontal="center"/>
    </xf>
    <xf numFmtId="0" fontId="1" fillId="12" borderId="72" xfId="0" applyFont="1" applyFill="1" applyBorder="1" applyAlignment="1">
      <alignment horizontal="center"/>
    </xf>
    <xf numFmtId="0" fontId="1" fillId="12" borderId="73" xfId="0" applyFont="1" applyFill="1" applyBorder="1" applyAlignment="1">
      <alignment horizontal="center"/>
    </xf>
    <xf numFmtId="0" fontId="1" fillId="12" borderId="74" xfId="0" applyFont="1" applyFill="1" applyBorder="1" applyAlignment="1">
      <alignment horizontal="center"/>
    </xf>
    <xf numFmtId="0" fontId="0" fillId="6" borderId="59" xfId="0" applyFill="1" applyBorder="1" applyAlignment="1">
      <alignment horizontal="left" indent="3"/>
    </xf>
    <xf numFmtId="0" fontId="0" fillId="6" borderId="0" xfId="0" applyFill="1" applyAlignment="1">
      <alignment horizontal="left" indent="3"/>
    </xf>
    <xf numFmtId="49" fontId="0" fillId="9" borderId="72" xfId="0" applyNumberFormat="1" applyFill="1" applyBorder="1" applyAlignment="1">
      <alignment horizontal="left" vertical="center"/>
    </xf>
    <xf numFmtId="49" fontId="0" fillId="9" borderId="73" xfId="0" applyNumberFormat="1" applyFill="1" applyBorder="1" applyAlignment="1">
      <alignment horizontal="left" vertical="center"/>
    </xf>
    <xf numFmtId="49" fontId="0" fillId="9" borderId="74" xfId="0" applyNumberFormat="1" applyFill="1" applyBorder="1" applyAlignment="1">
      <alignment horizontal="left" vertical="center"/>
    </xf>
    <xf numFmtId="0" fontId="0" fillId="6" borderId="85" xfId="0" applyFill="1" applyBorder="1" applyAlignment="1">
      <alignment horizontal="center"/>
    </xf>
    <xf numFmtId="0" fontId="0" fillId="6" borderId="86" xfId="0" applyFill="1" applyBorder="1" applyAlignment="1">
      <alignment horizontal="center"/>
    </xf>
    <xf numFmtId="0" fontId="0" fillId="6" borderId="87" xfId="0" applyFill="1" applyBorder="1" applyAlignment="1">
      <alignment horizontal="center"/>
    </xf>
    <xf numFmtId="0" fontId="0" fillId="6" borderId="88" xfId="0" applyFill="1" applyBorder="1" applyAlignment="1">
      <alignment horizontal="center"/>
    </xf>
    <xf numFmtId="0" fontId="0" fillId="6" borderId="89" xfId="0" applyFill="1" applyBorder="1" applyAlignment="1">
      <alignment horizontal="center"/>
    </xf>
    <xf numFmtId="0" fontId="0" fillId="6" borderId="90" xfId="0" applyFill="1" applyBorder="1" applyAlignment="1">
      <alignment horizontal="center"/>
    </xf>
    <xf numFmtId="0" fontId="0" fillId="6" borderId="91" xfId="0" applyFill="1" applyBorder="1" applyAlignment="1">
      <alignment horizontal="center"/>
    </xf>
    <xf numFmtId="0" fontId="0" fillId="6" borderId="92" xfId="0" applyFill="1" applyBorder="1" applyAlignment="1">
      <alignment horizontal="center"/>
    </xf>
    <xf numFmtId="2" fontId="0" fillId="6" borderId="47" xfId="0" applyNumberFormat="1" applyFill="1" applyBorder="1" applyAlignment="1">
      <alignment horizontal="center"/>
    </xf>
    <xf numFmtId="2" fontId="0" fillId="6" borderId="48" xfId="0" applyNumberFormat="1" applyFill="1" applyBorder="1" applyAlignment="1">
      <alignment horizontal="center"/>
    </xf>
    <xf numFmtId="2" fontId="0" fillId="13" borderId="0" xfId="0" applyNumberFormat="1" applyFill="1" applyAlignment="1" applyProtection="1">
      <alignment horizontal="center" vertical="top"/>
      <protection locked="0"/>
    </xf>
    <xf numFmtId="14" fontId="1" fillId="13" borderId="37" xfId="0" applyNumberFormat="1" applyFont="1" applyFill="1" applyBorder="1" applyAlignment="1" applyProtection="1">
      <alignment horizontal="center" vertical="center"/>
      <protection locked="0"/>
    </xf>
    <xf numFmtId="14" fontId="1" fillId="13" borderId="41" xfId="0" applyNumberFormat="1" applyFont="1" applyFill="1" applyBorder="1" applyAlignment="1" applyProtection="1">
      <alignment horizontal="center" vertical="center"/>
      <protection locked="0"/>
    </xf>
    <xf numFmtId="0" fontId="0" fillId="6" borderId="0" xfId="0" quotePrefix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47" fillId="6" borderId="0" xfId="0" applyFont="1" applyFill="1" applyAlignment="1">
      <alignment horizontal="right" vertical="center"/>
    </xf>
    <xf numFmtId="186" fontId="1" fillId="5" borderId="0" xfId="0" applyNumberFormat="1" applyFont="1" applyFill="1" applyAlignment="1">
      <alignment horizontal="left" vertical="center"/>
    </xf>
    <xf numFmtId="0" fontId="0" fillId="6" borderId="37" xfId="0" applyFill="1" applyBorder="1" applyAlignment="1">
      <alignment horizontal="center" vertical="center"/>
    </xf>
    <xf numFmtId="181" fontId="1" fillId="5" borderId="0" xfId="0" applyNumberFormat="1" applyFont="1" applyFill="1" applyAlignment="1">
      <alignment horizontal="center" vertical="center"/>
    </xf>
    <xf numFmtId="0" fontId="58" fillId="5" borderId="0" xfId="0" applyFont="1" applyFill="1" applyAlignment="1">
      <alignment horizontal="right"/>
    </xf>
    <xf numFmtId="181" fontId="0" fillId="6" borderId="0" xfId="0" applyNumberForma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49" fillId="5" borderId="27" xfId="0" applyFont="1" applyFill="1" applyBorder="1" applyAlignment="1">
      <alignment horizontal="right" vertical="center"/>
    </xf>
    <xf numFmtId="0" fontId="49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center" vertical="center"/>
    </xf>
    <xf numFmtId="175" fontId="1" fillId="5" borderId="0" xfId="0" applyNumberFormat="1" applyFont="1" applyFill="1" applyAlignment="1">
      <alignment horizontal="center"/>
    </xf>
    <xf numFmtId="0" fontId="49" fillId="6" borderId="0" xfId="0" applyFont="1" applyFill="1" applyAlignment="1">
      <alignment horizontal="right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186" fontId="1" fillId="5" borderId="0" xfId="0" applyNumberFormat="1" applyFont="1" applyFill="1" applyAlignment="1">
      <alignment horizontal="center" vertical="center"/>
    </xf>
    <xf numFmtId="0" fontId="0" fillId="13" borderId="0" xfId="0" applyFill="1" applyAlignment="1" applyProtection="1">
      <alignment horizontal="center" vertical="center"/>
      <protection locked="0"/>
    </xf>
    <xf numFmtId="185" fontId="0" fillId="6" borderId="0" xfId="0" applyNumberFormat="1" applyFill="1" applyAlignment="1">
      <alignment horizontal="left" vertical="center"/>
    </xf>
    <xf numFmtId="0" fontId="0" fillId="6" borderId="0" xfId="0" applyFill="1" applyAlignment="1">
      <alignment horizontal="right" vertical="center"/>
    </xf>
    <xf numFmtId="0" fontId="0" fillId="13" borderId="17" xfId="0" applyFill="1" applyBorder="1" applyAlignment="1" applyProtection="1">
      <alignment horizontal="center" vertical="center"/>
      <protection locked="0"/>
    </xf>
    <xf numFmtId="0" fontId="0" fillId="13" borderId="18" xfId="0" applyFill="1" applyBorder="1" applyAlignment="1" applyProtection="1">
      <alignment horizontal="center" vertical="center"/>
      <protection locked="0"/>
    </xf>
    <xf numFmtId="190" fontId="0" fillId="6" borderId="0" xfId="0" applyNumberFormat="1" applyFill="1" applyAlignment="1">
      <alignment horizontal="left" vertical="center"/>
    </xf>
    <xf numFmtId="0" fontId="0" fillId="6" borderId="0" xfId="0" applyFill="1" applyAlignment="1">
      <alignment horizontal="left" vertical="center" indent="1"/>
    </xf>
    <xf numFmtId="171" fontId="0" fillId="13" borderId="0" xfId="0" applyNumberFormat="1" applyFill="1" applyAlignment="1" applyProtection="1">
      <alignment horizontal="left" vertical="center"/>
      <protection locked="0"/>
    </xf>
    <xf numFmtId="0" fontId="71" fillId="6" borderId="0" xfId="0" applyFont="1" applyFill="1" applyAlignment="1">
      <alignment horizontal="left" vertical="center" wrapText="1" indent="4"/>
    </xf>
    <xf numFmtId="0" fontId="67" fillId="6" borderId="0" xfId="0" applyFont="1" applyFill="1" applyAlignment="1">
      <alignment horizontal="center" vertical="center"/>
    </xf>
    <xf numFmtId="0" fontId="22" fillId="10" borderId="72" xfId="0" applyFont="1" applyFill="1" applyBorder="1" applyAlignment="1">
      <alignment horizontal="center" vertical="center"/>
    </xf>
    <xf numFmtId="0" fontId="22" fillId="10" borderId="73" xfId="0" applyFont="1" applyFill="1" applyBorder="1" applyAlignment="1">
      <alignment horizontal="center" vertical="center"/>
    </xf>
    <xf numFmtId="0" fontId="22" fillId="10" borderId="74" xfId="0" applyFont="1" applyFill="1" applyBorder="1" applyAlignment="1">
      <alignment horizontal="center" vertical="center"/>
    </xf>
    <xf numFmtId="0" fontId="44" fillId="6" borderId="37" xfId="0" applyFont="1" applyFill="1" applyBorder="1" applyAlignment="1">
      <alignment horizontal="center" vertical="center"/>
    </xf>
    <xf numFmtId="1" fontId="0" fillId="5" borderId="0" xfId="0" applyNumberFormat="1" applyFill="1" applyAlignment="1">
      <alignment horizontal="right" vertical="center"/>
    </xf>
    <xf numFmtId="1" fontId="0" fillId="5" borderId="0" xfId="0" applyNumberFormat="1" applyFill="1" applyAlignment="1">
      <alignment horizontal="center" vertical="center"/>
    </xf>
    <xf numFmtId="1" fontId="1" fillId="5" borderId="72" xfId="0" applyNumberFormat="1" applyFont="1" applyFill="1" applyBorder="1" applyAlignment="1">
      <alignment horizontal="center" vertical="center"/>
    </xf>
    <xf numFmtId="0" fontId="1" fillId="5" borderId="74" xfId="0" applyFont="1" applyFill="1" applyBorder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91" xfId="0" applyFill="1" applyBorder="1" applyAlignment="1">
      <alignment horizontal="center" vertical="center"/>
    </xf>
    <xf numFmtId="0" fontId="22" fillId="6" borderId="0" xfId="0" quotePrefix="1" applyFont="1" applyFill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71" fontId="0" fillId="13" borderId="0" xfId="0" applyNumberFormat="1" applyFill="1" applyAlignment="1">
      <alignment horizontal="center" vertical="center"/>
    </xf>
    <xf numFmtId="0" fontId="102" fillId="6" borderId="0" xfId="0" quotePrefix="1" applyFont="1" applyFill="1" applyAlignment="1">
      <alignment horizontal="left" vertical="center" wrapText="1" indent="1"/>
    </xf>
    <xf numFmtId="0" fontId="102" fillId="6" borderId="0" xfId="0" quotePrefix="1" applyFont="1" applyFill="1" applyAlignment="1">
      <alignment horizontal="left" vertical="top" wrapText="1" indent="1"/>
    </xf>
    <xf numFmtId="0" fontId="78" fillId="5" borderId="0" xfId="0" applyFont="1" applyFill="1" applyAlignment="1">
      <alignment horizontal="center" vertical="center"/>
    </xf>
    <xf numFmtId="3" fontId="0" fillId="5" borderId="0" xfId="0" applyNumberFormat="1" applyFill="1" applyAlignment="1">
      <alignment horizontal="center" vertical="center"/>
    </xf>
    <xf numFmtId="0" fontId="0" fillId="13" borderId="0" xfId="0" applyFill="1" applyAlignment="1" applyProtection="1">
      <alignment horizontal="left" vertical="center"/>
      <protection locked="0"/>
    </xf>
    <xf numFmtId="0" fontId="0" fillId="6" borderId="0" xfId="0" applyFill="1" applyAlignment="1">
      <alignment horizontal="left" vertical="center" indent="3"/>
    </xf>
    <xf numFmtId="0" fontId="0" fillId="6" borderId="47" xfId="0" applyFill="1" applyBorder="1" applyAlignment="1">
      <alignment horizontal="center" vertical="center"/>
    </xf>
    <xf numFmtId="0" fontId="0" fillId="6" borderId="48" xfId="0" applyFill="1" applyBorder="1" applyAlignment="1">
      <alignment horizontal="center" vertical="center"/>
    </xf>
    <xf numFmtId="181" fontId="1" fillId="6" borderId="0" xfId="0" applyNumberFormat="1" applyFont="1" applyFill="1" applyAlignment="1">
      <alignment horizontal="left" vertical="center"/>
    </xf>
    <xf numFmtId="174" fontId="1" fillId="6" borderId="0" xfId="0" applyNumberFormat="1" applyFont="1" applyFill="1" applyAlignment="1">
      <alignment horizontal="left" vertical="center"/>
    </xf>
    <xf numFmtId="0" fontId="0" fillId="6" borderId="44" xfId="0" applyFill="1" applyBorder="1" applyAlignment="1">
      <alignment horizontal="center" vertical="center"/>
    </xf>
    <xf numFmtId="181" fontId="44" fillId="6" borderId="0" xfId="0" applyNumberFormat="1" applyFont="1" applyFill="1" applyAlignment="1">
      <alignment horizontal="left" vertical="center"/>
    </xf>
    <xf numFmtId="175" fontId="1" fillId="6" borderId="0" xfId="0" applyNumberFormat="1" applyFont="1" applyFill="1" applyAlignment="1">
      <alignment horizontal="left" vertical="center"/>
    </xf>
    <xf numFmtId="168" fontId="17" fillId="13" borderId="8" xfId="0" applyNumberFormat="1" applyFont="1" applyFill="1" applyBorder="1" applyAlignment="1" applyProtection="1">
      <alignment horizontal="center" vertical="center"/>
      <protection locked="0"/>
    </xf>
    <xf numFmtId="168" fontId="0" fillId="6" borderId="0" xfId="0" applyNumberFormat="1" applyFill="1" applyAlignment="1">
      <alignment horizontal="left" vertical="center"/>
    </xf>
    <xf numFmtId="0" fontId="1" fillId="5" borderId="47" xfId="0" applyFont="1" applyFill="1" applyBorder="1" applyAlignment="1">
      <alignment horizontal="center" vertical="center"/>
    </xf>
    <xf numFmtId="0" fontId="1" fillId="5" borderId="49" xfId="0" applyFont="1" applyFill="1" applyBorder="1" applyAlignment="1">
      <alignment horizontal="center" vertical="center"/>
    </xf>
    <xf numFmtId="181" fontId="1" fillId="13" borderId="25" xfId="0" applyNumberFormat="1" applyFont="1" applyFill="1" applyBorder="1" applyAlignment="1" applyProtection="1">
      <alignment horizontal="center" vertical="center"/>
      <protection locked="0"/>
    </xf>
    <xf numFmtId="168" fontId="3" fillId="6" borderId="0" xfId="0" applyNumberFormat="1" applyFont="1" applyFill="1" applyAlignment="1">
      <alignment horizontal="left" vertical="center"/>
    </xf>
    <xf numFmtId="0" fontId="17" fillId="13" borderId="10" xfId="0" applyFont="1" applyFill="1" applyBorder="1" applyAlignment="1" applyProtection="1">
      <alignment horizontal="center" vertical="center"/>
      <protection locked="0"/>
    </xf>
    <xf numFmtId="184" fontId="0" fillId="6" borderId="0" xfId="0" applyNumberFormat="1" applyFill="1" applyAlignment="1">
      <alignment horizontal="left" vertical="center"/>
    </xf>
    <xf numFmtId="168" fontId="54" fillId="13" borderId="8" xfId="0" applyNumberFormat="1" applyFont="1" applyFill="1" applyBorder="1" applyAlignment="1" applyProtection="1">
      <alignment horizontal="center" vertical="center"/>
      <protection locked="0"/>
    </xf>
    <xf numFmtId="168" fontId="54" fillId="13" borderId="10" xfId="0" applyNumberFormat="1" applyFont="1" applyFill="1" applyBorder="1" applyAlignment="1" applyProtection="1">
      <alignment horizontal="center" vertical="center"/>
      <protection locked="0"/>
    </xf>
    <xf numFmtId="174" fontId="0" fillId="6" borderId="0" xfId="0" applyNumberFormat="1" applyFill="1" applyAlignment="1">
      <alignment horizontal="left" vertical="center"/>
    </xf>
    <xf numFmtId="172" fontId="17" fillId="13" borderId="25" xfId="0" applyNumberFormat="1" applyFont="1" applyFill="1" applyBorder="1" applyAlignment="1" applyProtection="1">
      <alignment horizontal="center" vertical="center"/>
      <protection locked="0"/>
    </xf>
    <xf numFmtId="172" fontId="17" fillId="13" borderId="26" xfId="0" applyNumberFormat="1" applyFont="1" applyFill="1" applyBorder="1" applyAlignment="1" applyProtection="1">
      <alignment horizontal="center" vertical="center"/>
      <protection locked="0"/>
    </xf>
    <xf numFmtId="174" fontId="1" fillId="13" borderId="8" xfId="0" applyNumberFormat="1" applyFont="1" applyFill="1" applyBorder="1" applyAlignment="1" applyProtection="1">
      <alignment horizontal="center" vertical="center"/>
      <protection locked="0"/>
    </xf>
    <xf numFmtId="174" fontId="1" fillId="13" borderId="9" xfId="0" applyNumberFormat="1" applyFont="1" applyFill="1" applyBorder="1" applyAlignment="1" applyProtection="1">
      <alignment horizontal="center" vertical="center"/>
      <protection locked="0"/>
    </xf>
    <xf numFmtId="174" fontId="1" fillId="13" borderId="10" xfId="0" applyNumberFormat="1" applyFont="1" applyFill="1" applyBorder="1" applyAlignment="1" applyProtection="1">
      <alignment horizontal="center" vertical="center"/>
      <protection locked="0"/>
    </xf>
    <xf numFmtId="174" fontId="1" fillId="13" borderId="21" xfId="0" applyNumberFormat="1" applyFont="1" applyFill="1" applyBorder="1" applyAlignment="1" applyProtection="1">
      <alignment horizontal="center" vertical="center"/>
      <protection locked="0"/>
    </xf>
    <xf numFmtId="181" fontId="44" fillId="13" borderId="0" xfId="0" applyNumberFormat="1" applyFont="1" applyFill="1" applyAlignment="1">
      <alignment horizontal="center" vertical="center"/>
    </xf>
    <xf numFmtId="0" fontId="17" fillId="13" borderId="0" xfId="0" applyFont="1" applyFill="1" applyAlignment="1" applyProtection="1">
      <alignment horizontal="center" vertical="center"/>
      <protection locked="0"/>
    </xf>
    <xf numFmtId="0" fontId="22" fillId="6" borderId="46" xfId="0" applyFont="1" applyFill="1" applyBorder="1" applyAlignment="1">
      <alignment horizontal="center" vertical="center"/>
    </xf>
    <xf numFmtId="0" fontId="22" fillId="6" borderId="44" xfId="0" applyFont="1" applyFill="1" applyBorder="1" applyAlignment="1">
      <alignment horizontal="center" vertical="center"/>
    </xf>
    <xf numFmtId="0" fontId="22" fillId="6" borderId="45" xfId="0" applyFont="1" applyFill="1" applyBorder="1" applyAlignment="1">
      <alignment horizontal="center" vertical="center"/>
    </xf>
    <xf numFmtId="0" fontId="33" fillId="5" borderId="76" xfId="0" applyFont="1" applyFill="1" applyBorder="1" applyAlignment="1">
      <alignment horizontal="right" vertical="center" textRotation="90"/>
    </xf>
    <xf numFmtId="0" fontId="33" fillId="5" borderId="79" xfId="0" applyFont="1" applyFill="1" applyBorder="1" applyAlignment="1">
      <alignment horizontal="right" vertical="center" textRotation="90"/>
    </xf>
    <xf numFmtId="0" fontId="33" fillId="5" borderId="82" xfId="0" applyFont="1" applyFill="1" applyBorder="1" applyAlignment="1">
      <alignment horizontal="right" vertical="center" textRotation="90"/>
    </xf>
    <xf numFmtId="0" fontId="33" fillId="6" borderId="0" xfId="0" applyFont="1" applyFill="1" applyAlignment="1">
      <alignment horizontal="center" vertical="center"/>
    </xf>
    <xf numFmtId="0" fontId="33" fillId="6" borderId="81" xfId="0" applyFont="1" applyFill="1" applyBorder="1" applyAlignment="1">
      <alignment horizontal="center" vertical="center"/>
    </xf>
    <xf numFmtId="0" fontId="40" fillId="6" borderId="77" xfId="0" applyFont="1" applyFill="1" applyBorder="1" applyAlignment="1">
      <alignment horizontal="center" vertical="center"/>
    </xf>
    <xf numFmtId="0" fontId="40" fillId="6" borderId="78" xfId="0" applyFont="1" applyFill="1" applyBorder="1" applyAlignment="1">
      <alignment horizontal="center" vertical="center"/>
    </xf>
    <xf numFmtId="0" fontId="36" fillId="5" borderId="76" xfId="0" applyFont="1" applyFill="1" applyBorder="1" applyAlignment="1">
      <alignment horizontal="center" vertical="center" textRotation="90"/>
    </xf>
    <xf numFmtId="0" fontId="36" fillId="5" borderId="79" xfId="0" applyFont="1" applyFill="1" applyBorder="1" applyAlignment="1">
      <alignment horizontal="center" vertical="center" textRotation="90"/>
    </xf>
    <xf numFmtId="0" fontId="36" fillId="5" borderId="82" xfId="0" applyFont="1" applyFill="1" applyBorder="1" applyAlignment="1">
      <alignment horizontal="center" vertical="center" textRotation="90"/>
    </xf>
    <xf numFmtId="0" fontId="40" fillId="6" borderId="0" xfId="0" applyFont="1" applyFill="1" applyAlignment="1">
      <alignment horizontal="center" vertical="center"/>
    </xf>
    <xf numFmtId="0" fontId="40" fillId="6" borderId="81" xfId="0" applyFont="1" applyFill="1" applyBorder="1" applyAlignment="1">
      <alignment horizontal="center" vertical="center"/>
    </xf>
    <xf numFmtId="0" fontId="76" fillId="0" borderId="16" xfId="0" applyFont="1" applyBorder="1" applyAlignment="1">
      <alignment horizontal="center" vertical="center" wrapText="1"/>
    </xf>
    <xf numFmtId="0" fontId="76" fillId="0" borderId="17" xfId="0" applyFont="1" applyBorder="1" applyAlignment="1">
      <alignment horizontal="center" vertical="center" wrapText="1"/>
    </xf>
    <xf numFmtId="0" fontId="76" fillId="0" borderId="1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/>
    </xf>
    <xf numFmtId="0" fontId="11" fillId="0" borderId="71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0" fillId="2" borderId="29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0" fillId="2" borderId="9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9" fontId="6" fillId="2" borderId="36" xfId="1" applyNumberFormat="1" applyFont="1" applyFill="1" applyBorder="1" applyAlignment="1">
      <alignment horizontal="center" vertical="center"/>
    </xf>
    <xf numFmtId="49" fontId="6" fillId="2" borderId="62" xfId="1" applyNumberFormat="1" applyFont="1" applyFill="1" applyBorder="1" applyAlignment="1">
      <alignment horizontal="center" vertical="center"/>
    </xf>
    <xf numFmtId="0" fontId="5" fillId="2" borderId="2" xfId="1" applyFill="1" applyBorder="1" applyAlignment="1">
      <alignment horizontal="center" vertical="center" wrapText="1"/>
    </xf>
    <xf numFmtId="0" fontId="5" fillId="2" borderId="3" xfId="1" applyFill="1" applyBorder="1" applyAlignment="1">
      <alignment horizontal="center" vertical="center" wrapText="1"/>
    </xf>
    <xf numFmtId="0" fontId="5" fillId="2" borderId="4" xfId="1" applyFill="1" applyBorder="1" applyAlignment="1">
      <alignment horizontal="center" vertical="center" wrapText="1"/>
    </xf>
    <xf numFmtId="0" fontId="5" fillId="2" borderId="5" xfId="1" applyFill="1" applyBorder="1" applyAlignment="1">
      <alignment horizontal="center" vertical="center"/>
    </xf>
    <xf numFmtId="0" fontId="5" fillId="2" borderId="8" xfId="1" applyFill="1" applyBorder="1" applyAlignment="1">
      <alignment horizontal="center" vertical="center"/>
    </xf>
    <xf numFmtId="0" fontId="5" fillId="2" borderId="9" xfId="1" applyFill="1" applyBorder="1" applyAlignment="1">
      <alignment horizontal="center" vertical="center"/>
    </xf>
    <xf numFmtId="0" fontId="5" fillId="2" borderId="12" xfId="1" applyFill="1" applyBorder="1" applyAlignment="1">
      <alignment horizontal="center"/>
    </xf>
    <xf numFmtId="0" fontId="5" fillId="2" borderId="13" xfId="1" applyFill="1" applyBorder="1" applyAlignment="1">
      <alignment horizontal="center"/>
    </xf>
    <xf numFmtId="0" fontId="5" fillId="2" borderId="14" xfId="1" applyFill="1" applyBorder="1" applyAlignment="1">
      <alignment horizontal="center"/>
    </xf>
  </cellXfs>
  <cellStyles count="5">
    <cellStyle name="Lien hypertexte" xfId="3" builtinId="8"/>
    <cellStyle name="Normal" xfId="0" builtinId="0"/>
    <cellStyle name="Normal 2" xfId="4" xr:uid="{F308F4CB-66CB-4290-A7BD-07EB73B665B6}"/>
    <cellStyle name="Normal 3" xfId="2" xr:uid="{12D2EE08-E300-49F2-8C0D-29F549DB705A}"/>
    <cellStyle name="Normal_profils" xfId="1" xr:uid="{7FA9DF54-0FFA-4625-B392-A1D5B70BFF62}"/>
  </cellStyles>
  <dxfs count="47"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 val="0"/>
        <color rgb="FF00B050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strike val="0"/>
        <color theme="0"/>
      </font>
    </dxf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lor rgb="FF00B050"/>
      </font>
      <fill>
        <patternFill>
          <bgColor theme="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color theme="0"/>
      </font>
    </dxf>
    <dxf>
      <font>
        <color theme="0"/>
      </font>
      <fill>
        <patternFill>
          <bgColor theme="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auto="1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strike val="0"/>
      </font>
      <fill>
        <patternFill>
          <bgColor rgb="FFFF0000"/>
        </patternFill>
      </fill>
    </dxf>
    <dxf>
      <font>
        <color theme="0"/>
      </font>
    </dxf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</font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FF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Sj,ini</c:v>
          </c:tx>
          <c:spPr>
            <a:ln w="158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803-42F6-BF89-82B3924AE9F0}"/>
                </c:ext>
              </c:extLst>
            </c:dLbl>
            <c:dLbl>
              <c:idx val="1"/>
              <c:dLblPos val="t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803-42F6-BF89-82B3924AE9F0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Rigidité!$P$37:$R$37</c:f>
              <c:numCache>
                <c:formatCode>0.00000</c:formatCode>
                <c:ptCount val="3"/>
                <c:pt idx="0" formatCode="General">
                  <c:v>0</c:v>
                </c:pt>
                <c:pt idx="1">
                  <c:v>2.4041000528996176E-3</c:v>
                </c:pt>
                <c:pt idx="2">
                  <c:v>1.077680926533074E-2</c:v>
                </c:pt>
              </c:numCache>
            </c:numRef>
          </c:xVal>
          <c:yVal>
            <c:numRef>
              <c:f>Rigidité!$P$38:$R$38</c:f>
              <c:numCache>
                <c:formatCode>0</c:formatCode>
                <c:ptCount val="3"/>
                <c:pt idx="0" formatCode="General">
                  <c:v>0</c:v>
                </c:pt>
                <c:pt idx="1">
                  <c:v>10197.333333333332</c:v>
                </c:pt>
                <c:pt idx="2" formatCode="General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03-42F6-BF89-82B3924AE9F0}"/>
            </c:ext>
          </c:extLst>
        </c:ser>
        <c:ser>
          <c:idx val="1"/>
          <c:order val="1"/>
          <c:tx>
            <c:v>2/3 MRd</c:v>
          </c:tx>
          <c:spPr>
            <a:ln w="12700" cap="rnd">
              <a:solidFill>
                <a:schemeClr val="bg1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803-42F6-BF89-82B3924AE9F0}"/>
                </c:ext>
              </c:extLst>
            </c:dLbl>
            <c:dLbl>
              <c:idx val="1"/>
              <c:dLblPos val="b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Rigidité!$P$45:$Q$45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Rigidité!$P$46:$Q$46</c:f>
              <c:numCache>
                <c:formatCode>0</c:formatCode>
                <c:ptCount val="2"/>
                <c:pt idx="0">
                  <c:v>10197.333333333332</c:v>
                </c:pt>
                <c:pt idx="1">
                  <c:v>10197.333333333332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803-42F6-BF89-82B3924AE9F0}"/>
            </c:ext>
          </c:extLst>
        </c:ser>
        <c:ser>
          <c:idx val="2"/>
          <c:order val="2"/>
          <c:tx>
            <c:v>MRd</c:v>
          </c:tx>
          <c:spPr>
            <a:ln w="12700" cap="rnd">
              <a:solidFill>
                <a:srgbClr val="FF0000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Rigidité!$P$43:$Q$43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Rigidité!$P$44:$Q$44</c:f>
              <c:numCache>
                <c:formatCode>General</c:formatCode>
                <c:ptCount val="2"/>
                <c:pt idx="0">
                  <c:v>15296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803-42F6-BF89-82B3924AE9F0}"/>
            </c:ext>
          </c:extLst>
        </c:ser>
        <c:ser>
          <c:idx val="3"/>
          <c:order val="3"/>
          <c:tx>
            <c:v>Sj,rig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672-4C76-B5A3-C99190A0163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672-4C76-B5A3-C99190A0163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l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Rigidité!$P$50:$R$50</c:f>
              <c:numCache>
                <c:formatCode>0.00000</c:formatCode>
                <c:ptCount val="3"/>
                <c:pt idx="0" formatCode="General">
                  <c:v>0</c:v>
                </c:pt>
                <c:pt idx="1">
                  <c:v>6.0383913150752521E-3</c:v>
                </c:pt>
                <c:pt idx="2">
                  <c:v>2.102977974274254E-2</c:v>
                </c:pt>
              </c:numCache>
            </c:numRef>
          </c:xVal>
          <c:yVal>
            <c:numRef>
              <c:f>Rigidité!$P$51:$R$51</c:f>
              <c:numCache>
                <c:formatCode>0</c:formatCode>
                <c:ptCount val="3"/>
                <c:pt idx="0" formatCode="General">
                  <c:v>0</c:v>
                </c:pt>
                <c:pt idx="1">
                  <c:v>10197.333333333332</c:v>
                </c:pt>
                <c:pt idx="2" formatCode="General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9803-42F6-BF89-82B3924AE9F0}"/>
            </c:ext>
          </c:extLst>
        </c:ser>
        <c:ser>
          <c:idx val="4"/>
          <c:order val="4"/>
          <c:tx>
            <c:v>MEd</c:v>
          </c:tx>
          <c:spPr>
            <a:ln w="15875" cap="rnd">
              <a:solidFill>
                <a:srgbClr val="C00000"/>
              </a:solidFill>
              <a:prstDash val="lg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C0000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r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Rigidité!$P$47:$Q$47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Rigidité!$P$48:$Q$48</c:f>
              <c:numCache>
                <c:formatCode>General</c:formatCode>
                <c:ptCount val="2"/>
                <c:pt idx="0">
                  <c:v>12000</c:v>
                </c:pt>
                <c:pt idx="1">
                  <c:v>12000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9803-42F6-BF89-82B3924AE9F0}"/>
            </c:ext>
          </c:extLst>
        </c:ser>
        <c:ser>
          <c:idx val="5"/>
          <c:order val="5"/>
          <c:tx>
            <c:v>Sj,pin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803-42F6-BF89-82B3924AE9F0}"/>
                </c:ext>
              </c:extLst>
            </c:dLbl>
            <c:dLbl>
              <c:idx val="1"/>
              <c:dLblPos val="t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803-42F6-BF89-82B3924AE9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Rigidité!$P$53:$Q$53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2.102977974274254E-2</c:v>
                </c:pt>
              </c:numCache>
            </c:numRef>
          </c:xVal>
          <c:yVal>
            <c:numRef>
              <c:f>Rigidité!$P$54:$Q$54</c:f>
              <c:numCache>
                <c:formatCode>0</c:formatCode>
                <c:ptCount val="2"/>
                <c:pt idx="0" formatCode="General">
                  <c:v>0</c:v>
                </c:pt>
                <c:pt idx="1">
                  <c:v>710.2808108111293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9803-42F6-BF89-82B3924AE9F0}"/>
            </c:ext>
          </c:extLst>
        </c:ser>
        <c:ser>
          <c:idx val="6"/>
          <c:order val="6"/>
          <c:tx>
            <c:v>Sj</c:v>
          </c:tx>
          <c:spPr>
            <a:ln w="12700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Rigidité!$P$39:$Q$39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5.5965359587232802E-3</c:v>
                </c:pt>
              </c:numCache>
            </c:numRef>
          </c:xVal>
          <c:yVal>
            <c:numRef>
              <c:f>Rigidité!$P$40:$Q$40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66-4034-BD67-FA6941F201A6}"/>
            </c:ext>
          </c:extLst>
        </c:ser>
        <c:ser>
          <c:idx val="7"/>
          <c:order val="7"/>
          <c:tx>
            <c:v>Sj,rig</c:v>
          </c:tx>
          <c:spPr>
            <a:ln w="1270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9B-46CA-ADDF-550D4589044E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9B-46CA-ADDF-550D458904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Rigidité!$S$50:$T$50</c:f>
              <c:numCache>
                <c:formatCode>0.00000</c:formatCode>
                <c:ptCount val="2"/>
                <c:pt idx="0">
                  <c:v>0</c:v>
                </c:pt>
                <c:pt idx="1">
                  <c:v>9.0575869726128785E-3</c:v>
                </c:pt>
              </c:numCache>
            </c:numRef>
          </c:xVal>
          <c:yVal>
            <c:numRef>
              <c:f>Rigidité!$S$51:$T$51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9B-46CA-ADDF-550D4589044E}"/>
            </c:ext>
          </c:extLst>
        </c:ser>
        <c:ser>
          <c:idx val="8"/>
          <c:order val="8"/>
          <c:tx>
            <c:v>Sj,d</c:v>
          </c:tx>
          <c:spPr>
            <a:ln w="15875" cap="rnd">
              <a:solidFill>
                <a:schemeClr val="tx1">
                  <a:lumMod val="50000"/>
                  <a:lumOff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E6-44AD-8F95-8453D2765BC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Rigidité!$P$41:$Q$41</c:f>
              <c:numCache>
                <c:formatCode>0.00000</c:formatCode>
                <c:ptCount val="2"/>
                <c:pt idx="0" formatCode="General">
                  <c:v>0</c:v>
                </c:pt>
                <c:pt idx="1">
                  <c:v>7.212300158698854E-3</c:v>
                </c:pt>
              </c:numCache>
            </c:numRef>
          </c:xVal>
          <c:yVal>
            <c:numRef>
              <c:f>Rigidité!$P$42:$Q$42</c:f>
              <c:numCache>
                <c:formatCode>General</c:formatCode>
                <c:ptCount val="2"/>
                <c:pt idx="0">
                  <c:v>0</c:v>
                </c:pt>
                <c:pt idx="1">
                  <c:v>15296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E6-44AD-8F95-8453D2765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0667935"/>
        <c:axId val="1480666687"/>
      </c:scatterChart>
      <c:valAx>
        <c:axId val="14806679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l-GR"/>
                  <a:t>Φ</a:t>
                </a:r>
                <a:r>
                  <a:rPr lang="fr-FR"/>
                  <a:t> [rad]</a:t>
                </a:r>
              </a:p>
            </c:rich>
          </c:tx>
          <c:layout>
            <c:manualLayout>
              <c:xMode val="edge"/>
              <c:yMode val="edge"/>
              <c:x val="0.85451440965556202"/>
              <c:y val="0.888989612240801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80666687"/>
        <c:crosses val="autoZero"/>
        <c:crossBetween val="midCat"/>
      </c:valAx>
      <c:valAx>
        <c:axId val="1480666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M [daN.m]</a:t>
                </a:r>
              </a:p>
            </c:rich>
          </c:tx>
          <c:layout>
            <c:manualLayout>
              <c:xMode val="edge"/>
              <c:yMode val="edge"/>
              <c:x val="1.4827753872227074E-2"/>
              <c:y val="0.14620830809363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4806679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ysDot"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creativecommons.org/licenses/by-nc-sa/4.0/" TargetMode="Externa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8.png"/><Relationship Id="rId13" Type="http://schemas.openxmlformats.org/officeDocument/2006/relationships/image" Target="../media/image43.png"/><Relationship Id="rId18" Type="http://schemas.openxmlformats.org/officeDocument/2006/relationships/image" Target="../media/image48.png"/><Relationship Id="rId3" Type="http://schemas.openxmlformats.org/officeDocument/2006/relationships/image" Target="../media/image33.png"/><Relationship Id="rId21" Type="http://schemas.openxmlformats.org/officeDocument/2006/relationships/image" Target="../media/image51.png"/><Relationship Id="rId7" Type="http://schemas.openxmlformats.org/officeDocument/2006/relationships/image" Target="../media/image37.png"/><Relationship Id="rId12" Type="http://schemas.openxmlformats.org/officeDocument/2006/relationships/image" Target="../media/image42.png"/><Relationship Id="rId17" Type="http://schemas.openxmlformats.org/officeDocument/2006/relationships/image" Target="../media/image47.png"/><Relationship Id="rId2" Type="http://schemas.openxmlformats.org/officeDocument/2006/relationships/image" Target="../media/image32.png"/><Relationship Id="rId16" Type="http://schemas.openxmlformats.org/officeDocument/2006/relationships/image" Target="../media/image46.png"/><Relationship Id="rId20" Type="http://schemas.openxmlformats.org/officeDocument/2006/relationships/image" Target="../media/image50.png"/><Relationship Id="rId1" Type="http://schemas.openxmlformats.org/officeDocument/2006/relationships/image" Target="../media/image31.png"/><Relationship Id="rId6" Type="http://schemas.openxmlformats.org/officeDocument/2006/relationships/image" Target="../media/image36.png"/><Relationship Id="rId11" Type="http://schemas.openxmlformats.org/officeDocument/2006/relationships/image" Target="../media/image41.png"/><Relationship Id="rId24" Type="http://schemas.openxmlformats.org/officeDocument/2006/relationships/image" Target="../media/image54.png"/><Relationship Id="rId5" Type="http://schemas.openxmlformats.org/officeDocument/2006/relationships/image" Target="../media/image35.png"/><Relationship Id="rId15" Type="http://schemas.openxmlformats.org/officeDocument/2006/relationships/image" Target="../media/image45.png"/><Relationship Id="rId23" Type="http://schemas.openxmlformats.org/officeDocument/2006/relationships/image" Target="../media/image53.png"/><Relationship Id="rId10" Type="http://schemas.openxmlformats.org/officeDocument/2006/relationships/image" Target="../media/image40.png"/><Relationship Id="rId19" Type="http://schemas.openxmlformats.org/officeDocument/2006/relationships/image" Target="../media/image49.png"/><Relationship Id="rId4" Type="http://schemas.openxmlformats.org/officeDocument/2006/relationships/image" Target="../media/image34.png"/><Relationship Id="rId9" Type="http://schemas.openxmlformats.org/officeDocument/2006/relationships/image" Target="../media/image39.png"/><Relationship Id="rId14" Type="http://schemas.openxmlformats.org/officeDocument/2006/relationships/image" Target="../media/image44.png"/><Relationship Id="rId22" Type="http://schemas.openxmlformats.org/officeDocument/2006/relationships/image" Target="../media/image52.png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7.png"/><Relationship Id="rId18" Type="http://schemas.openxmlformats.org/officeDocument/2006/relationships/image" Target="../media/image72.png"/><Relationship Id="rId26" Type="http://schemas.openxmlformats.org/officeDocument/2006/relationships/image" Target="../media/image80.png"/><Relationship Id="rId39" Type="http://schemas.openxmlformats.org/officeDocument/2006/relationships/image" Target="../media/image93.png"/><Relationship Id="rId3" Type="http://schemas.openxmlformats.org/officeDocument/2006/relationships/image" Target="../media/image57.png"/><Relationship Id="rId21" Type="http://schemas.openxmlformats.org/officeDocument/2006/relationships/image" Target="../media/image75.png"/><Relationship Id="rId34" Type="http://schemas.openxmlformats.org/officeDocument/2006/relationships/image" Target="../media/image88.png"/><Relationship Id="rId42" Type="http://schemas.openxmlformats.org/officeDocument/2006/relationships/image" Target="../media/image96.png"/><Relationship Id="rId47" Type="http://schemas.openxmlformats.org/officeDocument/2006/relationships/image" Target="../media/image101.png"/><Relationship Id="rId50" Type="http://schemas.openxmlformats.org/officeDocument/2006/relationships/image" Target="../media/image104.png"/><Relationship Id="rId7" Type="http://schemas.openxmlformats.org/officeDocument/2006/relationships/image" Target="../media/image61.png"/><Relationship Id="rId12" Type="http://schemas.openxmlformats.org/officeDocument/2006/relationships/image" Target="../media/image66.png"/><Relationship Id="rId17" Type="http://schemas.openxmlformats.org/officeDocument/2006/relationships/image" Target="../media/image71.png"/><Relationship Id="rId25" Type="http://schemas.openxmlformats.org/officeDocument/2006/relationships/image" Target="../media/image79.png"/><Relationship Id="rId33" Type="http://schemas.openxmlformats.org/officeDocument/2006/relationships/image" Target="../media/image87.png"/><Relationship Id="rId38" Type="http://schemas.openxmlformats.org/officeDocument/2006/relationships/image" Target="../media/image92.png"/><Relationship Id="rId46" Type="http://schemas.openxmlformats.org/officeDocument/2006/relationships/image" Target="../media/image100.png"/><Relationship Id="rId2" Type="http://schemas.openxmlformats.org/officeDocument/2006/relationships/image" Target="../media/image56.png"/><Relationship Id="rId16" Type="http://schemas.openxmlformats.org/officeDocument/2006/relationships/image" Target="../media/image70.png"/><Relationship Id="rId20" Type="http://schemas.openxmlformats.org/officeDocument/2006/relationships/image" Target="../media/image74.png"/><Relationship Id="rId29" Type="http://schemas.openxmlformats.org/officeDocument/2006/relationships/image" Target="../media/image83.png"/><Relationship Id="rId41" Type="http://schemas.openxmlformats.org/officeDocument/2006/relationships/image" Target="../media/image95.png"/><Relationship Id="rId1" Type="http://schemas.openxmlformats.org/officeDocument/2006/relationships/image" Target="../media/image55.png"/><Relationship Id="rId6" Type="http://schemas.openxmlformats.org/officeDocument/2006/relationships/image" Target="../media/image60.png"/><Relationship Id="rId11" Type="http://schemas.openxmlformats.org/officeDocument/2006/relationships/image" Target="../media/image65.png"/><Relationship Id="rId24" Type="http://schemas.openxmlformats.org/officeDocument/2006/relationships/image" Target="../media/image78.png"/><Relationship Id="rId32" Type="http://schemas.openxmlformats.org/officeDocument/2006/relationships/image" Target="../media/image86.png"/><Relationship Id="rId37" Type="http://schemas.openxmlformats.org/officeDocument/2006/relationships/image" Target="../media/image91.png"/><Relationship Id="rId40" Type="http://schemas.openxmlformats.org/officeDocument/2006/relationships/image" Target="../media/image94.png"/><Relationship Id="rId45" Type="http://schemas.openxmlformats.org/officeDocument/2006/relationships/image" Target="../media/image99.png"/><Relationship Id="rId5" Type="http://schemas.openxmlformats.org/officeDocument/2006/relationships/image" Target="../media/image59.png"/><Relationship Id="rId15" Type="http://schemas.openxmlformats.org/officeDocument/2006/relationships/image" Target="../media/image69.png"/><Relationship Id="rId23" Type="http://schemas.openxmlformats.org/officeDocument/2006/relationships/image" Target="../media/image77.png"/><Relationship Id="rId28" Type="http://schemas.openxmlformats.org/officeDocument/2006/relationships/image" Target="../media/image82.png"/><Relationship Id="rId36" Type="http://schemas.openxmlformats.org/officeDocument/2006/relationships/image" Target="../media/image90.png"/><Relationship Id="rId49" Type="http://schemas.openxmlformats.org/officeDocument/2006/relationships/image" Target="../media/image103.png"/><Relationship Id="rId10" Type="http://schemas.openxmlformats.org/officeDocument/2006/relationships/image" Target="../media/image64.png"/><Relationship Id="rId19" Type="http://schemas.openxmlformats.org/officeDocument/2006/relationships/image" Target="../media/image73.png"/><Relationship Id="rId31" Type="http://schemas.openxmlformats.org/officeDocument/2006/relationships/image" Target="../media/image85.png"/><Relationship Id="rId44" Type="http://schemas.openxmlformats.org/officeDocument/2006/relationships/image" Target="../media/image98.png"/><Relationship Id="rId52" Type="http://schemas.openxmlformats.org/officeDocument/2006/relationships/image" Target="../media/image106.png"/><Relationship Id="rId4" Type="http://schemas.openxmlformats.org/officeDocument/2006/relationships/image" Target="../media/image58.png"/><Relationship Id="rId9" Type="http://schemas.openxmlformats.org/officeDocument/2006/relationships/image" Target="../media/image63.png"/><Relationship Id="rId14" Type="http://schemas.openxmlformats.org/officeDocument/2006/relationships/image" Target="../media/image68.png"/><Relationship Id="rId22" Type="http://schemas.openxmlformats.org/officeDocument/2006/relationships/image" Target="../media/image76.png"/><Relationship Id="rId27" Type="http://schemas.openxmlformats.org/officeDocument/2006/relationships/image" Target="../media/image81.png"/><Relationship Id="rId30" Type="http://schemas.openxmlformats.org/officeDocument/2006/relationships/image" Target="../media/image84.png"/><Relationship Id="rId35" Type="http://schemas.openxmlformats.org/officeDocument/2006/relationships/image" Target="../media/image89.png"/><Relationship Id="rId43" Type="http://schemas.openxmlformats.org/officeDocument/2006/relationships/image" Target="../media/image97.png"/><Relationship Id="rId48" Type="http://schemas.openxmlformats.org/officeDocument/2006/relationships/image" Target="../media/image102.png"/><Relationship Id="rId8" Type="http://schemas.openxmlformats.org/officeDocument/2006/relationships/image" Target="../media/image62.png"/><Relationship Id="rId51" Type="http://schemas.openxmlformats.org/officeDocument/2006/relationships/image" Target="../media/image105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9.png"/><Relationship Id="rId18" Type="http://schemas.openxmlformats.org/officeDocument/2006/relationships/image" Target="../media/image124.png"/><Relationship Id="rId26" Type="http://schemas.openxmlformats.org/officeDocument/2006/relationships/image" Target="../media/image132.png"/><Relationship Id="rId39" Type="http://schemas.openxmlformats.org/officeDocument/2006/relationships/image" Target="../media/image145.png"/><Relationship Id="rId21" Type="http://schemas.openxmlformats.org/officeDocument/2006/relationships/image" Target="../media/image127.png"/><Relationship Id="rId34" Type="http://schemas.openxmlformats.org/officeDocument/2006/relationships/image" Target="../media/image140.png"/><Relationship Id="rId42" Type="http://schemas.openxmlformats.org/officeDocument/2006/relationships/image" Target="../media/image148.png"/><Relationship Id="rId47" Type="http://schemas.openxmlformats.org/officeDocument/2006/relationships/image" Target="../media/image153.png"/><Relationship Id="rId50" Type="http://schemas.openxmlformats.org/officeDocument/2006/relationships/image" Target="../media/image156.png"/><Relationship Id="rId55" Type="http://schemas.openxmlformats.org/officeDocument/2006/relationships/image" Target="../media/image161.png"/><Relationship Id="rId63" Type="http://schemas.openxmlformats.org/officeDocument/2006/relationships/image" Target="../media/image169.png"/><Relationship Id="rId68" Type="http://schemas.openxmlformats.org/officeDocument/2006/relationships/image" Target="../media/image174.png"/><Relationship Id="rId76" Type="http://schemas.openxmlformats.org/officeDocument/2006/relationships/image" Target="../media/image182.png"/><Relationship Id="rId84" Type="http://schemas.openxmlformats.org/officeDocument/2006/relationships/image" Target="../media/image190.png"/><Relationship Id="rId7" Type="http://schemas.openxmlformats.org/officeDocument/2006/relationships/image" Target="../media/image113.png"/><Relationship Id="rId71" Type="http://schemas.openxmlformats.org/officeDocument/2006/relationships/image" Target="../media/image177.png"/><Relationship Id="rId2" Type="http://schemas.openxmlformats.org/officeDocument/2006/relationships/image" Target="../media/image108.png"/><Relationship Id="rId16" Type="http://schemas.openxmlformats.org/officeDocument/2006/relationships/image" Target="../media/image122.png"/><Relationship Id="rId29" Type="http://schemas.openxmlformats.org/officeDocument/2006/relationships/image" Target="../media/image135.png"/><Relationship Id="rId11" Type="http://schemas.openxmlformats.org/officeDocument/2006/relationships/image" Target="../media/image117.png"/><Relationship Id="rId24" Type="http://schemas.openxmlformats.org/officeDocument/2006/relationships/image" Target="../media/image130.png"/><Relationship Id="rId32" Type="http://schemas.openxmlformats.org/officeDocument/2006/relationships/image" Target="../media/image138.png"/><Relationship Id="rId37" Type="http://schemas.openxmlformats.org/officeDocument/2006/relationships/image" Target="../media/image143.png"/><Relationship Id="rId40" Type="http://schemas.openxmlformats.org/officeDocument/2006/relationships/image" Target="../media/image146.png"/><Relationship Id="rId45" Type="http://schemas.openxmlformats.org/officeDocument/2006/relationships/image" Target="../media/image151.png"/><Relationship Id="rId53" Type="http://schemas.openxmlformats.org/officeDocument/2006/relationships/image" Target="../media/image159.png"/><Relationship Id="rId58" Type="http://schemas.openxmlformats.org/officeDocument/2006/relationships/image" Target="../media/image164.png"/><Relationship Id="rId66" Type="http://schemas.openxmlformats.org/officeDocument/2006/relationships/image" Target="../media/image172.png"/><Relationship Id="rId74" Type="http://schemas.openxmlformats.org/officeDocument/2006/relationships/image" Target="../media/image180.png"/><Relationship Id="rId79" Type="http://schemas.openxmlformats.org/officeDocument/2006/relationships/image" Target="../media/image185.png"/><Relationship Id="rId5" Type="http://schemas.openxmlformats.org/officeDocument/2006/relationships/image" Target="../media/image111.png"/><Relationship Id="rId61" Type="http://schemas.openxmlformats.org/officeDocument/2006/relationships/image" Target="../media/image167.png"/><Relationship Id="rId82" Type="http://schemas.openxmlformats.org/officeDocument/2006/relationships/image" Target="../media/image188.png"/><Relationship Id="rId19" Type="http://schemas.openxmlformats.org/officeDocument/2006/relationships/image" Target="../media/image125.png"/><Relationship Id="rId4" Type="http://schemas.openxmlformats.org/officeDocument/2006/relationships/image" Target="../media/image110.png"/><Relationship Id="rId9" Type="http://schemas.openxmlformats.org/officeDocument/2006/relationships/image" Target="../media/image115.png"/><Relationship Id="rId14" Type="http://schemas.openxmlformats.org/officeDocument/2006/relationships/image" Target="../media/image120.png"/><Relationship Id="rId22" Type="http://schemas.openxmlformats.org/officeDocument/2006/relationships/image" Target="../media/image128.png"/><Relationship Id="rId27" Type="http://schemas.openxmlformats.org/officeDocument/2006/relationships/image" Target="../media/image133.png"/><Relationship Id="rId30" Type="http://schemas.openxmlformats.org/officeDocument/2006/relationships/image" Target="../media/image136.png"/><Relationship Id="rId35" Type="http://schemas.openxmlformats.org/officeDocument/2006/relationships/image" Target="../media/image141.png"/><Relationship Id="rId43" Type="http://schemas.openxmlformats.org/officeDocument/2006/relationships/image" Target="../media/image149.png"/><Relationship Id="rId48" Type="http://schemas.openxmlformats.org/officeDocument/2006/relationships/image" Target="../media/image154.png"/><Relationship Id="rId56" Type="http://schemas.openxmlformats.org/officeDocument/2006/relationships/image" Target="../media/image162.png"/><Relationship Id="rId64" Type="http://schemas.openxmlformats.org/officeDocument/2006/relationships/image" Target="../media/image170.png"/><Relationship Id="rId69" Type="http://schemas.openxmlformats.org/officeDocument/2006/relationships/image" Target="../media/image175.png"/><Relationship Id="rId77" Type="http://schemas.openxmlformats.org/officeDocument/2006/relationships/image" Target="../media/image183.png"/><Relationship Id="rId8" Type="http://schemas.openxmlformats.org/officeDocument/2006/relationships/image" Target="../media/image114.png"/><Relationship Id="rId51" Type="http://schemas.openxmlformats.org/officeDocument/2006/relationships/image" Target="../media/image157.png"/><Relationship Id="rId72" Type="http://schemas.openxmlformats.org/officeDocument/2006/relationships/image" Target="../media/image178.png"/><Relationship Id="rId80" Type="http://schemas.openxmlformats.org/officeDocument/2006/relationships/image" Target="../media/image186.png"/><Relationship Id="rId85" Type="http://schemas.openxmlformats.org/officeDocument/2006/relationships/image" Target="../media/image191.png"/><Relationship Id="rId3" Type="http://schemas.openxmlformats.org/officeDocument/2006/relationships/image" Target="../media/image109.png"/><Relationship Id="rId12" Type="http://schemas.openxmlformats.org/officeDocument/2006/relationships/image" Target="../media/image118.png"/><Relationship Id="rId17" Type="http://schemas.openxmlformats.org/officeDocument/2006/relationships/image" Target="../media/image123.png"/><Relationship Id="rId25" Type="http://schemas.openxmlformats.org/officeDocument/2006/relationships/image" Target="../media/image131.png"/><Relationship Id="rId33" Type="http://schemas.openxmlformats.org/officeDocument/2006/relationships/image" Target="../media/image139.png"/><Relationship Id="rId38" Type="http://schemas.openxmlformats.org/officeDocument/2006/relationships/image" Target="../media/image144.png"/><Relationship Id="rId46" Type="http://schemas.openxmlformats.org/officeDocument/2006/relationships/image" Target="../media/image152.png"/><Relationship Id="rId59" Type="http://schemas.openxmlformats.org/officeDocument/2006/relationships/image" Target="../media/image165.png"/><Relationship Id="rId67" Type="http://schemas.openxmlformats.org/officeDocument/2006/relationships/image" Target="../media/image173.png"/><Relationship Id="rId20" Type="http://schemas.openxmlformats.org/officeDocument/2006/relationships/image" Target="../media/image126.png"/><Relationship Id="rId41" Type="http://schemas.openxmlformats.org/officeDocument/2006/relationships/image" Target="../media/image147.png"/><Relationship Id="rId54" Type="http://schemas.openxmlformats.org/officeDocument/2006/relationships/image" Target="../media/image160.png"/><Relationship Id="rId62" Type="http://schemas.openxmlformats.org/officeDocument/2006/relationships/image" Target="../media/image168.png"/><Relationship Id="rId70" Type="http://schemas.openxmlformats.org/officeDocument/2006/relationships/image" Target="../media/image176.png"/><Relationship Id="rId75" Type="http://schemas.openxmlformats.org/officeDocument/2006/relationships/image" Target="../media/image181.png"/><Relationship Id="rId83" Type="http://schemas.openxmlformats.org/officeDocument/2006/relationships/image" Target="../media/image189.png"/><Relationship Id="rId1" Type="http://schemas.openxmlformats.org/officeDocument/2006/relationships/image" Target="../media/image107.png"/><Relationship Id="rId6" Type="http://schemas.openxmlformats.org/officeDocument/2006/relationships/image" Target="../media/image112.png"/><Relationship Id="rId15" Type="http://schemas.openxmlformats.org/officeDocument/2006/relationships/image" Target="../media/image121.png"/><Relationship Id="rId23" Type="http://schemas.openxmlformats.org/officeDocument/2006/relationships/image" Target="../media/image129.png"/><Relationship Id="rId28" Type="http://schemas.openxmlformats.org/officeDocument/2006/relationships/image" Target="../media/image134.png"/><Relationship Id="rId36" Type="http://schemas.openxmlformats.org/officeDocument/2006/relationships/image" Target="../media/image142.png"/><Relationship Id="rId49" Type="http://schemas.openxmlformats.org/officeDocument/2006/relationships/image" Target="../media/image155.png"/><Relationship Id="rId57" Type="http://schemas.openxmlformats.org/officeDocument/2006/relationships/image" Target="../media/image163.png"/><Relationship Id="rId10" Type="http://schemas.openxmlformats.org/officeDocument/2006/relationships/image" Target="../media/image116.png"/><Relationship Id="rId31" Type="http://schemas.openxmlformats.org/officeDocument/2006/relationships/image" Target="../media/image137.png"/><Relationship Id="rId44" Type="http://schemas.openxmlformats.org/officeDocument/2006/relationships/image" Target="../media/image150.png"/><Relationship Id="rId52" Type="http://schemas.openxmlformats.org/officeDocument/2006/relationships/image" Target="../media/image158.png"/><Relationship Id="rId60" Type="http://schemas.openxmlformats.org/officeDocument/2006/relationships/image" Target="../media/image166.png"/><Relationship Id="rId65" Type="http://schemas.openxmlformats.org/officeDocument/2006/relationships/image" Target="../media/image171.png"/><Relationship Id="rId73" Type="http://schemas.openxmlformats.org/officeDocument/2006/relationships/image" Target="../media/image179.png"/><Relationship Id="rId78" Type="http://schemas.openxmlformats.org/officeDocument/2006/relationships/image" Target="../media/image184.png"/><Relationship Id="rId81" Type="http://schemas.openxmlformats.org/officeDocument/2006/relationships/image" Target="../media/image187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9.png"/><Relationship Id="rId3" Type="http://schemas.openxmlformats.org/officeDocument/2006/relationships/image" Target="../media/image194.png"/><Relationship Id="rId7" Type="http://schemas.openxmlformats.org/officeDocument/2006/relationships/image" Target="../media/image198.png"/><Relationship Id="rId2" Type="http://schemas.openxmlformats.org/officeDocument/2006/relationships/image" Target="../media/image193.png"/><Relationship Id="rId1" Type="http://schemas.openxmlformats.org/officeDocument/2006/relationships/image" Target="../media/image192.png"/><Relationship Id="rId6" Type="http://schemas.openxmlformats.org/officeDocument/2006/relationships/image" Target="../media/image197.png"/><Relationship Id="rId5" Type="http://schemas.openxmlformats.org/officeDocument/2006/relationships/image" Target="../media/image196.png"/><Relationship Id="rId4" Type="http://schemas.openxmlformats.org/officeDocument/2006/relationships/image" Target="../media/image195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1.png"/><Relationship Id="rId2" Type="http://schemas.openxmlformats.org/officeDocument/2006/relationships/image" Target="../media/image200.png"/><Relationship Id="rId1" Type="http://schemas.openxmlformats.org/officeDocument/2006/relationships/chart" Target="../charts/chart1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2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5.emf"/></Relationships>
</file>

<file path=xl/drawings/_rels/vmlDrawing4.v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13" Type="http://schemas.openxmlformats.org/officeDocument/2006/relationships/image" Target="../media/image28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12" Type="http://schemas.openxmlformats.org/officeDocument/2006/relationships/image" Target="../media/image27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11" Type="http://schemas.openxmlformats.org/officeDocument/2006/relationships/image" Target="../media/image26.png"/><Relationship Id="rId5" Type="http://schemas.openxmlformats.org/officeDocument/2006/relationships/image" Target="../media/image20.png"/><Relationship Id="rId15" Type="http://schemas.openxmlformats.org/officeDocument/2006/relationships/image" Target="../media/image30.png"/><Relationship Id="rId10" Type="http://schemas.openxmlformats.org/officeDocument/2006/relationships/image" Target="../media/image25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Relationship Id="rId14" Type="http://schemas.openxmlformats.org/officeDocument/2006/relationships/image" Target="../media/image29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276225</xdr:colOff>
          <xdr:row>4</xdr:row>
          <xdr:rowOff>28575</xdr:rowOff>
        </xdr:from>
        <xdr:to>
          <xdr:col>27</xdr:col>
          <xdr:colOff>123825</xdr:colOff>
          <xdr:row>4</xdr:row>
          <xdr:rowOff>171450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+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142875</xdr:colOff>
          <xdr:row>4</xdr:row>
          <xdr:rowOff>28575</xdr:rowOff>
        </xdr:from>
        <xdr:to>
          <xdr:col>28</xdr:col>
          <xdr:colOff>0</xdr:colOff>
          <xdr:row>4</xdr:row>
          <xdr:rowOff>171450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0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-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76200</xdr:colOff>
          <xdr:row>4</xdr:row>
          <xdr:rowOff>0</xdr:rowOff>
        </xdr:from>
        <xdr:to>
          <xdr:col>15</xdr:col>
          <xdr:colOff>219075</xdr:colOff>
          <xdr:row>4</xdr:row>
          <xdr:rowOff>180975</xdr:rowOff>
        </xdr:to>
        <xdr:sp macro="" textlink="">
          <xdr:nvSpPr>
            <xdr:cNvPr id="13317" name="Button 5" hidden="1">
              <a:extLst>
                <a:ext uri="{63B3BB69-23CF-44E3-9099-C40C66FF867C}">
                  <a14:compatExt spid="_x0000_s13317"/>
                </a:ext>
                <a:ext uri="{FF2B5EF4-FFF2-40B4-BE49-F238E27FC236}">
                  <a16:creationId xmlns:a16="http://schemas.microsoft.com/office/drawing/2014/main" id="{00000000-0008-0000-0000-000005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0" tIns="0" rIns="0" bIns="0" anchor="ctr" upright="1"/>
            <a:lstStyle/>
            <a:p>
              <a:pPr algn="ctr" rtl="0">
                <a:defRPr sz="1000"/>
              </a:pPr>
              <a:r>
                <a:rPr lang="fr-FR" sz="1100" b="1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Redessiner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238125</xdr:colOff>
      <xdr:row>4</xdr:row>
      <xdr:rowOff>47625</xdr:rowOff>
    </xdr:from>
    <xdr:to>
      <xdr:col>26</xdr:col>
      <xdr:colOff>230281</xdr:colOff>
      <xdr:row>5</xdr:row>
      <xdr:rowOff>152400</xdr:rowOff>
    </xdr:to>
    <xdr:pic>
      <xdr:nvPicPr>
        <xdr:cNvPr id="2" name="Imag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8925" y="809625"/>
          <a:ext cx="849406" cy="295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314325</xdr:colOff>
      <xdr:row>97</xdr:row>
      <xdr:rowOff>114300</xdr:rowOff>
    </xdr:from>
    <xdr:to>
      <xdr:col>21</xdr:col>
      <xdr:colOff>545790</xdr:colOff>
      <xdr:row>103</xdr:row>
      <xdr:rowOff>168154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72900" y="7267575"/>
          <a:ext cx="2374590" cy="1273054"/>
        </a:xfrm>
        <a:prstGeom prst="rect">
          <a:avLst/>
        </a:prstGeom>
      </xdr:spPr>
    </xdr:pic>
    <xdr:clientData/>
  </xdr:twoCellAnchor>
  <xdr:twoCellAnchor>
    <xdr:from>
      <xdr:col>2</xdr:col>
      <xdr:colOff>190500</xdr:colOff>
      <xdr:row>109</xdr:row>
      <xdr:rowOff>123825</xdr:rowOff>
    </xdr:from>
    <xdr:to>
      <xdr:col>3</xdr:col>
      <xdr:colOff>647700</xdr:colOff>
      <xdr:row>111</xdr:row>
      <xdr:rowOff>38100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9686925"/>
          <a:ext cx="1171575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76200</xdr:colOff>
      <xdr:row>110</xdr:row>
      <xdr:rowOff>0</xdr:rowOff>
    </xdr:from>
    <xdr:to>
      <xdr:col>7</xdr:col>
      <xdr:colOff>66675</xdr:colOff>
      <xdr:row>110</xdr:row>
      <xdr:rowOff>161925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" y="9753600"/>
          <a:ext cx="14192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371475</xdr:colOff>
      <xdr:row>110</xdr:row>
      <xdr:rowOff>9525</xdr:rowOff>
    </xdr:from>
    <xdr:to>
      <xdr:col>8</xdr:col>
      <xdr:colOff>676275</xdr:colOff>
      <xdr:row>110</xdr:row>
      <xdr:rowOff>171450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9763125"/>
          <a:ext cx="304800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19050</xdr:colOff>
      <xdr:row>108</xdr:row>
      <xdr:rowOff>152400</xdr:rowOff>
    </xdr:from>
    <xdr:to>
      <xdr:col>20</xdr:col>
      <xdr:colOff>506177</xdr:colOff>
      <xdr:row>112</xdr:row>
      <xdr:rowOff>28845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382250" y="9515475"/>
          <a:ext cx="3344627" cy="667020"/>
        </a:xfrm>
        <a:prstGeom prst="rect">
          <a:avLst/>
        </a:prstGeom>
      </xdr:spPr>
    </xdr:pic>
    <xdr:clientData/>
  </xdr:twoCellAnchor>
  <xdr:twoCellAnchor editAs="oneCell">
    <xdr:from>
      <xdr:col>6</xdr:col>
      <xdr:colOff>47626</xdr:colOff>
      <xdr:row>134</xdr:row>
      <xdr:rowOff>85726</xdr:rowOff>
    </xdr:from>
    <xdr:to>
      <xdr:col>8</xdr:col>
      <xdr:colOff>668942</xdr:colOff>
      <xdr:row>140</xdr:row>
      <xdr:rowOff>97317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67101" y="14049376"/>
          <a:ext cx="2050066" cy="1154591"/>
        </a:xfrm>
        <a:prstGeom prst="rect">
          <a:avLst/>
        </a:prstGeom>
      </xdr:spPr>
    </xdr:pic>
    <xdr:clientData/>
  </xdr:twoCellAnchor>
  <xdr:twoCellAnchor editAs="oneCell">
    <xdr:from>
      <xdr:col>7</xdr:col>
      <xdr:colOff>95257</xdr:colOff>
      <xdr:row>154</xdr:row>
      <xdr:rowOff>161926</xdr:rowOff>
    </xdr:from>
    <xdr:to>
      <xdr:col>8</xdr:col>
      <xdr:colOff>664555</xdr:colOff>
      <xdr:row>163</xdr:row>
      <xdr:rowOff>180281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29107" y="18126076"/>
          <a:ext cx="1283673" cy="1847155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135</xdr:row>
      <xdr:rowOff>142875</xdr:rowOff>
    </xdr:from>
    <xdr:to>
      <xdr:col>4</xdr:col>
      <xdr:colOff>148</xdr:colOff>
      <xdr:row>137</xdr:row>
      <xdr:rowOff>127686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33450" y="14068425"/>
          <a:ext cx="1057423" cy="365811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137</xdr:row>
      <xdr:rowOff>123825</xdr:rowOff>
    </xdr:from>
    <xdr:to>
      <xdr:col>3</xdr:col>
      <xdr:colOff>693558</xdr:colOff>
      <xdr:row>139</xdr:row>
      <xdr:rowOff>114352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81075" y="14430375"/>
          <a:ext cx="988833" cy="371527"/>
        </a:xfrm>
        <a:prstGeom prst="rect">
          <a:avLst/>
        </a:prstGeom>
      </xdr:spPr>
    </xdr:pic>
    <xdr:clientData/>
  </xdr:twoCellAnchor>
  <xdr:twoCellAnchor editAs="oneCell">
    <xdr:from>
      <xdr:col>4</xdr:col>
      <xdr:colOff>161925</xdr:colOff>
      <xdr:row>144</xdr:row>
      <xdr:rowOff>38100</xdr:rowOff>
    </xdr:from>
    <xdr:to>
      <xdr:col>5</xdr:col>
      <xdr:colOff>695325</xdr:colOff>
      <xdr:row>144</xdr:row>
      <xdr:rowOff>200025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2650" y="15259050"/>
          <a:ext cx="1247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685800</xdr:colOff>
      <xdr:row>142</xdr:row>
      <xdr:rowOff>104775</xdr:rowOff>
    </xdr:from>
    <xdr:to>
      <xdr:col>5</xdr:col>
      <xdr:colOff>685800</xdr:colOff>
      <xdr:row>144</xdr:row>
      <xdr:rowOff>38100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14754225"/>
          <a:ext cx="2143125" cy="31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419100</xdr:colOff>
      <xdr:row>166</xdr:row>
      <xdr:rowOff>57149</xdr:rowOff>
    </xdr:from>
    <xdr:to>
      <xdr:col>4</xdr:col>
      <xdr:colOff>700227</xdr:colOff>
      <xdr:row>168</xdr:row>
      <xdr:rowOff>100547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5450" y="20269199"/>
          <a:ext cx="995502" cy="424398"/>
        </a:xfrm>
        <a:prstGeom prst="rect">
          <a:avLst/>
        </a:prstGeom>
      </xdr:spPr>
    </xdr:pic>
    <xdr:clientData/>
  </xdr:twoCellAnchor>
  <xdr:oneCellAnchor>
    <xdr:from>
      <xdr:col>4</xdr:col>
      <xdr:colOff>533400</xdr:colOff>
      <xdr:row>170</xdr:row>
      <xdr:rowOff>161925</xdr:rowOff>
    </xdr:from>
    <xdr:ext cx="885825" cy="333375"/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9267825"/>
          <a:ext cx="885825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4</xdr:col>
      <xdr:colOff>371475</xdr:colOff>
      <xdr:row>38</xdr:row>
      <xdr:rowOff>57150</xdr:rowOff>
    </xdr:from>
    <xdr:to>
      <xdr:col>6</xdr:col>
      <xdr:colOff>600075</xdr:colOff>
      <xdr:row>45</xdr:row>
      <xdr:rowOff>142875</xdr:rowOff>
    </xdr:to>
    <xdr:grpSp>
      <xdr:nvGrpSpPr>
        <xdr:cNvPr id="19" name="Groupe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GrpSpPr/>
      </xdr:nvGrpSpPr>
      <xdr:grpSpPr>
        <a:xfrm>
          <a:off x="2362200" y="8010525"/>
          <a:ext cx="1657350" cy="1590675"/>
          <a:chOff x="2362200" y="7639050"/>
          <a:chExt cx="1657350" cy="1476375"/>
        </a:xfrm>
      </xdr:grpSpPr>
      <xdr:grpSp>
        <xdr:nvGrpSpPr>
          <xdr:cNvPr id="26" name="Groupe 25">
            <a:extLst>
              <a:ext uri="{FF2B5EF4-FFF2-40B4-BE49-F238E27FC236}">
                <a16:creationId xmlns:a16="http://schemas.microsoft.com/office/drawing/2014/main" id="{00000000-0008-0000-0300-00001A000000}"/>
              </a:ext>
            </a:extLst>
          </xdr:cNvPr>
          <xdr:cNvGrpSpPr>
            <a:grpSpLocks noChangeAspect="1"/>
          </xdr:cNvGrpSpPr>
        </xdr:nvGrpSpPr>
        <xdr:grpSpPr>
          <a:xfrm>
            <a:off x="2656708" y="7909814"/>
            <a:ext cx="809567" cy="810000"/>
            <a:chOff x="3486651" y="7091611"/>
            <a:chExt cx="456419" cy="458633"/>
          </a:xfrm>
        </xdr:grpSpPr>
        <xdr:grpSp>
          <xdr:nvGrpSpPr>
            <xdr:cNvPr id="22" name="Groupe 21">
              <a:extLst>
                <a:ext uri="{FF2B5EF4-FFF2-40B4-BE49-F238E27FC236}">
                  <a16:creationId xmlns:a16="http://schemas.microsoft.com/office/drawing/2014/main" id="{00000000-0008-0000-0300-000016000000}"/>
                </a:ext>
              </a:extLst>
            </xdr:cNvPr>
            <xdr:cNvGrpSpPr/>
          </xdr:nvGrpSpPr>
          <xdr:grpSpPr>
            <a:xfrm>
              <a:off x="3486651" y="7091611"/>
              <a:ext cx="48348" cy="458633"/>
              <a:chOff x="1902493" y="7315199"/>
              <a:chExt cx="48348" cy="458633"/>
            </a:xfrm>
          </xdr:grpSpPr>
          <xdr:sp macro="" textlink="">
            <xdr:nvSpPr>
              <xdr:cNvPr id="11" name="Ellipse 10">
                <a:extLst>
                  <a:ext uri="{FF2B5EF4-FFF2-40B4-BE49-F238E27FC236}">
                    <a16:creationId xmlns:a16="http://schemas.microsoft.com/office/drawing/2014/main" id="{00000000-0008-0000-0300-00000B000000}"/>
                  </a:ext>
                </a:extLst>
              </xdr:cNvPr>
              <xdr:cNvSpPr>
                <a:spLocks/>
              </xdr:cNvSpPr>
            </xdr:nvSpPr>
            <xdr:spPr>
              <a:xfrm>
                <a:off x="1902493" y="7315199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" name="Ellipse 13">
                <a:extLst>
                  <a:ext uri="{FF2B5EF4-FFF2-40B4-BE49-F238E27FC236}">
                    <a16:creationId xmlns:a16="http://schemas.microsoft.com/office/drawing/2014/main" id="{00000000-0008-0000-0300-00000E000000}"/>
                  </a:ext>
                </a:extLst>
              </xdr:cNvPr>
              <xdr:cNvSpPr>
                <a:spLocks/>
              </xdr:cNvSpPr>
            </xdr:nvSpPr>
            <xdr:spPr>
              <a:xfrm>
                <a:off x="1902493" y="7725275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grpSp>
          <xdr:nvGrpSpPr>
            <xdr:cNvPr id="23" name="Groupe 22">
              <a:extLst>
                <a:ext uri="{FF2B5EF4-FFF2-40B4-BE49-F238E27FC236}">
                  <a16:creationId xmlns:a16="http://schemas.microsoft.com/office/drawing/2014/main" id="{00000000-0008-0000-0300-000017000000}"/>
                </a:ext>
              </a:extLst>
            </xdr:cNvPr>
            <xdr:cNvGrpSpPr/>
          </xdr:nvGrpSpPr>
          <xdr:grpSpPr>
            <a:xfrm>
              <a:off x="3894722" y="7091611"/>
              <a:ext cx="48348" cy="458633"/>
              <a:chOff x="1957636" y="7315199"/>
              <a:chExt cx="48348" cy="458633"/>
            </a:xfrm>
          </xdr:grpSpPr>
          <xdr:sp macro="" textlink="">
            <xdr:nvSpPr>
              <xdr:cNvPr id="24" name="Ellipse 23">
                <a:extLst>
                  <a:ext uri="{FF2B5EF4-FFF2-40B4-BE49-F238E27FC236}">
                    <a16:creationId xmlns:a16="http://schemas.microsoft.com/office/drawing/2014/main" id="{00000000-0008-0000-0300-000018000000}"/>
                  </a:ext>
                </a:extLst>
              </xdr:cNvPr>
              <xdr:cNvSpPr>
                <a:spLocks/>
              </xdr:cNvSpPr>
            </xdr:nvSpPr>
            <xdr:spPr>
              <a:xfrm>
                <a:off x="1957636" y="7315199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" name="Ellipse 24">
                <a:extLst>
                  <a:ext uri="{FF2B5EF4-FFF2-40B4-BE49-F238E27FC236}">
                    <a16:creationId xmlns:a16="http://schemas.microsoft.com/office/drawing/2014/main" id="{00000000-0008-0000-0300-000019000000}"/>
                  </a:ext>
                </a:extLst>
              </xdr:cNvPr>
              <xdr:cNvSpPr>
                <a:spLocks/>
              </xdr:cNvSpPr>
            </xdr:nvSpPr>
            <xdr:spPr>
              <a:xfrm>
                <a:off x="1957636" y="7725275"/>
                <a:ext cx="48348" cy="48557"/>
              </a:xfrm>
              <a:prstGeom prst="ellipse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15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2362200" y="7639050"/>
            <a:ext cx="1657350" cy="1476375"/>
          </a:xfrm>
          <a:prstGeom prst="rect">
            <a:avLst/>
          </a:prstGeom>
          <a:noFill/>
          <a:ln w="19050">
            <a:solidFill>
              <a:sysClr val="windowText" lastClr="00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3</xdr:col>
      <xdr:colOff>675790</xdr:colOff>
      <xdr:row>38</xdr:row>
      <xdr:rowOff>47625</xdr:rowOff>
    </xdr:from>
    <xdr:to>
      <xdr:col>4</xdr:col>
      <xdr:colOff>285103</xdr:colOff>
      <xdr:row>45</xdr:row>
      <xdr:rowOff>151754</xdr:rowOff>
    </xdr:to>
    <xdr:grpSp>
      <xdr:nvGrpSpPr>
        <xdr:cNvPr id="39" name="Groupe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GrpSpPr/>
      </xdr:nvGrpSpPr>
      <xdr:grpSpPr>
        <a:xfrm>
          <a:off x="1952140" y="8001000"/>
          <a:ext cx="323688" cy="1609079"/>
          <a:chOff x="1993147" y="7680540"/>
          <a:chExt cx="322881" cy="1650731"/>
        </a:xfrm>
      </xdr:grpSpPr>
      <xdr:grpSp>
        <xdr:nvGrpSpPr>
          <xdr:cNvPr id="38" name="Groupe 37">
            <a:extLst>
              <a:ext uri="{FF2B5EF4-FFF2-40B4-BE49-F238E27FC236}">
                <a16:creationId xmlns:a16="http://schemas.microsoft.com/office/drawing/2014/main" id="{00000000-0008-0000-0300-000026000000}"/>
              </a:ext>
            </a:extLst>
          </xdr:cNvPr>
          <xdr:cNvGrpSpPr/>
        </xdr:nvGrpSpPr>
        <xdr:grpSpPr>
          <a:xfrm>
            <a:off x="2056849" y="7680540"/>
            <a:ext cx="0" cy="1650731"/>
            <a:chOff x="2056849" y="7680540"/>
            <a:chExt cx="0" cy="1650731"/>
          </a:xfrm>
        </xdr:grpSpPr>
        <xdr:cxnSp macro="">
          <xdr:nvCxnSpPr>
            <xdr:cNvPr id="21" name="Connecteur droit avec flèche 20">
              <a:extLst>
                <a:ext uri="{FF2B5EF4-FFF2-40B4-BE49-F238E27FC236}">
                  <a16:creationId xmlns:a16="http://schemas.microsoft.com/office/drawing/2014/main" id="{00000000-0008-0000-0300-000015000000}"/>
                </a:ext>
              </a:extLst>
            </xdr:cNvPr>
            <xdr:cNvCxnSpPr/>
          </xdr:nvCxnSpPr>
          <xdr:spPr>
            <a:xfrm>
              <a:off x="2056849" y="7680540"/>
              <a:ext cx="0" cy="1650731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7" name="Connecteur droit avec flèche 26">
              <a:extLst>
                <a:ext uri="{FF2B5EF4-FFF2-40B4-BE49-F238E27FC236}">
                  <a16:creationId xmlns:a16="http://schemas.microsoft.com/office/drawing/2014/main" id="{00000000-0008-0000-0300-00001B000000}"/>
                </a:ext>
              </a:extLst>
            </xdr:cNvPr>
            <xdr:cNvCxnSpPr/>
          </xdr:nvCxnSpPr>
          <xdr:spPr>
            <a:xfrm>
              <a:off x="2056849" y="8036838"/>
              <a:ext cx="0" cy="800746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37" name="Groupe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GrpSpPr/>
        </xdr:nvGrpSpPr>
        <xdr:grpSpPr>
          <a:xfrm>
            <a:off x="1993147" y="7684576"/>
            <a:ext cx="322881" cy="1638946"/>
            <a:chOff x="1993147" y="7684576"/>
            <a:chExt cx="322881" cy="1638946"/>
          </a:xfrm>
        </xdr:grpSpPr>
        <xdr:cxnSp macro="">
          <xdr:nvCxnSpPr>
            <xdr:cNvPr id="33" name="Connecteur droit 32">
              <a:extLst>
                <a:ext uri="{FF2B5EF4-FFF2-40B4-BE49-F238E27FC236}">
                  <a16:creationId xmlns:a16="http://schemas.microsoft.com/office/drawing/2014/main" id="{00000000-0008-0000-0300-000021000000}"/>
                </a:ext>
              </a:extLst>
            </xdr:cNvPr>
            <xdr:cNvCxnSpPr/>
          </xdr:nvCxnSpPr>
          <xdr:spPr>
            <a:xfrm flipH="1">
              <a:off x="1993147" y="7684576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4" name="Connecteur droit 33">
              <a:extLst>
                <a:ext uri="{FF2B5EF4-FFF2-40B4-BE49-F238E27FC236}">
                  <a16:creationId xmlns:a16="http://schemas.microsoft.com/office/drawing/2014/main" id="{00000000-0008-0000-0300-000022000000}"/>
                </a:ext>
              </a:extLst>
            </xdr:cNvPr>
            <xdr:cNvCxnSpPr/>
          </xdr:nvCxnSpPr>
          <xdr:spPr>
            <a:xfrm flipH="1">
              <a:off x="1993147" y="8841137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5" name="Connecteur droit 34">
              <a:extLst>
                <a:ext uri="{FF2B5EF4-FFF2-40B4-BE49-F238E27FC236}">
                  <a16:creationId xmlns:a16="http://schemas.microsoft.com/office/drawing/2014/main" id="{00000000-0008-0000-0300-000023000000}"/>
                </a:ext>
              </a:extLst>
            </xdr:cNvPr>
            <xdr:cNvCxnSpPr/>
          </xdr:nvCxnSpPr>
          <xdr:spPr>
            <a:xfrm flipH="1">
              <a:off x="1993147" y="8037808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6" name="Connecteur droit 35">
              <a:extLst>
                <a:ext uri="{FF2B5EF4-FFF2-40B4-BE49-F238E27FC236}">
                  <a16:creationId xmlns:a16="http://schemas.microsoft.com/office/drawing/2014/main" id="{00000000-0008-0000-0300-000024000000}"/>
                </a:ext>
              </a:extLst>
            </xdr:cNvPr>
            <xdr:cNvCxnSpPr/>
          </xdr:nvCxnSpPr>
          <xdr:spPr>
            <a:xfrm flipH="1">
              <a:off x="1993147" y="9323522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4</xdr:col>
      <xdr:colOff>364856</xdr:colOff>
      <xdr:row>36</xdr:row>
      <xdr:rowOff>176214</xdr:rowOff>
    </xdr:from>
    <xdr:to>
      <xdr:col>6</xdr:col>
      <xdr:colOff>600963</xdr:colOff>
      <xdr:row>37</xdr:row>
      <xdr:rowOff>177586</xdr:rowOff>
    </xdr:to>
    <xdr:grpSp>
      <xdr:nvGrpSpPr>
        <xdr:cNvPr id="53" name="Groupe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GrpSpPr/>
      </xdr:nvGrpSpPr>
      <xdr:grpSpPr>
        <a:xfrm>
          <a:off x="2355581" y="7710489"/>
          <a:ext cx="1664857" cy="229972"/>
          <a:chOff x="2353805" y="7428129"/>
          <a:chExt cx="1663243" cy="191872"/>
        </a:xfrm>
      </xdr:grpSpPr>
      <xdr:grpSp>
        <xdr:nvGrpSpPr>
          <xdr:cNvPr id="52" name="Groupe 51">
            <a:extLst>
              <a:ext uri="{FF2B5EF4-FFF2-40B4-BE49-F238E27FC236}">
                <a16:creationId xmlns:a16="http://schemas.microsoft.com/office/drawing/2014/main" id="{00000000-0008-0000-0300-000034000000}"/>
              </a:ext>
            </a:extLst>
          </xdr:cNvPr>
          <xdr:cNvGrpSpPr/>
        </xdr:nvGrpSpPr>
        <xdr:grpSpPr>
          <a:xfrm>
            <a:off x="2353805" y="7491831"/>
            <a:ext cx="1663243" cy="0"/>
            <a:chOff x="2353805" y="7491831"/>
            <a:chExt cx="1663243" cy="0"/>
          </a:xfrm>
        </xdr:grpSpPr>
        <xdr:cxnSp macro="">
          <xdr:nvCxnSpPr>
            <xdr:cNvPr id="47" name="Connecteur droit avec flèche 46">
              <a:extLst>
                <a:ext uri="{FF2B5EF4-FFF2-40B4-BE49-F238E27FC236}">
                  <a16:creationId xmlns:a16="http://schemas.microsoft.com/office/drawing/2014/main" id="{00000000-0008-0000-0300-00002F000000}"/>
                </a:ext>
              </a:extLst>
            </xdr:cNvPr>
            <xdr:cNvCxnSpPr/>
          </xdr:nvCxnSpPr>
          <xdr:spPr>
            <a:xfrm flipH="1">
              <a:off x="2353805" y="7491831"/>
              <a:ext cx="1663243" cy="0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8" name="Connecteur droit avec flèche 47">
              <a:extLst>
                <a:ext uri="{FF2B5EF4-FFF2-40B4-BE49-F238E27FC236}">
                  <a16:creationId xmlns:a16="http://schemas.microsoft.com/office/drawing/2014/main" id="{00000000-0008-0000-0300-000030000000}"/>
                </a:ext>
              </a:extLst>
            </xdr:cNvPr>
            <xdr:cNvCxnSpPr/>
          </xdr:nvCxnSpPr>
          <xdr:spPr>
            <a:xfrm flipH="1">
              <a:off x="2692104" y="7491831"/>
              <a:ext cx="727210" cy="0"/>
            </a:xfrm>
            <a:prstGeom prst="straightConnector1">
              <a:avLst/>
            </a:prstGeom>
            <a:ln w="6350">
              <a:solidFill>
                <a:srgbClr val="FF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50" name="Groupe 49">
            <a:extLst>
              <a:ext uri="{FF2B5EF4-FFF2-40B4-BE49-F238E27FC236}">
                <a16:creationId xmlns:a16="http://schemas.microsoft.com/office/drawing/2014/main" id="{00000000-0008-0000-0300-000032000000}"/>
              </a:ext>
            </a:extLst>
          </xdr:cNvPr>
          <xdr:cNvGrpSpPr/>
        </xdr:nvGrpSpPr>
        <xdr:grpSpPr>
          <a:xfrm>
            <a:off x="2361150" y="7428129"/>
            <a:ext cx="1651862" cy="191872"/>
            <a:chOff x="2361150" y="7428128"/>
            <a:chExt cx="1651862" cy="322881"/>
          </a:xfrm>
        </xdr:grpSpPr>
        <xdr:cxnSp macro="">
          <xdr:nvCxnSpPr>
            <xdr:cNvPr id="43" name="Connecteur droit 42">
              <a:extLst>
                <a:ext uri="{FF2B5EF4-FFF2-40B4-BE49-F238E27FC236}">
                  <a16:creationId xmlns:a16="http://schemas.microsoft.com/office/drawing/2014/main" id="{00000000-0008-0000-0300-00002B000000}"/>
                </a:ext>
              </a:extLst>
            </xdr:cNvPr>
            <xdr:cNvCxnSpPr/>
          </xdr:nvCxnSpPr>
          <xdr:spPr>
            <a:xfrm rot="5400000" flipH="1">
              <a:off x="3851571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4" name="Connecteur droit 43">
              <a:extLst>
                <a:ext uri="{FF2B5EF4-FFF2-40B4-BE49-F238E27FC236}">
                  <a16:creationId xmlns:a16="http://schemas.microsoft.com/office/drawing/2014/main" id="{00000000-0008-0000-0300-00002C000000}"/>
                </a:ext>
              </a:extLst>
            </xdr:cNvPr>
            <xdr:cNvCxnSpPr/>
          </xdr:nvCxnSpPr>
          <xdr:spPr>
            <a:xfrm rot="5400000" flipH="1">
              <a:off x="2527110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5" name="Connecteur droit 44">
              <a:extLst>
                <a:ext uri="{FF2B5EF4-FFF2-40B4-BE49-F238E27FC236}">
                  <a16:creationId xmlns:a16="http://schemas.microsoft.com/office/drawing/2014/main" id="{00000000-0008-0000-0300-00002D000000}"/>
                </a:ext>
              </a:extLst>
            </xdr:cNvPr>
            <xdr:cNvCxnSpPr/>
          </xdr:nvCxnSpPr>
          <xdr:spPr>
            <a:xfrm rot="5400000" flipH="1">
              <a:off x="3259401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46" name="Connecteur droit 45">
              <a:extLst>
                <a:ext uri="{FF2B5EF4-FFF2-40B4-BE49-F238E27FC236}">
                  <a16:creationId xmlns:a16="http://schemas.microsoft.com/office/drawing/2014/main" id="{00000000-0008-0000-0300-00002E000000}"/>
                </a:ext>
              </a:extLst>
            </xdr:cNvPr>
            <xdr:cNvCxnSpPr/>
          </xdr:nvCxnSpPr>
          <xdr:spPr>
            <a:xfrm rot="5400000" flipH="1">
              <a:off x="2199709" y="7589569"/>
              <a:ext cx="322881" cy="0"/>
            </a:xfrm>
            <a:prstGeom prst="line">
              <a:avLst/>
            </a:prstGeom>
            <a:ln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7</xdr:col>
      <xdr:colOff>29308</xdr:colOff>
      <xdr:row>41</xdr:row>
      <xdr:rowOff>214679</xdr:rowOff>
    </xdr:from>
    <xdr:to>
      <xdr:col>7</xdr:col>
      <xdr:colOff>389308</xdr:colOff>
      <xdr:row>41</xdr:row>
      <xdr:rowOff>214679</xdr:rowOff>
    </xdr:to>
    <xdr:cxnSp macro="">
      <xdr:nvCxnSpPr>
        <xdr:cNvPr id="55" name="Connecteur droit avec flèche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CxnSpPr/>
      </xdr:nvCxnSpPr>
      <xdr:spPr>
        <a:xfrm>
          <a:off x="4163158" y="8025179"/>
          <a:ext cx="360000" cy="0"/>
        </a:xfrm>
        <a:prstGeom prst="straightConnector1">
          <a:avLst/>
        </a:prstGeom>
        <a:ln w="31750"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284284</xdr:colOff>
      <xdr:row>45</xdr:row>
      <xdr:rowOff>205884</xdr:rowOff>
    </xdr:from>
    <xdr:to>
      <xdr:col>5</xdr:col>
      <xdr:colOff>284284</xdr:colOff>
      <xdr:row>47</xdr:row>
      <xdr:rowOff>111615</xdr:rowOff>
    </xdr:to>
    <xdr:cxnSp macro="">
      <xdr:nvCxnSpPr>
        <xdr:cNvPr id="56" name="Connecteur droit avec flèche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CxnSpPr/>
      </xdr:nvCxnSpPr>
      <xdr:spPr>
        <a:xfrm>
          <a:off x="2989384" y="8911734"/>
          <a:ext cx="0" cy="362931"/>
        </a:xfrm>
        <a:prstGeom prst="straightConnector1">
          <a:avLst/>
        </a:prstGeom>
        <a:ln w="31750"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186657</xdr:colOff>
      <xdr:row>50</xdr:row>
      <xdr:rowOff>35734</xdr:rowOff>
    </xdr:from>
    <xdr:ext cx="566181" cy="151836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8" name="ZoneTexte 57">
              <a:extLst>
                <a:ext uri="{FF2B5EF4-FFF2-40B4-BE49-F238E27FC236}">
                  <a16:creationId xmlns:a16="http://schemas.microsoft.com/office/drawing/2014/main" id="{00000000-0008-0000-0300-00003A000000}"/>
                </a:ext>
              </a:extLst>
            </xdr:cNvPr>
            <xdr:cNvSpPr txBox="1"/>
          </xdr:nvSpPr>
          <xdr:spPr>
            <a:xfrm>
              <a:off x="2177382" y="9894109"/>
              <a:ext cx="566181" cy="15183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𝑔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58" name="ZoneTexte 57">
              <a:extLst>
                <a:ext uri="{FF2B5EF4-FFF2-40B4-BE49-F238E27FC236}">
                  <a16:creationId xmlns:a16="http://schemas.microsoft.com/office/drawing/2014/main" id="{4C55E37C-E3CF-C3EC-5A68-6609FFD16837}"/>
                </a:ext>
              </a:extLst>
            </xdr:cNvPr>
            <xdr:cNvSpPr txBox="1"/>
          </xdr:nvSpPr>
          <xdr:spPr>
            <a:xfrm>
              <a:off x="2177382" y="9894109"/>
              <a:ext cx="566181" cy="15183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𝑒_(1,𝑔)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296816</xdr:colOff>
      <xdr:row>49</xdr:row>
      <xdr:rowOff>53422</xdr:rowOff>
    </xdr:from>
    <xdr:ext cx="456022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0" name="ZoneTexte 59">
              <a:extLst>
                <a:ext uri="{FF2B5EF4-FFF2-40B4-BE49-F238E27FC236}">
                  <a16:creationId xmlns:a16="http://schemas.microsoft.com/office/drawing/2014/main" id="{00000000-0008-0000-0300-00003C000000}"/>
                </a:ext>
              </a:extLst>
            </xdr:cNvPr>
            <xdr:cNvSpPr txBox="1"/>
          </xdr:nvSpPr>
          <xdr:spPr>
            <a:xfrm>
              <a:off x="2287541" y="9673672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𝑢𝑏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0" name="ZoneTexte 59">
              <a:extLst>
                <a:ext uri="{FF2B5EF4-FFF2-40B4-BE49-F238E27FC236}">
                  <a16:creationId xmlns:a16="http://schemas.microsoft.com/office/drawing/2014/main" id="{EFAE7E5D-5ADB-4293-B848-4EC3CDC4BAC2}"/>
                </a:ext>
              </a:extLst>
            </xdr:cNvPr>
            <xdr:cNvSpPr txBox="1"/>
          </xdr:nvSpPr>
          <xdr:spPr>
            <a:xfrm>
              <a:off x="2287541" y="9673672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𝑓_𝑢𝑏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</a:t>
              </a:r>
              <a:r>
                <a:rPr lang="fr-FR" sz="900" b="0" i="0">
                  <a:latin typeface="Cambria Math" panose="02040503050406030204" pitchFamily="18" charset="0"/>
                </a:rPr>
                <a:t>𝑓_𝑢 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183067</xdr:colOff>
      <xdr:row>52</xdr:row>
      <xdr:rowOff>30372</xdr:rowOff>
    </xdr:from>
    <xdr:ext cx="569771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1" name="ZoneTexte 60">
              <a:extLst>
                <a:ext uri="{FF2B5EF4-FFF2-40B4-BE49-F238E27FC236}">
                  <a16:creationId xmlns:a16="http://schemas.microsoft.com/office/drawing/2014/main" id="{00000000-0008-0000-0300-00003D000000}"/>
                </a:ext>
              </a:extLst>
            </xdr:cNvPr>
            <xdr:cNvSpPr txBox="1"/>
          </xdr:nvSpPr>
          <xdr:spPr>
            <a:xfrm>
              <a:off x="2173792" y="10345947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1" name="ZoneTexte 60">
              <a:extLst>
                <a:ext uri="{FF2B5EF4-FFF2-40B4-BE49-F238E27FC236}">
                  <a16:creationId xmlns:a16="http://schemas.microsoft.com/office/drawing/2014/main" id="{1BE1A59F-462E-4444-A613-6AB55EDA001D}"/>
                </a:ext>
              </a:extLst>
            </xdr:cNvPr>
            <xdr:cNvSpPr txBox="1"/>
          </xdr:nvSpPr>
          <xdr:spPr>
            <a:xfrm>
              <a:off x="2173792" y="10345947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𝑒_(1,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𝑑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611402</xdr:colOff>
      <xdr:row>51</xdr:row>
      <xdr:rowOff>38535</xdr:rowOff>
    </xdr:from>
    <xdr:ext cx="855811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2" name="ZoneTexte 61">
              <a:extLst>
                <a:ext uri="{FF2B5EF4-FFF2-40B4-BE49-F238E27FC236}">
                  <a16:creationId xmlns:a16="http://schemas.microsoft.com/office/drawing/2014/main" id="{00000000-0008-0000-0300-00003E000000}"/>
                </a:ext>
              </a:extLst>
            </xdr:cNvPr>
            <xdr:cNvSpPr txBox="1"/>
          </xdr:nvSpPr>
          <xdr:spPr>
            <a:xfrm>
              <a:off x="1887752" y="10125510"/>
              <a:ext cx="855811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−0.25=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2" name="ZoneTexte 61">
              <a:extLst>
                <a:ext uri="{FF2B5EF4-FFF2-40B4-BE49-F238E27FC236}">
                  <a16:creationId xmlns:a16="http://schemas.microsoft.com/office/drawing/2014/main" id="{7B75FAA0-8C89-4D79-9E1D-A421B275546E}"/>
                </a:ext>
              </a:extLst>
            </xdr:cNvPr>
            <xdr:cNvSpPr txBox="1"/>
          </xdr:nvSpPr>
          <xdr:spPr>
            <a:xfrm>
              <a:off x="1887752" y="10125510"/>
              <a:ext cx="855811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_1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−0.25=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478673</xdr:colOff>
      <xdr:row>54</xdr:row>
      <xdr:rowOff>59968</xdr:rowOff>
    </xdr:from>
    <xdr:ext cx="988540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4" name="ZoneTexte 63">
              <a:extLst>
                <a:ext uri="{FF2B5EF4-FFF2-40B4-BE49-F238E27FC236}">
                  <a16:creationId xmlns:a16="http://schemas.microsoft.com/office/drawing/2014/main" id="{00000000-0008-0000-0300-000040000000}"/>
                </a:ext>
              </a:extLst>
            </xdr:cNvPr>
            <xdr:cNvSpPr txBox="1"/>
          </xdr:nvSpPr>
          <xdr:spPr>
            <a:xfrm>
              <a:off x="1755023" y="10794643"/>
              <a:ext cx="988540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1.4∗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4" name="ZoneTexte 63">
              <a:extLst>
                <a:ext uri="{FF2B5EF4-FFF2-40B4-BE49-F238E27FC236}">
                  <a16:creationId xmlns:a16="http://schemas.microsoft.com/office/drawing/2014/main" id="{E97DCAE6-F6CF-4794-9149-3CF2701E7F4B}"/>
                </a:ext>
              </a:extLst>
            </xdr:cNvPr>
            <xdr:cNvSpPr txBox="1"/>
          </xdr:nvSpPr>
          <xdr:spPr>
            <a:xfrm>
              <a:off x="1755023" y="10794643"/>
              <a:ext cx="988540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1.4∗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413783</xdr:colOff>
      <xdr:row>53</xdr:row>
      <xdr:rowOff>64220</xdr:rowOff>
    </xdr:from>
    <xdr:ext cx="1053430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5" name="ZoneTexte 64">
              <a:extLst>
                <a:ext uri="{FF2B5EF4-FFF2-40B4-BE49-F238E27FC236}">
                  <a16:creationId xmlns:a16="http://schemas.microsoft.com/office/drawing/2014/main" id="{00000000-0008-0000-0300-000041000000}"/>
                </a:ext>
              </a:extLst>
            </xdr:cNvPr>
            <xdr:cNvSpPr txBox="1"/>
          </xdr:nvSpPr>
          <xdr:spPr>
            <a:xfrm>
              <a:off x="1690133" y="10570295"/>
              <a:ext cx="1053430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h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5" name="ZoneTexte 64">
              <a:extLst>
                <a:ext uri="{FF2B5EF4-FFF2-40B4-BE49-F238E27FC236}">
                  <a16:creationId xmlns:a16="http://schemas.microsoft.com/office/drawing/2014/main" id="{5AAC22EB-2664-44D7-A789-CEA7DA45A386}"/>
                </a:ext>
              </a:extLst>
            </xdr:cNvPr>
            <xdr:cNvSpPr txBox="1"/>
          </xdr:nvSpPr>
          <xdr:spPr>
            <a:xfrm>
              <a:off x="1690133" y="10570295"/>
              <a:ext cx="1053430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2,ℎ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415578</xdr:colOff>
      <xdr:row>55</xdr:row>
      <xdr:rowOff>51803</xdr:rowOff>
    </xdr:from>
    <xdr:ext cx="1051635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6" name="ZoneTexte 65">
              <a:extLst>
                <a:ext uri="{FF2B5EF4-FFF2-40B4-BE49-F238E27FC236}">
                  <a16:creationId xmlns:a16="http://schemas.microsoft.com/office/drawing/2014/main" id="{00000000-0008-0000-0300-000042000000}"/>
                </a:ext>
              </a:extLst>
            </xdr:cNvPr>
            <xdr:cNvSpPr txBox="1"/>
          </xdr:nvSpPr>
          <xdr:spPr>
            <a:xfrm>
              <a:off x="1691928" y="11015078"/>
              <a:ext cx="1051635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6" name="ZoneTexte 65">
              <a:extLst>
                <a:ext uri="{FF2B5EF4-FFF2-40B4-BE49-F238E27FC236}">
                  <a16:creationId xmlns:a16="http://schemas.microsoft.com/office/drawing/2014/main" id="{B138984C-1D84-4DC3-A098-AA24EF8593C4}"/>
                </a:ext>
              </a:extLst>
            </xdr:cNvPr>
            <xdr:cNvSpPr txBox="1"/>
          </xdr:nvSpPr>
          <xdr:spPr>
            <a:xfrm>
              <a:off x="1691928" y="11015078"/>
              <a:ext cx="1051635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2,𝑏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183067</xdr:colOff>
      <xdr:row>72</xdr:row>
      <xdr:rowOff>35734</xdr:rowOff>
    </xdr:from>
    <xdr:ext cx="569771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7" name="ZoneTexte 66">
              <a:extLst>
                <a:ext uri="{FF2B5EF4-FFF2-40B4-BE49-F238E27FC236}">
                  <a16:creationId xmlns:a16="http://schemas.microsoft.com/office/drawing/2014/main" id="{00000000-0008-0000-0300-000043000000}"/>
                </a:ext>
              </a:extLst>
            </xdr:cNvPr>
            <xdr:cNvSpPr txBox="1"/>
          </xdr:nvSpPr>
          <xdr:spPr>
            <a:xfrm>
              <a:off x="2173792" y="14694709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h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7" name="ZoneTexte 66">
              <a:extLst>
                <a:ext uri="{FF2B5EF4-FFF2-40B4-BE49-F238E27FC236}">
                  <a16:creationId xmlns:a16="http://schemas.microsoft.com/office/drawing/2014/main" id="{3F1F6D06-5831-4FDB-98A0-D6F1DEFBEB7F}"/>
                </a:ext>
              </a:extLst>
            </xdr:cNvPr>
            <xdr:cNvSpPr txBox="1"/>
          </xdr:nvSpPr>
          <xdr:spPr>
            <a:xfrm>
              <a:off x="2173792" y="14694709"/>
              <a:ext cx="569771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ℎ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296816</xdr:colOff>
      <xdr:row>71</xdr:row>
      <xdr:rowOff>53422</xdr:rowOff>
    </xdr:from>
    <xdr:ext cx="456022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8" name="ZoneTexte 67">
              <a:extLst>
                <a:ext uri="{FF2B5EF4-FFF2-40B4-BE49-F238E27FC236}">
                  <a16:creationId xmlns:a16="http://schemas.microsoft.com/office/drawing/2014/main" id="{00000000-0008-0000-0300-000044000000}"/>
                </a:ext>
              </a:extLst>
            </xdr:cNvPr>
            <xdr:cNvSpPr txBox="1"/>
          </xdr:nvSpPr>
          <xdr:spPr>
            <a:xfrm>
              <a:off x="2287541" y="14483797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𝑢𝑏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𝑓</m:t>
                            </m:r>
                          </m:e>
                          <m:sub>
                            <m:r>
                              <a:rPr lang="fr-FR" sz="9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8" name="ZoneTexte 67">
              <a:extLst>
                <a:ext uri="{FF2B5EF4-FFF2-40B4-BE49-F238E27FC236}">
                  <a16:creationId xmlns:a16="http://schemas.microsoft.com/office/drawing/2014/main" id="{EF3D2306-5123-4072-A1B6-1C2853D3E1EF}"/>
                </a:ext>
              </a:extLst>
            </xdr:cNvPr>
            <xdr:cNvSpPr txBox="1"/>
          </xdr:nvSpPr>
          <xdr:spPr>
            <a:xfrm>
              <a:off x="2287541" y="14483797"/>
              <a:ext cx="456022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𝑓_𝑢𝑏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</a:t>
              </a:r>
              <a:r>
                <a:rPr lang="fr-FR" sz="900" b="0" i="0">
                  <a:latin typeface="Cambria Math" panose="02040503050406030204" pitchFamily="18" charset="0"/>
                </a:rPr>
                <a:t>𝑓_𝑢 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4</xdr:col>
      <xdr:colOff>131001</xdr:colOff>
      <xdr:row>74</xdr:row>
      <xdr:rowOff>30372</xdr:rowOff>
    </xdr:from>
    <xdr:ext cx="621837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9" name="ZoneTexte 68">
              <a:extLst>
                <a:ext uri="{FF2B5EF4-FFF2-40B4-BE49-F238E27FC236}">
                  <a16:creationId xmlns:a16="http://schemas.microsoft.com/office/drawing/2014/main" id="{00000000-0008-0000-0300-000045000000}"/>
                </a:ext>
              </a:extLst>
            </xdr:cNvPr>
            <xdr:cNvSpPr txBox="1"/>
          </xdr:nvSpPr>
          <xdr:spPr>
            <a:xfrm>
              <a:off x="2121726" y="15146547"/>
              <a:ext cx="621837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𝑑𝑏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69" name="ZoneTexte 68">
              <a:extLst>
                <a:ext uri="{FF2B5EF4-FFF2-40B4-BE49-F238E27FC236}">
                  <a16:creationId xmlns:a16="http://schemas.microsoft.com/office/drawing/2014/main" id="{4280DF22-3158-4865-AC21-6F116D19E8F7}"/>
                </a:ext>
              </a:extLst>
            </xdr:cNvPr>
            <xdr:cNvSpPr txBox="1"/>
          </xdr:nvSpPr>
          <xdr:spPr>
            <a:xfrm>
              <a:off x="2121726" y="15146547"/>
              <a:ext cx="621837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𝑒_(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𝑑𝑏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609349</xdr:colOff>
      <xdr:row>73</xdr:row>
      <xdr:rowOff>38535</xdr:rowOff>
    </xdr:from>
    <xdr:ext cx="857864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0" name="ZoneTexte 69">
              <a:extLst>
                <a:ext uri="{FF2B5EF4-FFF2-40B4-BE49-F238E27FC236}">
                  <a16:creationId xmlns:a16="http://schemas.microsoft.com/office/drawing/2014/main" id="{00000000-0008-0000-0300-000046000000}"/>
                </a:ext>
              </a:extLst>
            </xdr:cNvPr>
            <xdr:cNvSpPr txBox="1"/>
          </xdr:nvSpPr>
          <xdr:spPr>
            <a:xfrm>
              <a:off x="1885699" y="14926110"/>
              <a:ext cx="857864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b>
                        </m:sSub>
                      </m:num>
                      <m:den>
                        <m:r>
                          <a:rPr lang="fr-FR" sz="9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3</m:t>
                        </m:r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−0.25=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0" name="ZoneTexte 69">
              <a:extLst>
                <a:ext uri="{FF2B5EF4-FFF2-40B4-BE49-F238E27FC236}">
                  <a16:creationId xmlns:a16="http://schemas.microsoft.com/office/drawing/2014/main" id="{C2BB4A9C-F7C1-4DED-80B0-0C7B3FA2A7AC}"/>
                </a:ext>
              </a:extLst>
            </xdr:cNvPr>
            <xdr:cNvSpPr txBox="1"/>
          </xdr:nvSpPr>
          <xdr:spPr>
            <a:xfrm>
              <a:off x="1885699" y="14926110"/>
              <a:ext cx="857864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2∕〖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〗</a:t>
              </a:r>
              <a:r>
                <a:rPr lang="fr-FR" sz="900" b="0" i="0">
                  <a:latin typeface="Cambria Math" panose="02040503050406030204" pitchFamily="18" charset="0"/>
                </a:rPr>
                <a:t>−0.25=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481367</xdr:colOff>
      <xdr:row>76</xdr:row>
      <xdr:rowOff>59968</xdr:rowOff>
    </xdr:from>
    <xdr:ext cx="985846" cy="14087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1" name="ZoneTexte 70">
              <a:extLst>
                <a:ext uri="{FF2B5EF4-FFF2-40B4-BE49-F238E27FC236}">
                  <a16:creationId xmlns:a16="http://schemas.microsoft.com/office/drawing/2014/main" id="{00000000-0008-0000-0300-000047000000}"/>
                </a:ext>
              </a:extLst>
            </xdr:cNvPr>
            <xdr:cNvSpPr txBox="1"/>
          </xdr:nvSpPr>
          <xdr:spPr>
            <a:xfrm>
              <a:off x="1757717" y="15595243"/>
              <a:ext cx="985846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1.4∗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𝑝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1" name="ZoneTexte 70">
              <a:extLst>
                <a:ext uri="{FF2B5EF4-FFF2-40B4-BE49-F238E27FC236}">
                  <a16:creationId xmlns:a16="http://schemas.microsoft.com/office/drawing/2014/main" id="{8ADE441B-6EDC-4479-8E66-EB7C10BA96F7}"/>
                </a:ext>
              </a:extLst>
            </xdr:cNvPr>
            <xdr:cNvSpPr txBox="1"/>
          </xdr:nvSpPr>
          <xdr:spPr>
            <a:xfrm>
              <a:off x="1757717" y="15595243"/>
              <a:ext cx="985846" cy="14087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1.4∗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𝑝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413976</xdr:colOff>
      <xdr:row>75</xdr:row>
      <xdr:rowOff>64220</xdr:rowOff>
    </xdr:from>
    <xdr:ext cx="1053237" cy="14997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2" name="ZoneTexte 71">
              <a:extLst>
                <a:ext uri="{FF2B5EF4-FFF2-40B4-BE49-F238E27FC236}">
                  <a16:creationId xmlns:a16="http://schemas.microsoft.com/office/drawing/2014/main" id="{00000000-0008-0000-0300-000048000000}"/>
                </a:ext>
              </a:extLst>
            </xdr:cNvPr>
            <xdr:cNvSpPr txBox="1"/>
          </xdr:nvSpPr>
          <xdr:spPr>
            <a:xfrm>
              <a:off x="1690326" y="15370895"/>
              <a:ext cx="1053237" cy="1499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𝑔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2" name="ZoneTexte 71">
              <a:extLst>
                <a:ext uri="{FF2B5EF4-FFF2-40B4-BE49-F238E27FC236}">
                  <a16:creationId xmlns:a16="http://schemas.microsoft.com/office/drawing/2014/main" id="{B0E1FA08-CE47-4B51-B03F-EB1F684DF0CB}"/>
                </a:ext>
              </a:extLst>
            </xdr:cNvPr>
            <xdr:cNvSpPr txBox="1"/>
          </xdr:nvSpPr>
          <xdr:spPr>
            <a:xfrm>
              <a:off x="1690326" y="15370895"/>
              <a:ext cx="1053237" cy="14997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1,𝑔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3</xdr:col>
      <xdr:colOff>414425</xdr:colOff>
      <xdr:row>77</xdr:row>
      <xdr:rowOff>51803</xdr:rowOff>
    </xdr:from>
    <xdr:ext cx="1052788" cy="14478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3" name="ZoneTexte 72">
              <a:extLst>
                <a:ext uri="{FF2B5EF4-FFF2-40B4-BE49-F238E27FC236}">
                  <a16:creationId xmlns:a16="http://schemas.microsoft.com/office/drawing/2014/main" id="{00000000-0008-0000-0300-000049000000}"/>
                </a:ext>
              </a:extLst>
            </xdr:cNvPr>
            <xdr:cNvSpPr txBox="1"/>
          </xdr:nvSpPr>
          <xdr:spPr>
            <a:xfrm>
              <a:off x="1690775" y="15815678"/>
              <a:ext cx="1052788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type m:val="lin"/>
                        <m:ctrlPr>
                          <a:rPr lang="fr-FR" sz="9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fr-FR" sz="900" b="0" i="1">
                            <a:latin typeface="Cambria Math" panose="02040503050406030204" pitchFamily="18" charset="0"/>
                          </a:rPr>
                          <m:t>2.8∗</m:t>
                        </m:r>
                        <m:sSub>
                          <m:sSubPr>
                            <m:ctrlPr>
                              <a:rPr lang="fr-FR" sz="9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𝑒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1,</m:t>
                            </m:r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bPr>
                          <m:e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𝑑</m:t>
                            </m:r>
                          </m:e>
                          <m:sub>
                            <m:r>
                              <a:rPr lang="fr-FR" sz="9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0</m:t>
                            </m:r>
                          </m:sub>
                        </m:sSub>
                      </m:den>
                    </m:f>
                    <m:r>
                      <a:rPr lang="fr-FR" sz="900" b="0" i="1">
                        <a:latin typeface="Cambria Math" panose="02040503050406030204" pitchFamily="18" charset="0"/>
                      </a:rPr>
                      <m:t>−1.7=</m:t>
                    </m:r>
                  </m:oMath>
                </m:oMathPara>
              </a14:m>
              <a:endParaRPr lang="fr-FR" sz="900"/>
            </a:p>
          </xdr:txBody>
        </xdr:sp>
      </mc:Choice>
      <mc:Fallback xmlns="">
        <xdr:sp macro="" textlink="">
          <xdr:nvSpPr>
            <xdr:cNvPr id="73" name="ZoneTexte 72">
              <a:extLst>
                <a:ext uri="{FF2B5EF4-FFF2-40B4-BE49-F238E27FC236}">
                  <a16:creationId xmlns:a16="http://schemas.microsoft.com/office/drawing/2014/main" id="{2209AA3C-E2BC-48A3-AC90-CEFCEDD6EA39}"/>
                </a:ext>
              </a:extLst>
            </xdr:cNvPr>
            <xdr:cNvSpPr txBox="1"/>
          </xdr:nvSpPr>
          <xdr:spPr>
            <a:xfrm>
              <a:off x="1690775" y="15815678"/>
              <a:ext cx="1052788" cy="14478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900" i="0">
                  <a:latin typeface="Cambria Math" panose="02040503050406030204" pitchFamily="18" charset="0"/>
                </a:rPr>
                <a:t>〖</a:t>
              </a:r>
              <a:r>
                <a:rPr lang="fr-FR" sz="900" b="0" i="0">
                  <a:latin typeface="Cambria Math" panose="02040503050406030204" pitchFamily="18" charset="0"/>
                </a:rPr>
                <a:t>2.8∗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𝑒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1,𝑑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〗∕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𝑑_0</a:t>
              </a:r>
              <a:r>
                <a:rPr lang="fr-FR" sz="9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</a:t>
              </a:r>
              <a:r>
                <a:rPr lang="fr-FR" sz="900" b="0" i="0">
                  <a:latin typeface="Cambria Math" panose="02040503050406030204" pitchFamily="18" charset="0"/>
                </a:rPr>
                <a:t>−1.7=</a:t>
              </a:r>
              <a:endParaRPr lang="fr-FR" sz="900"/>
            </a:p>
          </xdr:txBody>
        </xdr:sp>
      </mc:Fallback>
    </mc:AlternateContent>
    <xdr:clientData/>
  </xdr:oneCellAnchor>
  <xdr:oneCellAnchor>
    <xdr:from>
      <xdr:col>6</xdr:col>
      <xdr:colOff>461601</xdr:colOff>
      <xdr:row>92</xdr:row>
      <xdr:rowOff>45170</xdr:rowOff>
    </xdr:from>
    <xdr:ext cx="1661865" cy="4242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4" name="ZoneTexte 73">
              <a:extLst>
                <a:ext uri="{FF2B5EF4-FFF2-40B4-BE49-F238E27FC236}">
                  <a16:creationId xmlns:a16="http://schemas.microsoft.com/office/drawing/2014/main" id="{00000000-0008-0000-0300-00004A000000}"/>
                </a:ext>
              </a:extLst>
            </xdr:cNvPr>
            <xdr:cNvSpPr txBox="1"/>
          </xdr:nvSpPr>
          <xdr:spPr>
            <a:xfrm>
              <a:off x="3881076" y="19085645"/>
              <a:ext cx="1661865" cy="424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d>
                          <m:dPr>
                            <m:ctrlPr>
                              <a:rPr lang="fr-FR" sz="11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fr-F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𝒍𝒈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𝑬𝒅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𝒃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𝒍𝒈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𝑹𝒅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  <m:sup>
                        <m: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𝟐</m:t>
                        </m:r>
                      </m:sup>
                    </m:sSup>
                    <m:r>
                      <a:rPr lang="fr-FR" sz="1100" b="1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</m:t>
                    </m:r>
                    <m:sSup>
                      <m:sSupPr>
                        <m:ctrlP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d>
                          <m:dPr>
                            <m:ctrlPr>
                              <a:rPr lang="fr-FR" sz="1100" b="1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fr-FR" sz="1100" b="1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𝒕𝒓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𝑬𝒅</m:t>
                                    </m:r>
                                  </m:sub>
                                </m:sSub>
                              </m:num>
                              <m:den>
                                <m:sSub>
                                  <m:sSubPr>
                                    <m:ctrlP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Pr>
                                  <m:e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𝑭</m:t>
                                    </m:r>
                                  </m:e>
                                  <m:sub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𝒃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𝒕𝒓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,</m:t>
                                    </m:r>
                                    <m:r>
                                      <a:rPr lang="fr-FR" sz="1100" b="1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𝑹𝒅</m:t>
                                    </m:r>
                                  </m:sub>
                                </m:sSub>
                              </m:den>
                            </m:f>
                          </m:e>
                        </m:d>
                      </m:e>
                      <m:sup>
                        <m:r>
                          <a:rPr lang="fr-FR" sz="1100" b="1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𝟐</m:t>
                        </m:r>
                      </m:sup>
                    </m:sSup>
                    <m:r>
                      <a:rPr lang="fr-FR" sz="900" b="1" i="1">
                        <a:latin typeface="Cambria Math" panose="02040503050406030204" pitchFamily="18" charset="0"/>
                      </a:rPr>
                      <m:t>=</m:t>
                    </m:r>
                  </m:oMath>
                </m:oMathPara>
              </a14:m>
              <a:endParaRPr lang="fr-FR" sz="900" b="1"/>
            </a:p>
          </xdr:txBody>
        </xdr:sp>
      </mc:Choice>
      <mc:Fallback xmlns="">
        <xdr:sp macro="" textlink="">
          <xdr:nvSpPr>
            <xdr:cNvPr id="74" name="ZoneTexte 73">
              <a:extLst>
                <a:ext uri="{FF2B5EF4-FFF2-40B4-BE49-F238E27FC236}">
                  <a16:creationId xmlns:a16="http://schemas.microsoft.com/office/drawing/2014/main" id="{4354C21F-4913-448E-86D0-27478E00F6B1}"/>
                </a:ext>
              </a:extLst>
            </xdr:cNvPr>
            <xdr:cNvSpPr txBox="1"/>
          </xdr:nvSpPr>
          <xdr:spPr>
            <a:xfrm>
              <a:off x="3881076" y="19085645"/>
              <a:ext cx="1661865" cy="424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fr-FR" sz="1100" b="1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(𝑭_(𝒍𝒈,𝑬𝒅)/𝑭_(𝒃,𝒍𝒈,𝑹𝒅) )^𝟐+(𝑭_(𝒕𝒓,𝑬𝒅)/𝑭_(𝒃,𝒕𝒓,𝑹𝒅) )^𝟐</a:t>
              </a:r>
              <a:r>
                <a:rPr lang="fr-FR" sz="900" b="1" i="0">
                  <a:latin typeface="Cambria Math" panose="02040503050406030204" pitchFamily="18" charset="0"/>
                </a:rPr>
                <a:t>=</a:t>
              </a:r>
              <a:endParaRPr lang="fr-FR" sz="900" b="1"/>
            </a:p>
          </xdr:txBody>
        </xdr:sp>
      </mc:Fallback>
    </mc:AlternateContent>
    <xdr:clientData/>
  </xdr:oneCellAnchor>
  <xdr:twoCellAnchor editAs="oneCell">
    <xdr:from>
      <xdr:col>11</xdr:col>
      <xdr:colOff>390525</xdr:colOff>
      <xdr:row>27</xdr:row>
      <xdr:rowOff>66675</xdr:rowOff>
    </xdr:from>
    <xdr:to>
      <xdr:col>17</xdr:col>
      <xdr:colOff>1725</xdr:colOff>
      <xdr:row>33</xdr:row>
      <xdr:rowOff>162502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4CC18030-8CD6-1DB9-5E94-04377AD82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10375" y="5448300"/>
          <a:ext cx="4268925" cy="142932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578219</xdr:colOff>
      <xdr:row>3</xdr:row>
      <xdr:rowOff>113996</xdr:rowOff>
    </xdr:from>
    <xdr:to>
      <xdr:col>9</xdr:col>
      <xdr:colOff>322076</xdr:colOff>
      <xdr:row>5</xdr:row>
      <xdr:rowOff>76191</xdr:rowOff>
    </xdr:to>
    <xdr:grpSp>
      <xdr:nvGrpSpPr>
        <xdr:cNvPr id="15" name="Groupe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GrpSpPr>
          <a:grpSpLocks noChangeAspect="1"/>
        </xdr:cNvGrpSpPr>
      </xdr:nvGrpSpPr>
      <xdr:grpSpPr>
        <a:xfrm>
          <a:off x="4331069" y="685496"/>
          <a:ext cx="1886982" cy="390820"/>
          <a:chOff x="4379306" y="1964122"/>
          <a:chExt cx="1573845" cy="323233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>
          <a:xfrm>
            <a:off x="5293815" y="1995486"/>
            <a:ext cx="30026" cy="269419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" name="Rectangle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SpPr/>
        </xdr:nvSpPr>
        <xdr:spPr>
          <a:xfrm>
            <a:off x="4723040" y="1973034"/>
            <a:ext cx="570493" cy="314321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/>
        </xdr:nvSpPr>
        <xdr:spPr>
          <a:xfrm>
            <a:off x="4976925" y="1995486"/>
            <a:ext cx="570493" cy="269418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/>
        </xdr:nvSpPr>
        <xdr:spPr>
          <a:xfrm>
            <a:off x="4953183" y="1995486"/>
            <a:ext cx="30026" cy="269419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8" name="Connecteur droit avec flèche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CxnSpPr/>
        </xdr:nvCxnSpPr>
        <xdr:spPr>
          <a:xfrm>
            <a:off x="5578928" y="2130195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ZoneTexte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 txBox="1"/>
        </xdr:nvSpPr>
        <xdr:spPr>
          <a:xfrm>
            <a:off x="5696477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0" name="Connecteur droit avec flèche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CxnSpPr/>
        </xdr:nvCxnSpPr>
        <xdr:spPr>
          <a:xfrm>
            <a:off x="4392385" y="2130195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" name="ZoneTexte 10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SpPr txBox="1"/>
        </xdr:nvSpPr>
        <xdr:spPr>
          <a:xfrm>
            <a:off x="4379306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3" name="Connecteur droit avec flèche 12">
            <a:extLst>
              <a:ext uri="{FF2B5EF4-FFF2-40B4-BE49-F238E27FC236}">
                <a16:creationId xmlns:a16="http://schemas.microsoft.com/office/drawing/2014/main" id="{00000000-0008-0000-0400-00000D000000}"/>
              </a:ext>
            </a:extLst>
          </xdr:cNvPr>
          <xdr:cNvCxnSpPr/>
        </xdr:nvCxnSpPr>
        <xdr:spPr>
          <a:xfrm>
            <a:off x="4898571" y="1995486"/>
            <a:ext cx="0" cy="269418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ZoneTexte 13">
            <a:extLst>
              <a:ext uri="{FF2B5EF4-FFF2-40B4-BE49-F238E27FC236}">
                <a16:creationId xmlns:a16="http://schemas.microsoft.com/office/drawing/2014/main" id="{00000000-0008-0000-0400-00000E000000}"/>
              </a:ext>
            </a:extLst>
          </xdr:cNvPr>
          <xdr:cNvSpPr txBox="1"/>
        </xdr:nvSpPr>
        <xdr:spPr>
          <a:xfrm>
            <a:off x="4740064" y="2072862"/>
            <a:ext cx="257528" cy="14716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</xdr:grpSp>
    <xdr:clientData/>
  </xdr:twoCellAnchor>
  <xdr:twoCellAnchor editAs="oneCell">
    <xdr:from>
      <xdr:col>6</xdr:col>
      <xdr:colOff>579620</xdr:colOff>
      <xdr:row>10</xdr:row>
      <xdr:rowOff>13607</xdr:rowOff>
    </xdr:from>
    <xdr:to>
      <xdr:col>9</xdr:col>
      <xdr:colOff>320675</xdr:colOff>
      <xdr:row>12</xdr:row>
      <xdr:rowOff>131958</xdr:rowOff>
    </xdr:to>
    <xdr:grpSp>
      <xdr:nvGrpSpPr>
        <xdr:cNvPr id="16" name="Groupe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pSpPr>
          <a:grpSpLocks noChangeAspect="1"/>
        </xdr:cNvGrpSpPr>
      </xdr:nvGrpSpPr>
      <xdr:grpSpPr>
        <a:xfrm>
          <a:off x="4332470" y="2128157"/>
          <a:ext cx="1884180" cy="546976"/>
          <a:chOff x="4379306" y="1828389"/>
          <a:chExt cx="1573845" cy="458966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00000000-0008-0000-0400-000011000000}"/>
              </a:ext>
            </a:extLst>
          </xdr:cNvPr>
          <xdr:cNvSpPr/>
        </xdr:nvSpPr>
        <xdr:spPr>
          <a:xfrm>
            <a:off x="4999584" y="2239359"/>
            <a:ext cx="300259" cy="30187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00000000-0008-0000-0400-000012000000}"/>
              </a:ext>
            </a:extLst>
          </xdr:cNvPr>
          <xdr:cNvSpPr/>
        </xdr:nvSpPr>
        <xdr:spPr>
          <a:xfrm>
            <a:off x="4727712" y="1973034"/>
            <a:ext cx="570493" cy="314321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9" name="Rectangle 18">
            <a:extLst>
              <a:ext uri="{FF2B5EF4-FFF2-40B4-BE49-F238E27FC236}">
                <a16:creationId xmlns:a16="http://schemas.microsoft.com/office/drawing/2014/main" id="{00000000-0008-0000-0400-000013000000}"/>
              </a:ext>
            </a:extLst>
          </xdr:cNvPr>
          <xdr:cNvSpPr/>
        </xdr:nvSpPr>
        <xdr:spPr>
          <a:xfrm>
            <a:off x="4994706" y="2016991"/>
            <a:ext cx="552712" cy="22640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0" name="Rectangle 19">
            <a:extLst>
              <a:ext uri="{FF2B5EF4-FFF2-40B4-BE49-F238E27FC236}">
                <a16:creationId xmlns:a16="http://schemas.microsoft.com/office/drawing/2014/main" id="{00000000-0008-0000-0400-000014000000}"/>
              </a:ext>
            </a:extLst>
          </xdr:cNvPr>
          <xdr:cNvSpPr/>
        </xdr:nvSpPr>
        <xdr:spPr>
          <a:xfrm>
            <a:off x="4999584" y="1991859"/>
            <a:ext cx="300259" cy="30187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1" name="Connecteur droit avec flèche 20">
            <a:extLst>
              <a:ext uri="{FF2B5EF4-FFF2-40B4-BE49-F238E27FC236}">
                <a16:creationId xmlns:a16="http://schemas.microsoft.com/office/drawing/2014/main" id="{00000000-0008-0000-0400-000015000000}"/>
              </a:ext>
            </a:extLst>
          </xdr:cNvPr>
          <xdr:cNvCxnSpPr/>
        </xdr:nvCxnSpPr>
        <xdr:spPr>
          <a:xfrm>
            <a:off x="5578928" y="2130194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ZoneTexte 21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 txBox="1"/>
        </xdr:nvSpPr>
        <xdr:spPr>
          <a:xfrm>
            <a:off x="5696477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23" name="Connecteur droit avec flèche 22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CxnSpPr/>
        </xdr:nvCxnSpPr>
        <xdr:spPr>
          <a:xfrm>
            <a:off x="4392385" y="2130194"/>
            <a:ext cx="30600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4" name="ZoneTexte 23">
            <a:extLst>
              <a:ext uri="{FF2B5EF4-FFF2-40B4-BE49-F238E27FC236}">
                <a16:creationId xmlns:a16="http://schemas.microsoft.com/office/drawing/2014/main" id="{00000000-0008-0000-0400-000018000000}"/>
              </a:ext>
            </a:extLst>
          </xdr:cNvPr>
          <xdr:cNvSpPr txBox="1"/>
        </xdr:nvSpPr>
        <xdr:spPr>
          <a:xfrm>
            <a:off x="4379306" y="1964122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25" name="Connecteur droit avec flèche 24">
            <a:extLst>
              <a:ext uri="{FF2B5EF4-FFF2-40B4-BE49-F238E27FC236}">
                <a16:creationId xmlns:a16="http://schemas.microsoft.com/office/drawing/2014/main" id="{00000000-0008-0000-0400-000019000000}"/>
              </a:ext>
            </a:extLst>
          </xdr:cNvPr>
          <xdr:cNvCxnSpPr/>
        </xdr:nvCxnSpPr>
        <xdr:spPr>
          <a:xfrm>
            <a:off x="4999584" y="1934367"/>
            <a:ext cx="30025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ZoneTexte 25">
            <a:extLst>
              <a:ext uri="{FF2B5EF4-FFF2-40B4-BE49-F238E27FC236}">
                <a16:creationId xmlns:a16="http://schemas.microsoft.com/office/drawing/2014/main" id="{00000000-0008-0000-0400-00001A000000}"/>
              </a:ext>
            </a:extLst>
          </xdr:cNvPr>
          <xdr:cNvSpPr txBox="1"/>
        </xdr:nvSpPr>
        <xdr:spPr>
          <a:xfrm>
            <a:off x="5029801" y="1828389"/>
            <a:ext cx="257528" cy="14716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</xdr:grpSp>
    <xdr:clientData/>
  </xdr:twoCellAnchor>
  <xdr:twoCellAnchor>
    <xdr:from>
      <xdr:col>6</xdr:col>
      <xdr:colOff>578219</xdr:colOff>
      <xdr:row>17</xdr:row>
      <xdr:rowOff>114945</xdr:rowOff>
    </xdr:from>
    <xdr:to>
      <xdr:col>9</xdr:col>
      <xdr:colOff>322077</xdr:colOff>
      <xdr:row>19</xdr:row>
      <xdr:rowOff>150948</xdr:rowOff>
    </xdr:to>
    <xdr:grpSp>
      <xdr:nvGrpSpPr>
        <xdr:cNvPr id="53" name="Groupe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GrpSpPr/>
      </xdr:nvGrpSpPr>
      <xdr:grpSpPr>
        <a:xfrm>
          <a:off x="4331069" y="3772545"/>
          <a:ext cx="1886983" cy="464628"/>
          <a:chOff x="3758889" y="4923913"/>
          <a:chExt cx="1890468" cy="463466"/>
        </a:xfrm>
      </xdr:grpSpPr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00000000-0008-0000-0400-000028000000}"/>
              </a:ext>
            </a:extLst>
          </xdr:cNvPr>
          <xdr:cNvSpPr/>
        </xdr:nvSpPr>
        <xdr:spPr>
          <a:xfrm>
            <a:off x="4171775" y="4935775"/>
            <a:ext cx="685264" cy="375462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2" name="Rectangle 41">
            <a:extLst>
              <a:ext uri="{FF2B5EF4-FFF2-40B4-BE49-F238E27FC236}">
                <a16:creationId xmlns:a16="http://schemas.microsoft.com/office/drawing/2014/main" id="{00000000-0008-0000-0400-00002A000000}"/>
              </a:ext>
            </a:extLst>
          </xdr:cNvPr>
          <xdr:cNvSpPr/>
        </xdr:nvSpPr>
        <xdr:spPr>
          <a:xfrm rot="1359510">
            <a:off x="4519852" y="4938862"/>
            <a:ext cx="36066" cy="36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43" name="Connecteur droit avec flèche 42">
            <a:extLst>
              <a:ext uri="{FF2B5EF4-FFF2-40B4-BE49-F238E27FC236}">
                <a16:creationId xmlns:a16="http://schemas.microsoft.com/office/drawing/2014/main" id="{00000000-0008-0000-0400-00002B000000}"/>
              </a:ext>
            </a:extLst>
          </xdr:cNvPr>
          <xdr:cNvCxnSpPr/>
        </xdr:nvCxnSpPr>
        <xdr:spPr>
          <a:xfrm>
            <a:off x="5199849" y="5123509"/>
            <a:ext cx="367560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ZoneTexte 43">
            <a:extLst>
              <a:ext uri="{FF2B5EF4-FFF2-40B4-BE49-F238E27FC236}">
                <a16:creationId xmlns:a16="http://schemas.microsoft.com/office/drawing/2014/main" id="{00000000-0008-0000-0400-00002C000000}"/>
              </a:ext>
            </a:extLst>
          </xdr:cNvPr>
          <xdr:cNvSpPr txBox="1"/>
        </xdr:nvSpPr>
        <xdr:spPr>
          <a:xfrm>
            <a:off x="5341046" y="4925133"/>
            <a:ext cx="308311" cy="2127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45" name="Connecteur droit avec flèche 44">
            <a:extLst>
              <a:ext uri="{FF2B5EF4-FFF2-40B4-BE49-F238E27FC236}">
                <a16:creationId xmlns:a16="http://schemas.microsoft.com/office/drawing/2014/main" id="{00000000-0008-0000-0400-00002D000000}"/>
              </a:ext>
            </a:extLst>
          </xdr:cNvPr>
          <xdr:cNvCxnSpPr/>
        </xdr:nvCxnSpPr>
        <xdr:spPr>
          <a:xfrm>
            <a:off x="3774600" y="5123509"/>
            <a:ext cx="367560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6" name="ZoneTexte 45">
            <a:extLst>
              <a:ext uri="{FF2B5EF4-FFF2-40B4-BE49-F238E27FC236}">
                <a16:creationId xmlns:a16="http://schemas.microsoft.com/office/drawing/2014/main" id="{00000000-0008-0000-0400-00002E000000}"/>
              </a:ext>
            </a:extLst>
          </xdr:cNvPr>
          <xdr:cNvSpPr txBox="1"/>
        </xdr:nvSpPr>
        <xdr:spPr>
          <a:xfrm>
            <a:off x="3758889" y="4925133"/>
            <a:ext cx="308311" cy="2127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47" name="Connecteur droit avec flèche 46">
            <a:extLst>
              <a:ext uri="{FF2B5EF4-FFF2-40B4-BE49-F238E27FC236}">
                <a16:creationId xmlns:a16="http://schemas.microsoft.com/office/drawing/2014/main" id="{00000000-0008-0000-0400-00002F000000}"/>
              </a:ext>
            </a:extLst>
          </xdr:cNvPr>
          <xdr:cNvCxnSpPr/>
        </xdr:nvCxnSpPr>
        <xdr:spPr>
          <a:xfrm flipH="1">
            <a:off x="4389553" y="4923913"/>
            <a:ext cx="138686" cy="33221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8" name="ZoneTexte 47">
            <a:extLst>
              <a:ext uri="{FF2B5EF4-FFF2-40B4-BE49-F238E27FC236}">
                <a16:creationId xmlns:a16="http://schemas.microsoft.com/office/drawing/2014/main" id="{00000000-0008-0000-0400-000030000000}"/>
              </a:ext>
            </a:extLst>
          </xdr:cNvPr>
          <xdr:cNvSpPr txBox="1"/>
        </xdr:nvSpPr>
        <xdr:spPr>
          <a:xfrm>
            <a:off x="4271207" y="5013213"/>
            <a:ext cx="309337" cy="1757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</a:p>
        </xdr:txBody>
      </xdr:sp>
      <xdr:sp macro="" textlink="">
        <xdr:nvSpPr>
          <xdr:cNvPr id="5" name="Organigramme : Entrée manuell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/>
        </xdr:nvSpPr>
        <xdr:spPr>
          <a:xfrm rot="16200000" flipH="1">
            <a:off x="4664583" y="4782399"/>
            <a:ext cx="322403" cy="682224"/>
          </a:xfrm>
          <a:prstGeom prst="flowChartManualInpu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1" name="Arc 50">
            <a:extLst>
              <a:ext uri="{FF2B5EF4-FFF2-40B4-BE49-F238E27FC236}">
                <a16:creationId xmlns:a16="http://schemas.microsoft.com/office/drawing/2014/main" id="{00000000-0008-0000-0400-000033000000}"/>
              </a:ext>
            </a:extLst>
          </xdr:cNvPr>
          <xdr:cNvSpPr/>
        </xdr:nvSpPr>
        <xdr:spPr>
          <a:xfrm>
            <a:off x="4404733" y="5171379"/>
            <a:ext cx="216000" cy="216000"/>
          </a:xfrm>
          <a:prstGeom prst="arc">
            <a:avLst>
              <a:gd name="adj1" fmla="val 16960106"/>
              <a:gd name="adj2" fmla="val 0"/>
            </a:avLst>
          </a:prstGeom>
          <a:ln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2" name="ZoneTexte 51">
            <a:extLst>
              <a:ext uri="{FF2B5EF4-FFF2-40B4-BE49-F238E27FC236}">
                <a16:creationId xmlns:a16="http://schemas.microsoft.com/office/drawing/2014/main" id="{00000000-0008-0000-0400-000034000000}"/>
              </a:ext>
            </a:extLst>
          </xdr:cNvPr>
          <xdr:cNvSpPr txBox="1"/>
        </xdr:nvSpPr>
        <xdr:spPr>
          <a:xfrm>
            <a:off x="4534829" y="5119042"/>
            <a:ext cx="309337" cy="17578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el-GR" sz="900"/>
              <a:t>α</a:t>
            </a:r>
            <a:r>
              <a:rPr lang="fr-FR" sz="900"/>
              <a:t> </a:t>
            </a:r>
          </a:p>
        </xdr:txBody>
      </xdr:sp>
    </xdr:grpSp>
    <xdr:clientData/>
  </xdr:twoCellAnchor>
  <xdr:twoCellAnchor>
    <xdr:from>
      <xdr:col>6</xdr:col>
      <xdr:colOff>579620</xdr:colOff>
      <xdr:row>26</xdr:row>
      <xdr:rowOff>141684</xdr:rowOff>
    </xdr:from>
    <xdr:to>
      <xdr:col>9</xdr:col>
      <xdr:colOff>320675</xdr:colOff>
      <xdr:row>29</xdr:row>
      <xdr:rowOff>24291</xdr:rowOff>
    </xdr:to>
    <xdr:grpSp>
      <xdr:nvGrpSpPr>
        <xdr:cNvPr id="7" name="Groupe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pSpPr/>
      </xdr:nvGrpSpPr>
      <xdr:grpSpPr>
        <a:xfrm>
          <a:off x="4332470" y="5770959"/>
          <a:ext cx="1884180" cy="549357"/>
          <a:chOff x="13649325" y="3238500"/>
          <a:chExt cx="1884180" cy="546976"/>
        </a:xfrm>
      </xdr:grpSpPr>
      <xdr:sp macro="" textlink="">
        <xdr:nvSpPr>
          <xdr:cNvPr id="73" name="Rectangle 72">
            <a:extLst>
              <a:ext uri="{FF2B5EF4-FFF2-40B4-BE49-F238E27FC236}">
                <a16:creationId xmlns:a16="http://schemas.microsoft.com/office/drawing/2014/main" id="{00000000-0008-0000-0400-000049000000}"/>
              </a:ext>
            </a:extLst>
          </xdr:cNvPr>
          <xdr:cNvSpPr/>
        </xdr:nvSpPr>
        <xdr:spPr>
          <a:xfrm>
            <a:off x="14362386" y="3463505"/>
            <a:ext cx="36000" cy="27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8" name="Connecteur droit avec flèche 77">
            <a:extLst>
              <a:ext uri="{FF2B5EF4-FFF2-40B4-BE49-F238E27FC236}">
                <a16:creationId xmlns:a16="http://schemas.microsoft.com/office/drawing/2014/main" id="{00000000-0008-0000-0400-00004E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9" name="ZoneTexte 78">
            <a:extLst>
              <a:ext uri="{FF2B5EF4-FFF2-40B4-BE49-F238E27FC236}">
                <a16:creationId xmlns:a16="http://schemas.microsoft.com/office/drawing/2014/main" id="{00000000-0008-0000-0400-00004F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81" name="Rectangle 80">
            <a:extLst>
              <a:ext uri="{FF2B5EF4-FFF2-40B4-BE49-F238E27FC236}">
                <a16:creationId xmlns:a16="http://schemas.microsoft.com/office/drawing/2014/main" id="{00000000-0008-0000-0400-000051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2" name="Rectangle 81">
            <a:extLst>
              <a:ext uri="{FF2B5EF4-FFF2-40B4-BE49-F238E27FC236}">
                <a16:creationId xmlns:a16="http://schemas.microsoft.com/office/drawing/2014/main" id="{00000000-0008-0000-0400-000052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3" name="Rectangle 82">
            <a:extLst>
              <a:ext uri="{FF2B5EF4-FFF2-40B4-BE49-F238E27FC236}">
                <a16:creationId xmlns:a16="http://schemas.microsoft.com/office/drawing/2014/main" id="{00000000-0008-0000-0400-000053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84" name="Rectangle 83">
            <a:extLst>
              <a:ext uri="{FF2B5EF4-FFF2-40B4-BE49-F238E27FC236}">
                <a16:creationId xmlns:a16="http://schemas.microsoft.com/office/drawing/2014/main" id="{00000000-0008-0000-0400-000054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85" name="Connecteur droit avec flèche 84">
            <a:extLst>
              <a:ext uri="{FF2B5EF4-FFF2-40B4-BE49-F238E27FC236}">
                <a16:creationId xmlns:a16="http://schemas.microsoft.com/office/drawing/2014/main" id="{00000000-0008-0000-0400-000055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6" name="ZoneTexte 85">
            <a:extLst>
              <a:ext uri="{FF2B5EF4-FFF2-40B4-BE49-F238E27FC236}">
                <a16:creationId xmlns:a16="http://schemas.microsoft.com/office/drawing/2014/main" id="{00000000-0008-0000-0400-000056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87" name="Connecteur droit avec flèche 86">
            <a:extLst>
              <a:ext uri="{FF2B5EF4-FFF2-40B4-BE49-F238E27FC236}">
                <a16:creationId xmlns:a16="http://schemas.microsoft.com/office/drawing/2014/main" id="{00000000-0008-0000-0400-000057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8" name="ZoneTexte 87">
            <a:extLst>
              <a:ext uri="{FF2B5EF4-FFF2-40B4-BE49-F238E27FC236}">
                <a16:creationId xmlns:a16="http://schemas.microsoft.com/office/drawing/2014/main" id="{00000000-0008-0000-0400-000058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89" name="Connecteur droit avec flèche 88">
            <a:extLst>
              <a:ext uri="{FF2B5EF4-FFF2-40B4-BE49-F238E27FC236}">
                <a16:creationId xmlns:a16="http://schemas.microsoft.com/office/drawing/2014/main" id="{00000000-0008-0000-0400-000059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0" name="ZoneTexte 89">
            <a:extLst>
              <a:ext uri="{FF2B5EF4-FFF2-40B4-BE49-F238E27FC236}">
                <a16:creationId xmlns:a16="http://schemas.microsoft.com/office/drawing/2014/main" id="{00000000-0008-0000-0400-00005A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>
    <xdr:from>
      <xdr:col>6</xdr:col>
      <xdr:colOff>579620</xdr:colOff>
      <xdr:row>42</xdr:row>
      <xdr:rowOff>141684</xdr:rowOff>
    </xdr:from>
    <xdr:to>
      <xdr:col>9</xdr:col>
      <xdr:colOff>320675</xdr:colOff>
      <xdr:row>45</xdr:row>
      <xdr:rowOff>24291</xdr:rowOff>
    </xdr:to>
    <xdr:grpSp>
      <xdr:nvGrpSpPr>
        <xdr:cNvPr id="106" name="Groupe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GrpSpPr/>
      </xdr:nvGrpSpPr>
      <xdr:grpSpPr>
        <a:xfrm>
          <a:off x="4332470" y="9342834"/>
          <a:ext cx="1884180" cy="549357"/>
          <a:chOff x="13649325" y="3238500"/>
          <a:chExt cx="1884180" cy="546976"/>
        </a:xfrm>
      </xdr:grpSpPr>
      <xdr:sp macro="" textlink="">
        <xdr:nvSpPr>
          <xdr:cNvPr id="107" name="Rectangle 106">
            <a:extLst>
              <a:ext uri="{FF2B5EF4-FFF2-40B4-BE49-F238E27FC236}">
                <a16:creationId xmlns:a16="http://schemas.microsoft.com/office/drawing/2014/main" id="{00000000-0008-0000-0400-00006B000000}"/>
              </a:ext>
            </a:extLst>
          </xdr:cNvPr>
          <xdr:cNvSpPr/>
        </xdr:nvSpPr>
        <xdr:spPr>
          <a:xfrm>
            <a:off x="14751741" y="3463505"/>
            <a:ext cx="36000" cy="270000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9" name="Connecteur droit avec flèche 108">
            <a:extLst>
              <a:ext uri="{FF2B5EF4-FFF2-40B4-BE49-F238E27FC236}">
                <a16:creationId xmlns:a16="http://schemas.microsoft.com/office/drawing/2014/main" id="{00000000-0008-0000-0400-00006D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ZoneTexte 109">
            <a:extLst>
              <a:ext uri="{FF2B5EF4-FFF2-40B4-BE49-F238E27FC236}">
                <a16:creationId xmlns:a16="http://schemas.microsoft.com/office/drawing/2014/main" id="{00000000-0008-0000-0400-00006E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111" name="Rectangle 110">
            <a:extLst>
              <a:ext uri="{FF2B5EF4-FFF2-40B4-BE49-F238E27FC236}">
                <a16:creationId xmlns:a16="http://schemas.microsoft.com/office/drawing/2014/main" id="{00000000-0008-0000-0400-00006F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2" name="Rectangle 111">
            <a:extLst>
              <a:ext uri="{FF2B5EF4-FFF2-40B4-BE49-F238E27FC236}">
                <a16:creationId xmlns:a16="http://schemas.microsoft.com/office/drawing/2014/main" id="{00000000-0008-0000-0400-000070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3" name="Rectangle 112">
            <a:extLst>
              <a:ext uri="{FF2B5EF4-FFF2-40B4-BE49-F238E27FC236}">
                <a16:creationId xmlns:a16="http://schemas.microsoft.com/office/drawing/2014/main" id="{00000000-0008-0000-0400-000071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14" name="Rectangle 113">
            <a:extLst>
              <a:ext uri="{FF2B5EF4-FFF2-40B4-BE49-F238E27FC236}">
                <a16:creationId xmlns:a16="http://schemas.microsoft.com/office/drawing/2014/main" id="{00000000-0008-0000-0400-000072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15" name="Connecteur droit avec flèche 114">
            <a:extLst>
              <a:ext uri="{FF2B5EF4-FFF2-40B4-BE49-F238E27FC236}">
                <a16:creationId xmlns:a16="http://schemas.microsoft.com/office/drawing/2014/main" id="{00000000-0008-0000-0400-000073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6" name="ZoneTexte 115">
            <a:extLst>
              <a:ext uri="{FF2B5EF4-FFF2-40B4-BE49-F238E27FC236}">
                <a16:creationId xmlns:a16="http://schemas.microsoft.com/office/drawing/2014/main" id="{00000000-0008-0000-0400-000074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17" name="Connecteur droit avec flèche 116">
            <a:extLst>
              <a:ext uri="{FF2B5EF4-FFF2-40B4-BE49-F238E27FC236}">
                <a16:creationId xmlns:a16="http://schemas.microsoft.com/office/drawing/2014/main" id="{00000000-0008-0000-0400-000075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8" name="ZoneTexte 117">
            <a:extLst>
              <a:ext uri="{FF2B5EF4-FFF2-40B4-BE49-F238E27FC236}">
                <a16:creationId xmlns:a16="http://schemas.microsoft.com/office/drawing/2014/main" id="{00000000-0008-0000-0400-000076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19" name="Connecteur droit avec flèche 118">
            <a:extLst>
              <a:ext uri="{FF2B5EF4-FFF2-40B4-BE49-F238E27FC236}">
                <a16:creationId xmlns:a16="http://schemas.microsoft.com/office/drawing/2014/main" id="{00000000-0008-0000-0400-000077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ZoneTexte 119">
            <a:extLst>
              <a:ext uri="{FF2B5EF4-FFF2-40B4-BE49-F238E27FC236}">
                <a16:creationId xmlns:a16="http://schemas.microsoft.com/office/drawing/2014/main" id="{00000000-0008-0000-0400-000078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>
    <xdr:from>
      <xdr:col>6</xdr:col>
      <xdr:colOff>579620</xdr:colOff>
      <xdr:row>58</xdr:row>
      <xdr:rowOff>141684</xdr:rowOff>
    </xdr:from>
    <xdr:to>
      <xdr:col>9</xdr:col>
      <xdr:colOff>320675</xdr:colOff>
      <xdr:row>61</xdr:row>
      <xdr:rowOff>24291</xdr:rowOff>
    </xdr:to>
    <xdr:grpSp>
      <xdr:nvGrpSpPr>
        <xdr:cNvPr id="121" name="Groupe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GrpSpPr/>
      </xdr:nvGrpSpPr>
      <xdr:grpSpPr>
        <a:xfrm>
          <a:off x="4332470" y="12914709"/>
          <a:ext cx="1884180" cy="549357"/>
          <a:chOff x="13649325" y="3238500"/>
          <a:chExt cx="1884180" cy="546976"/>
        </a:xfrm>
      </xdr:grpSpPr>
      <xdr:sp macro="" textlink="">
        <xdr:nvSpPr>
          <xdr:cNvPr id="122" name="Rectangle 121">
            <a:extLst>
              <a:ext uri="{FF2B5EF4-FFF2-40B4-BE49-F238E27FC236}">
                <a16:creationId xmlns:a16="http://schemas.microsoft.com/office/drawing/2014/main" id="{00000000-0008-0000-0400-00007A000000}"/>
              </a:ext>
            </a:extLst>
          </xdr:cNvPr>
          <xdr:cNvSpPr/>
        </xdr:nvSpPr>
        <xdr:spPr>
          <a:xfrm>
            <a:off x="14751741" y="3463505"/>
            <a:ext cx="36000" cy="270000"/>
          </a:xfrm>
          <a:prstGeom prst="rect">
            <a:avLst/>
          </a:prstGeom>
          <a:pattFill prst="ltHorz">
            <a:fgClr>
              <a:schemeClr val="tx1"/>
            </a:fgClr>
            <a:bgClr>
              <a:schemeClr val="bg1"/>
            </a:bgClr>
          </a:patt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3" name="Rectangle 122">
            <a:extLst>
              <a:ext uri="{FF2B5EF4-FFF2-40B4-BE49-F238E27FC236}">
                <a16:creationId xmlns:a16="http://schemas.microsoft.com/office/drawing/2014/main" id="{00000000-0008-0000-0400-00007B000000}"/>
              </a:ext>
            </a:extLst>
          </xdr:cNvPr>
          <xdr:cNvSpPr/>
        </xdr:nvSpPr>
        <xdr:spPr>
          <a:xfrm>
            <a:off x="14362386" y="3463505"/>
            <a:ext cx="36000" cy="270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24" name="Connecteur droit avec flèche 123">
            <a:extLst>
              <a:ext uri="{FF2B5EF4-FFF2-40B4-BE49-F238E27FC236}">
                <a16:creationId xmlns:a16="http://schemas.microsoft.com/office/drawing/2014/main" id="{00000000-0008-0000-0400-00007C000000}"/>
              </a:ext>
            </a:extLst>
          </xdr:cNvPr>
          <xdr:cNvCxnSpPr/>
        </xdr:nvCxnSpPr>
        <xdr:spPr>
          <a:xfrm>
            <a:off x="14296908" y="3463505"/>
            <a:ext cx="0" cy="27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5" name="ZoneTexte 124">
            <a:extLst>
              <a:ext uri="{FF2B5EF4-FFF2-40B4-BE49-F238E27FC236}">
                <a16:creationId xmlns:a16="http://schemas.microsoft.com/office/drawing/2014/main" id="{00000000-0008-0000-0400-00007D000000}"/>
              </a:ext>
            </a:extLst>
          </xdr:cNvPr>
          <xdr:cNvSpPr txBox="1"/>
        </xdr:nvSpPr>
        <xdr:spPr>
          <a:xfrm>
            <a:off x="14087814" y="3549764"/>
            <a:ext cx="308767" cy="1779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</a:t>
            </a:r>
            <a:r>
              <a:rPr lang="fr-FR" sz="900" baseline="-25000"/>
              <a:t>2</a:t>
            </a:r>
            <a:r>
              <a:rPr lang="fr-FR" sz="900"/>
              <a:t> </a:t>
            </a:r>
          </a:p>
        </xdr:txBody>
      </xdr:sp>
      <xdr:sp macro="" textlink="">
        <xdr:nvSpPr>
          <xdr:cNvPr id="126" name="Rectangle 125">
            <a:extLst>
              <a:ext uri="{FF2B5EF4-FFF2-40B4-BE49-F238E27FC236}">
                <a16:creationId xmlns:a16="http://schemas.microsoft.com/office/drawing/2014/main" id="{00000000-0008-0000-0400-00007E000000}"/>
              </a:ext>
            </a:extLst>
          </xdr:cNvPr>
          <xdr:cNvSpPr/>
        </xdr:nvSpPr>
        <xdr:spPr>
          <a:xfrm>
            <a:off x="14391911" y="3728276"/>
            <a:ext cx="359465" cy="35976"/>
          </a:xfrm>
          <a:prstGeom prst="rect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7" name="Rectangle 126">
            <a:extLst>
              <a:ext uri="{FF2B5EF4-FFF2-40B4-BE49-F238E27FC236}">
                <a16:creationId xmlns:a16="http://schemas.microsoft.com/office/drawing/2014/main" id="{00000000-0008-0000-0400-00007F000000}"/>
              </a:ext>
            </a:extLst>
          </xdr:cNvPr>
          <xdr:cNvSpPr/>
        </xdr:nvSpPr>
        <xdr:spPr>
          <a:xfrm>
            <a:off x="14066431" y="3410882"/>
            <a:ext cx="682984" cy="374594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8" name="Rectangle 127">
            <a:extLst>
              <a:ext uri="{FF2B5EF4-FFF2-40B4-BE49-F238E27FC236}">
                <a16:creationId xmlns:a16="http://schemas.microsoft.com/office/drawing/2014/main" id="{00000000-0008-0000-0400-000080000000}"/>
              </a:ext>
            </a:extLst>
          </xdr:cNvPr>
          <xdr:cNvSpPr/>
        </xdr:nvSpPr>
        <xdr:spPr>
          <a:xfrm>
            <a:off x="14386071" y="3463268"/>
            <a:ext cx="661697" cy="269821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29" name="Rectangle 128">
            <a:extLst>
              <a:ext uri="{FF2B5EF4-FFF2-40B4-BE49-F238E27FC236}">
                <a16:creationId xmlns:a16="http://schemas.microsoft.com/office/drawing/2014/main" id="{00000000-0008-0000-0400-000081000000}"/>
              </a:ext>
            </a:extLst>
          </xdr:cNvPr>
          <xdr:cNvSpPr/>
        </xdr:nvSpPr>
        <xdr:spPr>
          <a:xfrm>
            <a:off x="14391911" y="3433317"/>
            <a:ext cx="359465" cy="35976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30" name="Connecteur droit avec flèche 129">
            <a:extLst>
              <a:ext uri="{FF2B5EF4-FFF2-40B4-BE49-F238E27FC236}">
                <a16:creationId xmlns:a16="http://schemas.microsoft.com/office/drawing/2014/main" id="{00000000-0008-0000-0400-000082000000}"/>
              </a:ext>
            </a:extLst>
          </xdr:cNvPr>
          <xdr:cNvCxnSpPr/>
        </xdr:nvCxnSpPr>
        <xdr:spPr>
          <a:xfrm>
            <a:off x="15085492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ZoneTexte 130">
            <a:extLst>
              <a:ext uri="{FF2B5EF4-FFF2-40B4-BE49-F238E27FC236}">
                <a16:creationId xmlns:a16="http://schemas.microsoft.com/office/drawing/2014/main" id="{00000000-0008-0000-0400-000083000000}"/>
              </a:ext>
            </a:extLst>
          </xdr:cNvPr>
          <xdr:cNvSpPr txBox="1"/>
        </xdr:nvSpPr>
        <xdr:spPr>
          <a:xfrm>
            <a:off x="15226219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32" name="Connecteur droit avec flèche 131">
            <a:extLst>
              <a:ext uri="{FF2B5EF4-FFF2-40B4-BE49-F238E27FC236}">
                <a16:creationId xmlns:a16="http://schemas.microsoft.com/office/drawing/2014/main" id="{00000000-0008-0000-0400-000084000000}"/>
              </a:ext>
            </a:extLst>
          </xdr:cNvPr>
          <xdr:cNvCxnSpPr/>
        </xdr:nvCxnSpPr>
        <xdr:spPr>
          <a:xfrm>
            <a:off x="13664983" y="3598178"/>
            <a:ext cx="366338" cy="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ZoneTexte 132">
            <a:extLst>
              <a:ext uri="{FF2B5EF4-FFF2-40B4-BE49-F238E27FC236}">
                <a16:creationId xmlns:a16="http://schemas.microsoft.com/office/drawing/2014/main" id="{00000000-0008-0000-0400-000085000000}"/>
              </a:ext>
            </a:extLst>
          </xdr:cNvPr>
          <xdr:cNvSpPr txBox="1"/>
        </xdr:nvSpPr>
        <xdr:spPr>
          <a:xfrm>
            <a:off x="13649325" y="3400261"/>
            <a:ext cx="307286" cy="21222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N</a:t>
            </a:r>
            <a:r>
              <a:rPr lang="fr-FR" sz="900" b="1" baseline="-25000"/>
              <a:t>Ed</a:t>
            </a:r>
            <a:endParaRPr lang="fr-FR" sz="1100" b="1" baseline="-25000"/>
          </a:p>
        </xdr:txBody>
      </xdr:sp>
      <xdr:cxnSp macro="">
        <xdr:nvCxnSpPr>
          <xdr:cNvPr id="134" name="Connecteur droit avec flèche 133">
            <a:extLst>
              <a:ext uri="{FF2B5EF4-FFF2-40B4-BE49-F238E27FC236}">
                <a16:creationId xmlns:a16="http://schemas.microsoft.com/office/drawing/2014/main" id="{00000000-0008-0000-0400-000086000000}"/>
              </a:ext>
            </a:extLst>
          </xdr:cNvPr>
          <xdr:cNvCxnSpPr/>
        </xdr:nvCxnSpPr>
        <xdr:spPr>
          <a:xfrm>
            <a:off x="14391911" y="3364800"/>
            <a:ext cx="35946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5" name="ZoneTexte 134">
            <a:extLst>
              <a:ext uri="{FF2B5EF4-FFF2-40B4-BE49-F238E27FC236}">
                <a16:creationId xmlns:a16="http://schemas.microsoft.com/office/drawing/2014/main" id="{00000000-0008-0000-0400-000087000000}"/>
              </a:ext>
            </a:extLst>
          </xdr:cNvPr>
          <xdr:cNvSpPr txBox="1"/>
        </xdr:nvSpPr>
        <xdr:spPr>
          <a:xfrm>
            <a:off x="14428086" y="3238500"/>
            <a:ext cx="308308" cy="1753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L </a:t>
            </a:r>
            <a:r>
              <a:rPr lang="fr-FR" sz="900" baseline="-25000"/>
              <a:t>1</a:t>
            </a:r>
          </a:p>
        </xdr:txBody>
      </xdr:sp>
    </xdr:grpSp>
    <xdr:clientData/>
  </xdr:twoCellAnchor>
  <xdr:twoCellAnchor editAs="oneCell">
    <xdr:from>
      <xdr:col>6</xdr:col>
      <xdr:colOff>382904</xdr:colOff>
      <xdr:row>350</xdr:row>
      <xdr:rowOff>57672</xdr:rowOff>
    </xdr:from>
    <xdr:to>
      <xdr:col>8</xdr:col>
      <xdr:colOff>215827</xdr:colOff>
      <xdr:row>353</xdr:row>
      <xdr:rowOff>95540</xdr:rowOff>
    </xdr:to>
    <xdr:grpSp>
      <xdr:nvGrpSpPr>
        <xdr:cNvPr id="28" name="Groupe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GrpSpPr>
          <a:grpSpLocks noChangeAspect="1"/>
        </xdr:cNvGrpSpPr>
      </xdr:nvGrpSpPr>
      <xdr:grpSpPr>
        <a:xfrm>
          <a:off x="4135754" y="75609972"/>
          <a:ext cx="1595048" cy="666518"/>
          <a:chOff x="7630696" y="38161244"/>
          <a:chExt cx="1329207" cy="555432"/>
        </a:xfrm>
      </xdr:grpSpPr>
      <xdr:sp macro="" textlink="">
        <xdr:nvSpPr>
          <xdr:cNvPr id="161" name="ZoneTexte 160">
            <a:extLst>
              <a:ext uri="{FF2B5EF4-FFF2-40B4-BE49-F238E27FC236}">
                <a16:creationId xmlns:a16="http://schemas.microsoft.com/office/drawing/2014/main" id="{00000000-0008-0000-0400-0000A1000000}"/>
              </a:ext>
            </a:extLst>
          </xdr:cNvPr>
          <xdr:cNvSpPr txBox="1"/>
        </xdr:nvSpPr>
        <xdr:spPr>
          <a:xfrm>
            <a:off x="8665370" y="38540531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B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148" name="ZoneTexte 147">
            <a:extLst>
              <a:ext uri="{FF2B5EF4-FFF2-40B4-BE49-F238E27FC236}">
                <a16:creationId xmlns:a16="http://schemas.microsoft.com/office/drawing/2014/main" id="{00000000-0008-0000-0400-000094000000}"/>
              </a:ext>
            </a:extLst>
          </xdr:cNvPr>
          <xdr:cNvSpPr txBox="1"/>
        </xdr:nvSpPr>
        <xdr:spPr>
          <a:xfrm>
            <a:off x="7701097" y="38472154"/>
            <a:ext cx="308977" cy="1787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h </a:t>
            </a:r>
          </a:p>
        </xdr:txBody>
      </xdr:sp>
      <xdr:sp macro="" textlink="">
        <xdr:nvSpPr>
          <xdr:cNvPr id="150" name="Rectangle 149">
            <a:extLst>
              <a:ext uri="{FF2B5EF4-FFF2-40B4-BE49-F238E27FC236}">
                <a16:creationId xmlns:a16="http://schemas.microsoft.com/office/drawing/2014/main" id="{00000000-0008-0000-0400-000096000000}"/>
              </a:ext>
            </a:extLst>
          </xdr:cNvPr>
          <xdr:cNvSpPr/>
        </xdr:nvSpPr>
        <xdr:spPr>
          <a:xfrm>
            <a:off x="7970594" y="38660791"/>
            <a:ext cx="989309" cy="45719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51" name="Rectangle 150">
            <a:extLst>
              <a:ext uri="{FF2B5EF4-FFF2-40B4-BE49-F238E27FC236}">
                <a16:creationId xmlns:a16="http://schemas.microsoft.com/office/drawing/2014/main" id="{00000000-0008-0000-0400-000097000000}"/>
              </a:ext>
            </a:extLst>
          </xdr:cNvPr>
          <xdr:cNvSpPr/>
        </xdr:nvSpPr>
        <xdr:spPr>
          <a:xfrm>
            <a:off x="8249117" y="38391694"/>
            <a:ext cx="432262" cy="27099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53" name="Connecteur droit avec flèche 152">
            <a:extLst>
              <a:ext uri="{FF2B5EF4-FFF2-40B4-BE49-F238E27FC236}">
                <a16:creationId xmlns:a16="http://schemas.microsoft.com/office/drawing/2014/main" id="{00000000-0008-0000-0400-000099000000}"/>
              </a:ext>
            </a:extLst>
          </xdr:cNvPr>
          <xdr:cNvCxnSpPr/>
        </xdr:nvCxnSpPr>
        <xdr:spPr>
          <a:xfrm>
            <a:off x="7800317" y="38397236"/>
            <a:ext cx="366587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ZoneTexte 153">
            <a:extLst>
              <a:ext uri="{FF2B5EF4-FFF2-40B4-BE49-F238E27FC236}">
                <a16:creationId xmlns:a16="http://schemas.microsoft.com/office/drawing/2014/main" id="{00000000-0008-0000-0400-00009A000000}"/>
              </a:ext>
            </a:extLst>
          </xdr:cNvPr>
          <xdr:cNvSpPr txBox="1"/>
        </xdr:nvSpPr>
        <xdr:spPr>
          <a:xfrm>
            <a:off x="7630696" y="38161244"/>
            <a:ext cx="307495" cy="213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F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157" name="Connecteur droit avec flèche 156">
            <a:extLst>
              <a:ext uri="{FF2B5EF4-FFF2-40B4-BE49-F238E27FC236}">
                <a16:creationId xmlns:a16="http://schemas.microsoft.com/office/drawing/2014/main" id="{00000000-0008-0000-0400-00009D000000}"/>
              </a:ext>
            </a:extLst>
          </xdr:cNvPr>
          <xdr:cNvCxnSpPr/>
        </xdr:nvCxnSpPr>
        <xdr:spPr>
          <a:xfrm>
            <a:off x="8249117" y="38310194"/>
            <a:ext cx="43226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8" name="ZoneTexte 157">
            <a:extLst>
              <a:ext uri="{FF2B5EF4-FFF2-40B4-BE49-F238E27FC236}">
                <a16:creationId xmlns:a16="http://schemas.microsoft.com/office/drawing/2014/main" id="{00000000-0008-0000-0400-00009E000000}"/>
              </a:ext>
            </a:extLst>
          </xdr:cNvPr>
          <xdr:cNvSpPr txBox="1"/>
        </xdr:nvSpPr>
        <xdr:spPr>
          <a:xfrm>
            <a:off x="8332495" y="38166678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d</a:t>
            </a:r>
            <a:endParaRPr lang="fr-FR" sz="900" baseline="-25000"/>
          </a:p>
        </xdr:txBody>
      </xdr:sp>
      <xdr:sp macro="" textlink="">
        <xdr:nvSpPr>
          <xdr:cNvPr id="12" name="Triangle rectangl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SpPr/>
        </xdr:nvSpPr>
        <xdr:spPr>
          <a:xfrm>
            <a:off x="8689573" y="38616043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59" name="Triangle rectangle 158">
            <a:extLst>
              <a:ext uri="{FF2B5EF4-FFF2-40B4-BE49-F238E27FC236}">
                <a16:creationId xmlns:a16="http://schemas.microsoft.com/office/drawing/2014/main" id="{00000000-0008-0000-0400-00009F000000}"/>
              </a:ext>
            </a:extLst>
          </xdr:cNvPr>
          <xdr:cNvSpPr/>
        </xdr:nvSpPr>
        <xdr:spPr>
          <a:xfrm>
            <a:off x="8253879" y="38616043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47" name="Connecteur droit avec flèche 146">
            <a:extLst>
              <a:ext uri="{FF2B5EF4-FFF2-40B4-BE49-F238E27FC236}">
                <a16:creationId xmlns:a16="http://schemas.microsoft.com/office/drawing/2014/main" id="{00000000-0008-0000-0400-000093000000}"/>
              </a:ext>
            </a:extLst>
          </xdr:cNvPr>
          <xdr:cNvCxnSpPr/>
        </xdr:nvCxnSpPr>
        <xdr:spPr>
          <a:xfrm>
            <a:off x="7874615" y="38392662"/>
            <a:ext cx="0" cy="27117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0" name="ZoneTexte 159">
            <a:extLst>
              <a:ext uri="{FF2B5EF4-FFF2-40B4-BE49-F238E27FC236}">
                <a16:creationId xmlns:a16="http://schemas.microsoft.com/office/drawing/2014/main" id="{00000000-0008-0000-0400-0000A0000000}"/>
              </a:ext>
            </a:extLst>
          </xdr:cNvPr>
          <xdr:cNvSpPr txBox="1"/>
        </xdr:nvSpPr>
        <xdr:spPr>
          <a:xfrm>
            <a:off x="8041482" y="38540531"/>
            <a:ext cx="210248" cy="176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A</a:t>
            </a:r>
            <a:endParaRPr lang="fr-FR" sz="900" baseline="-25000">
              <a:solidFill>
                <a:srgbClr val="C00000"/>
              </a:solidFill>
            </a:endParaRPr>
          </a:p>
        </xdr:txBody>
      </xdr:sp>
    </xdr:grpSp>
    <xdr:clientData/>
  </xdr:twoCellAnchor>
  <xdr:twoCellAnchor editAs="oneCell">
    <xdr:from>
      <xdr:col>6</xdr:col>
      <xdr:colOff>386010</xdr:colOff>
      <xdr:row>363</xdr:row>
      <xdr:rowOff>77029</xdr:rowOff>
    </xdr:from>
    <xdr:to>
      <xdr:col>8</xdr:col>
      <xdr:colOff>211479</xdr:colOff>
      <xdr:row>366</xdr:row>
      <xdr:rowOff>111644</xdr:rowOff>
    </xdr:to>
    <xdr:grpSp>
      <xdr:nvGrpSpPr>
        <xdr:cNvPr id="162" name="Groupe 161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GrpSpPr>
          <a:grpSpLocks noChangeAspect="1"/>
        </xdr:cNvGrpSpPr>
      </xdr:nvGrpSpPr>
      <xdr:grpSpPr>
        <a:xfrm>
          <a:off x="4138860" y="78515404"/>
          <a:ext cx="1587594" cy="663265"/>
          <a:chOff x="7630696" y="38161244"/>
          <a:chExt cx="1329207" cy="554791"/>
        </a:xfrm>
      </xdr:grpSpPr>
      <xdr:sp macro="" textlink="">
        <xdr:nvSpPr>
          <xdr:cNvPr id="163" name="ZoneTexte 162">
            <a:extLst>
              <a:ext uri="{FF2B5EF4-FFF2-40B4-BE49-F238E27FC236}">
                <a16:creationId xmlns:a16="http://schemas.microsoft.com/office/drawing/2014/main" id="{00000000-0008-0000-0400-0000A3000000}"/>
              </a:ext>
            </a:extLst>
          </xdr:cNvPr>
          <xdr:cNvSpPr txBox="1"/>
        </xdr:nvSpPr>
        <xdr:spPr>
          <a:xfrm>
            <a:off x="7701097" y="38472154"/>
            <a:ext cx="308977" cy="1787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h </a:t>
            </a:r>
          </a:p>
        </xdr:txBody>
      </xdr:sp>
      <xdr:sp macro="" textlink="">
        <xdr:nvSpPr>
          <xdr:cNvPr id="164" name="Rectangle 163">
            <a:extLst>
              <a:ext uri="{FF2B5EF4-FFF2-40B4-BE49-F238E27FC236}">
                <a16:creationId xmlns:a16="http://schemas.microsoft.com/office/drawing/2014/main" id="{00000000-0008-0000-0400-0000A4000000}"/>
              </a:ext>
            </a:extLst>
          </xdr:cNvPr>
          <xdr:cNvSpPr/>
        </xdr:nvSpPr>
        <xdr:spPr>
          <a:xfrm>
            <a:off x="7970594" y="38670316"/>
            <a:ext cx="989309" cy="45719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65" name="Rectangle 164">
            <a:extLst>
              <a:ext uri="{FF2B5EF4-FFF2-40B4-BE49-F238E27FC236}">
                <a16:creationId xmlns:a16="http://schemas.microsoft.com/office/drawing/2014/main" id="{00000000-0008-0000-0400-0000A5000000}"/>
              </a:ext>
            </a:extLst>
          </xdr:cNvPr>
          <xdr:cNvSpPr/>
        </xdr:nvSpPr>
        <xdr:spPr>
          <a:xfrm>
            <a:off x="8249117" y="38398882"/>
            <a:ext cx="432262" cy="270996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66" name="Connecteur droit avec flèche 165">
            <a:extLst>
              <a:ext uri="{FF2B5EF4-FFF2-40B4-BE49-F238E27FC236}">
                <a16:creationId xmlns:a16="http://schemas.microsoft.com/office/drawing/2014/main" id="{00000000-0008-0000-0400-0000A6000000}"/>
              </a:ext>
            </a:extLst>
          </xdr:cNvPr>
          <xdr:cNvCxnSpPr/>
        </xdr:nvCxnSpPr>
        <xdr:spPr>
          <a:xfrm>
            <a:off x="7800317" y="38397236"/>
            <a:ext cx="366587" cy="0"/>
          </a:xfrm>
          <a:prstGeom prst="straightConnector1">
            <a:avLst/>
          </a:prstGeom>
          <a:ln w="2540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7" name="ZoneTexte 166">
            <a:extLst>
              <a:ext uri="{FF2B5EF4-FFF2-40B4-BE49-F238E27FC236}">
                <a16:creationId xmlns:a16="http://schemas.microsoft.com/office/drawing/2014/main" id="{00000000-0008-0000-0400-0000A7000000}"/>
              </a:ext>
            </a:extLst>
          </xdr:cNvPr>
          <xdr:cNvSpPr txBox="1"/>
        </xdr:nvSpPr>
        <xdr:spPr>
          <a:xfrm>
            <a:off x="7630696" y="38161244"/>
            <a:ext cx="307495" cy="21314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/>
              <a:t>F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170" name="Triangle rectangle 169">
            <a:extLst>
              <a:ext uri="{FF2B5EF4-FFF2-40B4-BE49-F238E27FC236}">
                <a16:creationId xmlns:a16="http://schemas.microsoft.com/office/drawing/2014/main" id="{00000000-0008-0000-0400-0000AA000000}"/>
              </a:ext>
            </a:extLst>
          </xdr:cNvPr>
          <xdr:cNvSpPr/>
        </xdr:nvSpPr>
        <xdr:spPr>
          <a:xfrm>
            <a:off x="8689573" y="38628384"/>
            <a:ext cx="54000" cy="54000"/>
          </a:xfrm>
          <a:prstGeom prst="rtTriangle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72" name="Connecteur droit avec flèche 171">
            <a:extLst>
              <a:ext uri="{FF2B5EF4-FFF2-40B4-BE49-F238E27FC236}">
                <a16:creationId xmlns:a16="http://schemas.microsoft.com/office/drawing/2014/main" id="{00000000-0008-0000-0400-0000AC000000}"/>
              </a:ext>
            </a:extLst>
          </xdr:cNvPr>
          <xdr:cNvCxnSpPr/>
        </xdr:nvCxnSpPr>
        <xdr:spPr>
          <a:xfrm>
            <a:off x="7874615" y="38392662"/>
            <a:ext cx="0" cy="271176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504989</xdr:colOff>
      <xdr:row>167</xdr:row>
      <xdr:rowOff>145704</xdr:rowOff>
    </xdr:from>
    <xdr:to>
      <xdr:col>9</xdr:col>
      <xdr:colOff>336723</xdr:colOff>
      <xdr:row>172</xdr:row>
      <xdr:rowOff>66476</xdr:rowOff>
    </xdr:to>
    <xdr:grpSp>
      <xdr:nvGrpSpPr>
        <xdr:cNvPr id="64" name="Groupe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GrpSpPr/>
      </xdr:nvGrpSpPr>
      <xdr:grpSpPr>
        <a:xfrm>
          <a:off x="4972214" y="36502629"/>
          <a:ext cx="1260484" cy="1006622"/>
          <a:chOff x="7658346" y="26506047"/>
          <a:chExt cx="1266696" cy="1001781"/>
        </a:xfrm>
      </xdr:grpSpPr>
      <xdr:sp macro="" textlink="">
        <xdr:nvSpPr>
          <xdr:cNvPr id="32" name="Rectangle 31">
            <a:extLst>
              <a:ext uri="{FF2B5EF4-FFF2-40B4-BE49-F238E27FC236}">
                <a16:creationId xmlns:a16="http://schemas.microsoft.com/office/drawing/2014/main" id="{00000000-0008-0000-0400-000020000000}"/>
              </a:ext>
            </a:extLst>
          </xdr:cNvPr>
          <xdr:cNvSpPr/>
        </xdr:nvSpPr>
        <xdr:spPr>
          <a:xfrm>
            <a:off x="7832251" y="26886689"/>
            <a:ext cx="518715" cy="326040"/>
          </a:xfrm>
          <a:prstGeom prst="rect">
            <a:avLst/>
          </a:prstGeom>
          <a:solidFill>
            <a:schemeClr val="bg1">
              <a:alpha val="50000"/>
            </a:schemeClr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9" name="ZoneTexte 28">
            <a:extLst>
              <a:ext uri="{FF2B5EF4-FFF2-40B4-BE49-F238E27FC236}">
                <a16:creationId xmlns:a16="http://schemas.microsoft.com/office/drawing/2014/main" id="{00000000-0008-0000-0400-00001D000000}"/>
              </a:ext>
            </a:extLst>
          </xdr:cNvPr>
          <xdr:cNvSpPr txBox="1"/>
        </xdr:nvSpPr>
        <xdr:spPr>
          <a:xfrm>
            <a:off x="8268465" y="27260587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B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00000000-0008-0000-0400-00001F000000}"/>
              </a:ext>
            </a:extLst>
          </xdr:cNvPr>
          <xdr:cNvSpPr/>
        </xdr:nvSpPr>
        <xdr:spPr>
          <a:xfrm>
            <a:off x="7753812" y="27210446"/>
            <a:ext cx="675592" cy="54245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33" name="Connecteur droit avec flèche 32">
            <a:extLst>
              <a:ext uri="{FF2B5EF4-FFF2-40B4-BE49-F238E27FC236}">
                <a16:creationId xmlns:a16="http://schemas.microsoft.com/office/drawing/2014/main" id="{00000000-0008-0000-0400-000021000000}"/>
              </a:ext>
            </a:extLst>
          </xdr:cNvPr>
          <xdr:cNvCxnSpPr/>
        </xdr:nvCxnSpPr>
        <xdr:spPr>
          <a:xfrm>
            <a:off x="8091608" y="26629771"/>
            <a:ext cx="0" cy="252000"/>
          </a:xfrm>
          <a:prstGeom prst="straightConnector1">
            <a:avLst/>
          </a:prstGeom>
          <a:ln w="25400">
            <a:solidFill>
              <a:srgbClr val="0070C0"/>
            </a:solidFill>
            <a:headEnd type="triangle" w="med" len="lg"/>
            <a:tailEnd type="non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4" name="ZoneTexte 33">
            <a:extLst>
              <a:ext uri="{FF2B5EF4-FFF2-40B4-BE49-F238E27FC236}">
                <a16:creationId xmlns:a16="http://schemas.microsoft.com/office/drawing/2014/main" id="{00000000-0008-0000-0400-000022000000}"/>
              </a:ext>
            </a:extLst>
          </xdr:cNvPr>
          <xdr:cNvSpPr txBox="1"/>
        </xdr:nvSpPr>
        <xdr:spPr>
          <a:xfrm>
            <a:off x="8039971" y="26506047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N</a:t>
            </a:r>
            <a:r>
              <a:rPr lang="fr-FR" sz="900" b="1" baseline="-25000"/>
              <a:t>Ed</a:t>
            </a:r>
          </a:p>
        </xdr:txBody>
      </xdr:sp>
      <xdr:cxnSp macro="">
        <xdr:nvCxnSpPr>
          <xdr:cNvPr id="35" name="Connecteur droit avec flèche 34">
            <a:extLst>
              <a:ext uri="{FF2B5EF4-FFF2-40B4-BE49-F238E27FC236}">
                <a16:creationId xmlns:a16="http://schemas.microsoft.com/office/drawing/2014/main" id="{00000000-0008-0000-0400-000023000000}"/>
              </a:ext>
            </a:extLst>
          </xdr:cNvPr>
          <xdr:cNvCxnSpPr/>
        </xdr:nvCxnSpPr>
        <xdr:spPr>
          <a:xfrm>
            <a:off x="7832251" y="27113355"/>
            <a:ext cx="518715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ZoneTexte 35">
            <a:extLst>
              <a:ext uri="{FF2B5EF4-FFF2-40B4-BE49-F238E27FC236}">
                <a16:creationId xmlns:a16="http://schemas.microsoft.com/office/drawing/2014/main" id="{00000000-0008-0000-0400-000024000000}"/>
              </a:ext>
            </a:extLst>
          </xdr:cNvPr>
          <xdr:cNvSpPr txBox="1"/>
        </xdr:nvSpPr>
        <xdr:spPr>
          <a:xfrm>
            <a:off x="7959936" y="26945016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/>
              <a:t>L</a:t>
            </a:r>
            <a:endParaRPr lang="fr-FR" sz="900" baseline="-25000"/>
          </a:p>
        </xdr:txBody>
      </xdr:sp>
      <xdr:sp macro="" textlink="">
        <xdr:nvSpPr>
          <xdr:cNvPr id="41" name="ZoneTexte 40">
            <a:extLst>
              <a:ext uri="{FF2B5EF4-FFF2-40B4-BE49-F238E27FC236}">
                <a16:creationId xmlns:a16="http://schemas.microsoft.com/office/drawing/2014/main" id="{00000000-0008-0000-0400-000029000000}"/>
              </a:ext>
            </a:extLst>
          </xdr:cNvPr>
          <xdr:cNvSpPr txBox="1"/>
        </xdr:nvSpPr>
        <xdr:spPr>
          <a:xfrm>
            <a:off x="7658346" y="27264917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A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49" name="Rectangle 48">
            <a:extLst>
              <a:ext uri="{FF2B5EF4-FFF2-40B4-BE49-F238E27FC236}">
                <a16:creationId xmlns:a16="http://schemas.microsoft.com/office/drawing/2014/main" id="{00000000-0008-0000-0400-000031000000}"/>
              </a:ext>
            </a:extLst>
          </xdr:cNvPr>
          <xdr:cNvSpPr/>
        </xdr:nvSpPr>
        <xdr:spPr>
          <a:xfrm>
            <a:off x="7832408" y="27176367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0" name="Rectangle 49">
            <a:extLst>
              <a:ext uri="{FF2B5EF4-FFF2-40B4-BE49-F238E27FC236}">
                <a16:creationId xmlns:a16="http://schemas.microsoft.com/office/drawing/2014/main" id="{00000000-0008-0000-0400-000032000000}"/>
              </a:ext>
            </a:extLst>
          </xdr:cNvPr>
          <xdr:cNvSpPr/>
        </xdr:nvSpPr>
        <xdr:spPr>
          <a:xfrm>
            <a:off x="7832408" y="27410349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4" name="Rectangle 53">
            <a:extLst>
              <a:ext uri="{FF2B5EF4-FFF2-40B4-BE49-F238E27FC236}">
                <a16:creationId xmlns:a16="http://schemas.microsoft.com/office/drawing/2014/main" id="{00000000-0008-0000-0400-000036000000}"/>
              </a:ext>
            </a:extLst>
          </xdr:cNvPr>
          <xdr:cNvSpPr/>
        </xdr:nvSpPr>
        <xdr:spPr>
          <a:xfrm>
            <a:off x="7832408" y="27471828"/>
            <a:ext cx="518400" cy="360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5" name="Forme libre : forme 54">
            <a:extLst>
              <a:ext uri="{FF2B5EF4-FFF2-40B4-BE49-F238E27FC236}">
                <a16:creationId xmlns:a16="http://schemas.microsoft.com/office/drawing/2014/main" id="{00000000-0008-0000-0400-000037000000}"/>
              </a:ext>
            </a:extLst>
          </xdr:cNvPr>
          <xdr:cNvSpPr/>
        </xdr:nvSpPr>
        <xdr:spPr>
          <a:xfrm rot="16200000">
            <a:off x="8581884" y="27042062"/>
            <a:ext cx="36000" cy="265622"/>
          </a:xfrm>
          <a:custGeom>
            <a:avLst/>
            <a:gdLst>
              <a:gd name="connsiteX0" fmla="*/ 0 w 66261"/>
              <a:gd name="connsiteY0" fmla="*/ 0 h 579782"/>
              <a:gd name="connsiteX1" fmla="*/ 0 w 66261"/>
              <a:gd name="connsiteY1" fmla="*/ 579782 h 579782"/>
              <a:gd name="connsiteX2" fmla="*/ 66261 w 66261"/>
              <a:gd name="connsiteY2" fmla="*/ 331304 h 579782"/>
              <a:gd name="connsiteX3" fmla="*/ 0 w 66261"/>
              <a:gd name="connsiteY3" fmla="*/ 339587 h 579782"/>
              <a:gd name="connsiteX4" fmla="*/ 0 w 66261"/>
              <a:gd name="connsiteY4" fmla="*/ 339587 h 57978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6261" h="579782">
                <a:moveTo>
                  <a:pt x="0" y="0"/>
                </a:moveTo>
                <a:lnTo>
                  <a:pt x="0" y="579782"/>
                </a:lnTo>
                <a:lnTo>
                  <a:pt x="66261" y="331304"/>
                </a:lnTo>
                <a:lnTo>
                  <a:pt x="0" y="339587"/>
                </a:lnTo>
                <a:lnTo>
                  <a:pt x="0" y="339587"/>
                </a:lnTo>
              </a:path>
            </a:pathLst>
          </a:custGeom>
          <a:solidFill>
            <a:srgbClr val="0070C0"/>
          </a:solidFill>
          <a:ln w="25400">
            <a:solidFill>
              <a:srgbClr val="0070C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6" name="Arc 55">
            <a:extLst>
              <a:ext uri="{FF2B5EF4-FFF2-40B4-BE49-F238E27FC236}">
                <a16:creationId xmlns:a16="http://schemas.microsoft.com/office/drawing/2014/main" id="{00000000-0008-0000-0400-000038000000}"/>
              </a:ext>
            </a:extLst>
          </xdr:cNvPr>
          <xdr:cNvSpPr>
            <a:spLocks noChangeAspect="1"/>
          </xdr:cNvSpPr>
        </xdr:nvSpPr>
        <xdr:spPr>
          <a:xfrm>
            <a:off x="7918739" y="26799885"/>
            <a:ext cx="360000" cy="360000"/>
          </a:xfrm>
          <a:prstGeom prst="arc">
            <a:avLst>
              <a:gd name="adj1" fmla="val 10687710"/>
              <a:gd name="adj2" fmla="val 573424"/>
            </a:avLst>
          </a:prstGeom>
          <a:ln w="25400">
            <a:headEnd type="none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7" name="ZoneTexte 56">
            <a:extLst>
              <a:ext uri="{FF2B5EF4-FFF2-40B4-BE49-F238E27FC236}">
                <a16:creationId xmlns:a16="http://schemas.microsoft.com/office/drawing/2014/main" id="{00000000-0008-0000-0400-000039000000}"/>
              </a:ext>
            </a:extLst>
          </xdr:cNvPr>
          <xdr:cNvSpPr txBox="1"/>
        </xdr:nvSpPr>
        <xdr:spPr>
          <a:xfrm>
            <a:off x="8139546" y="26646568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M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58" name="ZoneTexte 57">
            <a:extLst>
              <a:ext uri="{FF2B5EF4-FFF2-40B4-BE49-F238E27FC236}">
                <a16:creationId xmlns:a16="http://schemas.microsoft.com/office/drawing/2014/main" id="{00000000-0008-0000-0400-00003A000000}"/>
              </a:ext>
            </a:extLst>
          </xdr:cNvPr>
          <xdr:cNvSpPr txBox="1"/>
        </xdr:nvSpPr>
        <xdr:spPr>
          <a:xfrm>
            <a:off x="8556048" y="26954832"/>
            <a:ext cx="368994" cy="25643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="1" baseline="0"/>
              <a:t>V</a:t>
            </a:r>
            <a:r>
              <a:rPr lang="fr-FR" sz="900" b="1" baseline="-25000"/>
              <a:t>Ed</a:t>
            </a:r>
          </a:p>
        </xdr:txBody>
      </xdr:sp>
      <xdr:sp macro="" textlink="">
        <xdr:nvSpPr>
          <xdr:cNvPr id="59" name="ZoneTexte 58">
            <a:extLst>
              <a:ext uri="{FF2B5EF4-FFF2-40B4-BE49-F238E27FC236}">
                <a16:creationId xmlns:a16="http://schemas.microsoft.com/office/drawing/2014/main" id="{00000000-0008-0000-0400-00003B000000}"/>
              </a:ext>
            </a:extLst>
          </xdr:cNvPr>
          <xdr:cNvSpPr txBox="1"/>
        </xdr:nvSpPr>
        <xdr:spPr>
          <a:xfrm>
            <a:off x="7939762" y="27263200"/>
            <a:ext cx="252298" cy="2119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>
                <a:solidFill>
                  <a:srgbClr val="C00000"/>
                </a:solidFill>
              </a:rPr>
              <a:t>C</a:t>
            </a:r>
            <a:endParaRPr lang="fr-FR" sz="900" baseline="-25000">
              <a:solidFill>
                <a:srgbClr val="C00000"/>
              </a:solidFill>
            </a:endParaRPr>
          </a:p>
        </xdr:txBody>
      </xdr:sp>
      <xdr:sp macro="" textlink="">
        <xdr:nvSpPr>
          <xdr:cNvPr id="60" name="Ellipse 59">
            <a:extLst>
              <a:ext uri="{FF2B5EF4-FFF2-40B4-BE49-F238E27FC236}">
                <a16:creationId xmlns:a16="http://schemas.microsoft.com/office/drawing/2014/main" id="{00000000-0008-0000-0400-00003C000000}"/>
              </a:ext>
            </a:extLst>
          </xdr:cNvPr>
          <xdr:cNvSpPr/>
        </xdr:nvSpPr>
        <xdr:spPr>
          <a:xfrm>
            <a:off x="7814827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61" name="Ellipse 60">
            <a:extLst>
              <a:ext uri="{FF2B5EF4-FFF2-40B4-BE49-F238E27FC236}">
                <a16:creationId xmlns:a16="http://schemas.microsoft.com/office/drawing/2014/main" id="{00000000-0008-0000-0400-00003D000000}"/>
              </a:ext>
            </a:extLst>
          </xdr:cNvPr>
          <xdr:cNvSpPr/>
        </xdr:nvSpPr>
        <xdr:spPr>
          <a:xfrm>
            <a:off x="8071139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62" name="Ellipse 61">
            <a:extLst>
              <a:ext uri="{FF2B5EF4-FFF2-40B4-BE49-F238E27FC236}">
                <a16:creationId xmlns:a16="http://schemas.microsoft.com/office/drawing/2014/main" id="{00000000-0008-0000-0400-00003E000000}"/>
              </a:ext>
            </a:extLst>
          </xdr:cNvPr>
          <xdr:cNvSpPr/>
        </xdr:nvSpPr>
        <xdr:spPr>
          <a:xfrm>
            <a:off x="8331784" y="27437195"/>
            <a:ext cx="36000" cy="36000"/>
          </a:xfrm>
          <a:prstGeom prst="ellipse">
            <a:avLst/>
          </a:prstGeom>
          <a:solidFill>
            <a:srgbClr val="C00000"/>
          </a:solidFill>
          <a:ln w="6350">
            <a:solidFill>
              <a:srgbClr val="C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5</xdr:col>
      <xdr:colOff>317899</xdr:colOff>
      <xdr:row>200</xdr:row>
      <xdr:rowOff>173467</xdr:rowOff>
    </xdr:from>
    <xdr:to>
      <xdr:col>9</xdr:col>
      <xdr:colOff>257035</xdr:colOff>
      <xdr:row>210</xdr:row>
      <xdr:rowOff>55846</xdr:rowOff>
    </xdr:to>
    <xdr:grpSp>
      <xdr:nvGrpSpPr>
        <xdr:cNvPr id="177" name="Groupe 176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GrpSpPr>
          <a:grpSpLocks noChangeAspect="1"/>
        </xdr:cNvGrpSpPr>
      </xdr:nvGrpSpPr>
      <xdr:grpSpPr>
        <a:xfrm>
          <a:off x="3356374" y="43531267"/>
          <a:ext cx="2796636" cy="2092179"/>
          <a:chOff x="3461150" y="43363392"/>
          <a:chExt cx="2542396" cy="1894847"/>
        </a:xfrm>
      </xdr:grpSpPr>
      <xdr:grpSp>
        <xdr:nvGrpSpPr>
          <xdr:cNvPr id="171" name="Groupe 170">
            <a:extLst>
              <a:ext uri="{FF2B5EF4-FFF2-40B4-BE49-F238E27FC236}">
                <a16:creationId xmlns:a16="http://schemas.microsoft.com/office/drawing/2014/main" id="{00000000-0008-0000-0400-0000AB000000}"/>
              </a:ext>
            </a:extLst>
          </xdr:cNvPr>
          <xdr:cNvGrpSpPr/>
        </xdr:nvGrpSpPr>
        <xdr:grpSpPr>
          <a:xfrm>
            <a:off x="3461150" y="43363392"/>
            <a:ext cx="2542396" cy="1894847"/>
            <a:chOff x="8191594" y="45251041"/>
            <a:chExt cx="2549723" cy="1904772"/>
          </a:xfrm>
        </xdr:grpSpPr>
        <xdr:grpSp>
          <xdr:nvGrpSpPr>
            <xdr:cNvPr id="142" name="Groupe 141">
              <a:extLst>
                <a:ext uri="{FF2B5EF4-FFF2-40B4-BE49-F238E27FC236}">
                  <a16:creationId xmlns:a16="http://schemas.microsoft.com/office/drawing/2014/main" id="{00000000-0008-0000-0400-00008E000000}"/>
                </a:ext>
              </a:extLst>
            </xdr:cNvPr>
            <xdr:cNvGrpSpPr/>
          </xdr:nvGrpSpPr>
          <xdr:grpSpPr>
            <a:xfrm>
              <a:off x="8191594" y="45251041"/>
              <a:ext cx="2549723" cy="806453"/>
              <a:chOff x="8191594" y="45251041"/>
              <a:chExt cx="2549723" cy="806453"/>
            </a:xfrm>
          </xdr:grpSpPr>
          <xdr:grpSp>
            <xdr:nvGrpSpPr>
              <xdr:cNvPr id="27" name="Groupe 26">
                <a:extLst>
                  <a:ext uri="{FF2B5EF4-FFF2-40B4-BE49-F238E27FC236}">
                    <a16:creationId xmlns:a16="http://schemas.microsoft.com/office/drawing/2014/main" id="{00000000-0008-0000-0400-00001B000000}"/>
                  </a:ext>
                </a:extLst>
              </xdr:cNvPr>
              <xdr:cNvGrpSpPr/>
            </xdr:nvGrpSpPr>
            <xdr:grpSpPr>
              <a:xfrm>
                <a:off x="8191594" y="45251041"/>
                <a:ext cx="2549723" cy="806453"/>
                <a:chOff x="12788128" y="3056122"/>
                <a:chExt cx="2539832" cy="802966"/>
              </a:xfrm>
            </xdr:grpSpPr>
            <xdr:sp macro="" textlink="">
              <xdr:nvSpPr>
                <xdr:cNvPr id="30" name="Rectangle 29">
                  <a:extLst>
                    <a:ext uri="{FF2B5EF4-FFF2-40B4-BE49-F238E27FC236}">
                      <a16:creationId xmlns:a16="http://schemas.microsoft.com/office/drawing/2014/main" id="{00000000-0008-0000-0400-00001E000000}"/>
                    </a:ext>
                  </a:extLst>
                </xdr:cNvPr>
                <xdr:cNvSpPr/>
              </xdr:nvSpPr>
              <xdr:spPr>
                <a:xfrm>
                  <a:off x="14751741" y="3463504"/>
                  <a:ext cx="36000" cy="358440"/>
                </a:xfrm>
                <a:prstGeom prst="rect">
                  <a:avLst/>
                </a:prstGeom>
                <a:solidFill>
                  <a:schemeClr val="tx1"/>
                </a:solidFill>
                <a:ln w="6350"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7" name="Rectangle 36">
                  <a:extLst>
                    <a:ext uri="{FF2B5EF4-FFF2-40B4-BE49-F238E27FC236}">
                      <a16:creationId xmlns:a16="http://schemas.microsoft.com/office/drawing/2014/main" id="{00000000-0008-0000-0400-000025000000}"/>
                    </a:ext>
                  </a:extLst>
                </xdr:cNvPr>
                <xdr:cNvSpPr/>
              </xdr:nvSpPr>
              <xdr:spPr>
                <a:xfrm>
                  <a:off x="14362386" y="3463504"/>
                  <a:ext cx="36000" cy="358439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cxnSp macro="">
              <xdr:nvCxnSpPr>
                <xdr:cNvPr id="38" name="Connecteur droit avec flèche 37">
                  <a:extLst>
                    <a:ext uri="{FF2B5EF4-FFF2-40B4-BE49-F238E27FC236}">
                      <a16:creationId xmlns:a16="http://schemas.microsoft.com/office/drawing/2014/main" id="{00000000-0008-0000-0400-000026000000}"/>
                    </a:ext>
                  </a:extLst>
                </xdr:cNvPr>
                <xdr:cNvCxnSpPr/>
              </xdr:nvCxnSpPr>
              <xdr:spPr>
                <a:xfrm>
                  <a:off x="14968371" y="3456210"/>
                  <a:ext cx="0" cy="358439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39" name="ZoneTexte 38">
                  <a:extLst>
                    <a:ext uri="{FF2B5EF4-FFF2-40B4-BE49-F238E27FC236}">
                      <a16:creationId xmlns:a16="http://schemas.microsoft.com/office/drawing/2014/main" id="{00000000-0008-0000-0400-000027000000}"/>
                    </a:ext>
                  </a:extLst>
                </xdr:cNvPr>
                <xdr:cNvSpPr txBox="1"/>
              </xdr:nvSpPr>
              <xdr:spPr>
                <a:xfrm>
                  <a:off x="14934443" y="3571650"/>
                  <a:ext cx="393517" cy="17793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h = L</a:t>
                  </a:r>
                  <a:r>
                    <a:rPr lang="fr-FR" sz="900" baseline="-25000"/>
                    <a:t>v</a:t>
                  </a:r>
                  <a:r>
                    <a:rPr lang="fr-FR" sz="900"/>
                    <a:t> </a:t>
                  </a:r>
                </a:p>
              </xdr:txBody>
            </xdr:sp>
            <xdr:sp macro="" textlink="">
              <xdr:nvSpPr>
                <xdr:cNvPr id="63" name="Rectangle 62">
                  <a:extLst>
                    <a:ext uri="{FF2B5EF4-FFF2-40B4-BE49-F238E27FC236}">
                      <a16:creationId xmlns:a16="http://schemas.microsoft.com/office/drawing/2014/main" id="{00000000-0008-0000-0400-00003F000000}"/>
                    </a:ext>
                  </a:extLst>
                </xdr:cNvPr>
                <xdr:cNvSpPr/>
              </xdr:nvSpPr>
              <xdr:spPr>
                <a:xfrm>
                  <a:off x="14391911" y="3823112"/>
                  <a:ext cx="359465" cy="35976"/>
                </a:xfrm>
                <a:prstGeom prst="rect">
                  <a:avLst/>
                </a:prstGeom>
                <a:solidFill>
                  <a:schemeClr val="tx1"/>
                </a:solidFill>
                <a:ln w="6350"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67" name="Rectangle 66">
                  <a:extLst>
                    <a:ext uri="{FF2B5EF4-FFF2-40B4-BE49-F238E27FC236}">
                      <a16:creationId xmlns:a16="http://schemas.microsoft.com/office/drawing/2014/main" id="{00000000-0008-0000-0400-000043000000}"/>
                    </a:ext>
                  </a:extLst>
                </xdr:cNvPr>
                <xdr:cNvSpPr/>
              </xdr:nvSpPr>
              <xdr:spPr>
                <a:xfrm>
                  <a:off x="14391911" y="3433317"/>
                  <a:ext cx="359465" cy="35976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cxnSp macro="">
              <xdr:nvCxnSpPr>
                <xdr:cNvPr id="70" name="Connecteur droit avec flèche 69">
                  <a:extLst>
                    <a:ext uri="{FF2B5EF4-FFF2-40B4-BE49-F238E27FC236}">
                      <a16:creationId xmlns:a16="http://schemas.microsoft.com/office/drawing/2014/main" id="{00000000-0008-0000-0400-000046000000}"/>
                    </a:ext>
                  </a:extLst>
                </xdr:cNvPr>
                <xdr:cNvCxnSpPr>
                  <a:cxnSpLocks noChangeAspect="1"/>
                </xdr:cNvCxnSpPr>
              </xdr:nvCxnSpPr>
              <xdr:spPr>
                <a:xfrm>
                  <a:off x="12969455" y="3645712"/>
                  <a:ext cx="329704" cy="0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71" name="ZoneTexte 70">
                  <a:extLst>
                    <a:ext uri="{FF2B5EF4-FFF2-40B4-BE49-F238E27FC236}">
                      <a16:creationId xmlns:a16="http://schemas.microsoft.com/office/drawing/2014/main" id="{00000000-0008-0000-0400-000047000000}"/>
                    </a:ext>
                  </a:extLst>
                </xdr:cNvPr>
                <xdr:cNvSpPr txBox="1"/>
              </xdr:nvSpPr>
              <xdr:spPr>
                <a:xfrm>
                  <a:off x="12788128" y="3611822"/>
                  <a:ext cx="307286" cy="21222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/>
                    <a:t>N</a:t>
                  </a:r>
                  <a:r>
                    <a:rPr lang="fr-FR" sz="900" b="1" baseline="-25000"/>
                    <a:t>Ed</a:t>
                  </a:r>
                  <a:endParaRPr lang="fr-FR" sz="1100" b="1" baseline="-25000"/>
                </a:p>
              </xdr:txBody>
            </xdr:sp>
            <xdr:cxnSp macro="">
              <xdr:nvCxnSpPr>
                <xdr:cNvPr id="72" name="Connecteur droit avec flèche 71">
                  <a:extLst>
                    <a:ext uri="{FF2B5EF4-FFF2-40B4-BE49-F238E27FC236}">
                      <a16:creationId xmlns:a16="http://schemas.microsoft.com/office/drawing/2014/main" id="{00000000-0008-0000-0400-000048000000}"/>
                    </a:ext>
                  </a:extLst>
                </xdr:cNvPr>
                <xdr:cNvCxnSpPr/>
              </xdr:nvCxnSpPr>
              <xdr:spPr>
                <a:xfrm>
                  <a:off x="14391911" y="3262667"/>
                  <a:ext cx="359465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74" name="ZoneTexte 73">
                  <a:extLst>
                    <a:ext uri="{FF2B5EF4-FFF2-40B4-BE49-F238E27FC236}">
                      <a16:creationId xmlns:a16="http://schemas.microsoft.com/office/drawing/2014/main" id="{00000000-0008-0000-0400-00004A000000}"/>
                    </a:ext>
                  </a:extLst>
                </xdr:cNvPr>
                <xdr:cNvSpPr txBox="1"/>
              </xdr:nvSpPr>
              <xdr:spPr>
                <a:xfrm>
                  <a:off x="14362398" y="3056122"/>
                  <a:ext cx="381680" cy="17538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b = L </a:t>
                  </a:r>
                  <a:r>
                    <a:rPr lang="fr-FR" sz="900" baseline="-25000"/>
                    <a:t>h</a:t>
                  </a:r>
                </a:p>
              </xdr:txBody>
            </xdr:sp>
          </xdr:grpSp>
          <xdr:sp macro="" textlink="">
            <xdr:nvSpPr>
              <xdr:cNvPr id="138" name="Rectangle : coins arrondis 137">
                <a:extLst>
                  <a:ext uri="{FF2B5EF4-FFF2-40B4-BE49-F238E27FC236}">
                    <a16:creationId xmlns:a16="http://schemas.microsoft.com/office/drawing/2014/main" id="{00000000-0008-0000-0400-00008A000000}"/>
                  </a:ext>
                </a:extLst>
              </xdr:cNvPr>
              <xdr:cNvSpPr/>
            </xdr:nvSpPr>
            <xdr:spPr>
              <a:xfrm>
                <a:off x="9819982" y="45678240"/>
                <a:ext cx="324000" cy="324000"/>
              </a:xfrm>
              <a:prstGeom prst="roundRect">
                <a:avLst>
                  <a:gd name="adj" fmla="val 7592"/>
                </a:avLst>
              </a:prstGeom>
              <a:noFill/>
              <a:ln w="9525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grpSp>
          <xdr:nvGrpSpPr>
            <xdr:cNvPr id="169" name="Groupe 168">
              <a:extLst>
                <a:ext uri="{FF2B5EF4-FFF2-40B4-BE49-F238E27FC236}">
                  <a16:creationId xmlns:a16="http://schemas.microsoft.com/office/drawing/2014/main" id="{00000000-0008-0000-0400-0000A9000000}"/>
                </a:ext>
              </a:extLst>
            </xdr:cNvPr>
            <xdr:cNvGrpSpPr/>
          </xdr:nvGrpSpPr>
          <xdr:grpSpPr>
            <a:xfrm>
              <a:off x="8469924" y="45433793"/>
              <a:ext cx="1150603" cy="662103"/>
              <a:chOff x="8469924" y="45433793"/>
              <a:chExt cx="1150603" cy="662103"/>
            </a:xfrm>
          </xdr:grpSpPr>
          <xdr:sp macro="" textlink="">
            <xdr:nvSpPr>
              <xdr:cNvPr id="76" name="Rectangle 75">
                <a:extLst>
                  <a:ext uri="{FF2B5EF4-FFF2-40B4-BE49-F238E27FC236}">
                    <a16:creationId xmlns:a16="http://schemas.microsoft.com/office/drawing/2014/main" id="{00000000-0008-0000-0400-00004C000000}"/>
                  </a:ext>
                </a:extLst>
              </xdr:cNvPr>
              <xdr:cNvSpPr/>
            </xdr:nvSpPr>
            <xdr:spPr>
              <a:xfrm>
                <a:off x="8768037" y="45675292"/>
                <a:ext cx="432000" cy="360000"/>
              </a:xfrm>
              <a:prstGeom prst="rect">
                <a:avLst/>
              </a:prstGeom>
              <a:solidFill>
                <a:schemeClr val="bg1">
                  <a:alpha val="50000"/>
                </a:schemeClr>
              </a:solidFill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98" name="Rectangle 97">
                <a:extLst>
                  <a:ext uri="{FF2B5EF4-FFF2-40B4-BE49-F238E27FC236}">
                    <a16:creationId xmlns:a16="http://schemas.microsoft.com/office/drawing/2014/main" id="{00000000-0008-0000-0400-000062000000}"/>
                  </a:ext>
                </a:extLst>
              </xdr:cNvPr>
              <xdr:cNvSpPr/>
            </xdr:nvSpPr>
            <xdr:spPr>
              <a:xfrm>
                <a:off x="9193151" y="45673488"/>
                <a:ext cx="36000" cy="360000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3" name="ZoneTexte 142">
                <a:extLst>
                  <a:ext uri="{FF2B5EF4-FFF2-40B4-BE49-F238E27FC236}">
                    <a16:creationId xmlns:a16="http://schemas.microsoft.com/office/drawing/2014/main" id="{00000000-0008-0000-0400-00008F000000}"/>
                  </a:ext>
                </a:extLst>
              </xdr:cNvPr>
              <xdr:cNvSpPr txBox="1"/>
            </xdr:nvSpPr>
            <xdr:spPr>
              <a:xfrm>
                <a:off x="9252276" y="45839718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z,Ed</a:t>
                </a:r>
              </a:p>
            </xdr:txBody>
          </xdr:sp>
          <xdr:sp macro="" textlink="">
            <xdr:nvSpPr>
              <xdr:cNvPr id="144" name="Forme libre : forme 143">
                <a:extLst>
                  <a:ext uri="{FF2B5EF4-FFF2-40B4-BE49-F238E27FC236}">
                    <a16:creationId xmlns:a16="http://schemas.microsoft.com/office/drawing/2014/main" id="{00000000-0008-0000-0400-000090000000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9302524" y="45700688"/>
                <a:ext cx="32367" cy="238578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2" name="Arc 151">
                <a:extLst>
                  <a:ext uri="{FF2B5EF4-FFF2-40B4-BE49-F238E27FC236}">
                    <a16:creationId xmlns:a16="http://schemas.microsoft.com/office/drawing/2014/main" id="{00000000-0008-0000-0400-000098000000}"/>
                  </a:ext>
                </a:extLst>
              </xdr:cNvPr>
              <xdr:cNvSpPr>
                <a:spLocks noChangeAspect="1"/>
              </xdr:cNvSpPr>
            </xdr:nvSpPr>
            <xdr:spPr>
              <a:xfrm rot="16200000">
                <a:off x="8570810" y="45691323"/>
                <a:ext cx="323348" cy="323670"/>
              </a:xfrm>
              <a:prstGeom prst="arc">
                <a:avLst>
                  <a:gd name="adj1" fmla="val 10687710"/>
                  <a:gd name="adj2" fmla="val 573424"/>
                </a:avLst>
              </a:prstGeom>
              <a:ln w="25400">
                <a:headEnd type="none"/>
                <a:tailEnd type="triangl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5" name="ZoneTexte 154">
                <a:extLst>
                  <a:ext uri="{FF2B5EF4-FFF2-40B4-BE49-F238E27FC236}">
                    <a16:creationId xmlns:a16="http://schemas.microsoft.com/office/drawing/2014/main" id="{00000000-0008-0000-0400-00009B000000}"/>
                  </a:ext>
                </a:extLst>
              </xdr:cNvPr>
              <xdr:cNvSpPr txBox="1"/>
            </xdr:nvSpPr>
            <xdr:spPr>
              <a:xfrm>
                <a:off x="8469924" y="45433793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M</a:t>
                </a:r>
                <a:r>
                  <a:rPr lang="fr-FR" sz="900" b="1" baseline="-25000"/>
                  <a:t>y,Ed</a:t>
                </a:r>
              </a:p>
            </xdr:txBody>
          </xdr:sp>
        </xdr:grpSp>
        <xdr:grpSp>
          <xdr:nvGrpSpPr>
            <xdr:cNvPr id="168" name="Groupe 167">
              <a:extLst>
                <a:ext uri="{FF2B5EF4-FFF2-40B4-BE49-F238E27FC236}">
                  <a16:creationId xmlns:a16="http://schemas.microsoft.com/office/drawing/2014/main" id="{00000000-0008-0000-0400-0000A8000000}"/>
                </a:ext>
              </a:extLst>
            </xdr:cNvPr>
            <xdr:cNvGrpSpPr/>
          </xdr:nvGrpSpPr>
          <xdr:grpSpPr>
            <a:xfrm>
              <a:off x="9788793" y="46139049"/>
              <a:ext cx="661304" cy="1016764"/>
              <a:chOff x="9788793" y="46139049"/>
              <a:chExt cx="661304" cy="1016764"/>
            </a:xfrm>
          </xdr:grpSpPr>
          <xdr:sp macro="" textlink="">
            <xdr:nvSpPr>
              <xdr:cNvPr id="91" name="Rectangle 90">
                <a:extLst>
                  <a:ext uri="{FF2B5EF4-FFF2-40B4-BE49-F238E27FC236}">
                    <a16:creationId xmlns:a16="http://schemas.microsoft.com/office/drawing/2014/main" id="{00000000-0008-0000-0400-00005B000000}"/>
                  </a:ext>
                </a:extLst>
              </xdr:cNvPr>
              <xdr:cNvSpPr/>
            </xdr:nvSpPr>
            <xdr:spPr>
              <a:xfrm>
                <a:off x="9788793" y="46511604"/>
                <a:ext cx="360000" cy="432000"/>
              </a:xfrm>
              <a:prstGeom prst="rect">
                <a:avLst/>
              </a:prstGeom>
              <a:noFill/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0" name="Rectangle 99">
                <a:extLst>
                  <a:ext uri="{FF2B5EF4-FFF2-40B4-BE49-F238E27FC236}">
                    <a16:creationId xmlns:a16="http://schemas.microsoft.com/office/drawing/2014/main" id="{00000000-0008-0000-0400-000064000000}"/>
                  </a:ext>
                </a:extLst>
              </xdr:cNvPr>
              <xdr:cNvSpPr/>
            </xdr:nvSpPr>
            <xdr:spPr>
              <a:xfrm>
                <a:off x="9792058" y="46479655"/>
                <a:ext cx="360000" cy="35963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1" name="Forme libre : forme 100">
                <a:extLst>
                  <a:ext uri="{FF2B5EF4-FFF2-40B4-BE49-F238E27FC236}">
                    <a16:creationId xmlns:a16="http://schemas.microsoft.com/office/drawing/2014/main" id="{00000000-0008-0000-0400-000065000000}"/>
                  </a:ext>
                </a:extLst>
              </xdr:cNvPr>
              <xdr:cNvSpPr>
                <a:spLocks noChangeAspect="1"/>
              </xdr:cNvSpPr>
            </xdr:nvSpPr>
            <xdr:spPr>
              <a:xfrm rot="16200000">
                <a:off x="9922320" y="46263338"/>
                <a:ext cx="32366" cy="238578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4" name="ZoneTexte 103">
                <a:extLst>
                  <a:ext uri="{FF2B5EF4-FFF2-40B4-BE49-F238E27FC236}">
                    <a16:creationId xmlns:a16="http://schemas.microsoft.com/office/drawing/2014/main" id="{00000000-0008-0000-0400-000068000000}"/>
                  </a:ext>
                </a:extLst>
              </xdr:cNvPr>
              <xdr:cNvSpPr txBox="1"/>
            </xdr:nvSpPr>
            <xdr:spPr>
              <a:xfrm>
                <a:off x="9900684" y="46139049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y,Ed</a:t>
                </a:r>
              </a:p>
            </xdr:txBody>
          </xdr:sp>
          <xdr:sp macro="" textlink="">
            <xdr:nvSpPr>
              <xdr:cNvPr id="149" name="Arc 148">
                <a:extLst>
                  <a:ext uri="{FF2B5EF4-FFF2-40B4-BE49-F238E27FC236}">
                    <a16:creationId xmlns:a16="http://schemas.microsoft.com/office/drawing/2014/main" id="{00000000-0008-0000-0400-000095000000}"/>
                  </a:ext>
                </a:extLst>
              </xdr:cNvPr>
              <xdr:cNvSpPr>
                <a:spLocks noChangeAspect="1"/>
              </xdr:cNvSpPr>
            </xdr:nvSpPr>
            <xdr:spPr>
              <a:xfrm rot="10800000">
                <a:off x="9808476" y="46828706"/>
                <a:ext cx="323348" cy="323669"/>
              </a:xfrm>
              <a:prstGeom prst="arc">
                <a:avLst>
                  <a:gd name="adj1" fmla="val 10327960"/>
                  <a:gd name="adj2" fmla="val 21472795"/>
                </a:avLst>
              </a:prstGeom>
              <a:ln w="25400">
                <a:headEnd type="triangle" w="med" len="lg"/>
                <a:tailEnd type="non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56" name="ZoneTexte 155">
                <a:extLst>
                  <a:ext uri="{FF2B5EF4-FFF2-40B4-BE49-F238E27FC236}">
                    <a16:creationId xmlns:a16="http://schemas.microsoft.com/office/drawing/2014/main" id="{00000000-0008-0000-0400-00009C000000}"/>
                  </a:ext>
                </a:extLst>
              </xdr:cNvPr>
              <xdr:cNvSpPr txBox="1"/>
            </xdr:nvSpPr>
            <xdr:spPr>
              <a:xfrm>
                <a:off x="10081846" y="46899635"/>
                <a:ext cx="368251" cy="25617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M</a:t>
                </a:r>
                <a:r>
                  <a:rPr lang="fr-FR" sz="900" b="1" baseline="-25000"/>
                  <a:t>z,Ed</a:t>
                </a:r>
              </a:p>
            </xdr:txBody>
          </xdr:sp>
        </xdr:grpSp>
      </xdr:grpSp>
      <xdr:grpSp>
        <xdr:nvGrpSpPr>
          <xdr:cNvPr id="176" name="Groupe 175">
            <a:extLst>
              <a:ext uri="{FF2B5EF4-FFF2-40B4-BE49-F238E27FC236}">
                <a16:creationId xmlns:a16="http://schemas.microsoft.com/office/drawing/2014/main" id="{00000000-0008-0000-0400-0000B0000000}"/>
              </a:ext>
            </a:extLst>
          </xdr:cNvPr>
          <xdr:cNvGrpSpPr/>
        </xdr:nvGrpSpPr>
        <xdr:grpSpPr>
          <a:xfrm>
            <a:off x="4865671" y="43581217"/>
            <a:ext cx="770536" cy="763312"/>
            <a:chOff x="8113329" y="46415555"/>
            <a:chExt cx="770536" cy="771554"/>
          </a:xfrm>
        </xdr:grpSpPr>
        <xdr:grpSp>
          <xdr:nvGrpSpPr>
            <xdr:cNvPr id="174" name="Groupe 173">
              <a:extLst>
                <a:ext uri="{FF2B5EF4-FFF2-40B4-BE49-F238E27FC236}">
                  <a16:creationId xmlns:a16="http://schemas.microsoft.com/office/drawing/2014/main" id="{00000000-0008-0000-0400-0000AE000000}"/>
                </a:ext>
              </a:extLst>
            </xdr:cNvPr>
            <xdr:cNvGrpSpPr/>
          </xdr:nvGrpSpPr>
          <xdr:grpSpPr>
            <a:xfrm>
              <a:off x="8113329" y="46415555"/>
              <a:ext cx="770536" cy="771554"/>
              <a:chOff x="8113329" y="46415555"/>
              <a:chExt cx="770536" cy="771554"/>
            </a:xfrm>
          </xdr:grpSpPr>
          <xdr:sp macro="" textlink="">
            <xdr:nvSpPr>
              <xdr:cNvPr id="102" name="Arc 101">
                <a:extLst>
                  <a:ext uri="{FF2B5EF4-FFF2-40B4-BE49-F238E27FC236}">
                    <a16:creationId xmlns:a16="http://schemas.microsoft.com/office/drawing/2014/main" id="{00000000-0008-0000-0400-000066000000}"/>
                  </a:ext>
                </a:extLst>
              </xdr:cNvPr>
              <xdr:cNvSpPr>
                <a:spLocks noChangeAspect="1"/>
              </xdr:cNvSpPr>
            </xdr:nvSpPr>
            <xdr:spPr>
              <a:xfrm rot="19122151">
                <a:off x="8396211" y="46700703"/>
                <a:ext cx="233768" cy="234000"/>
              </a:xfrm>
              <a:prstGeom prst="arc">
                <a:avLst>
                  <a:gd name="adj1" fmla="val 10687710"/>
                  <a:gd name="adj2" fmla="val 573424"/>
                </a:avLst>
              </a:prstGeom>
              <a:ln w="25400">
                <a:headEnd type="none"/>
                <a:tailEnd type="triangle" w="med" len="lg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grpSp>
            <xdr:nvGrpSpPr>
              <xdr:cNvPr id="173" name="Groupe 172">
                <a:extLst>
                  <a:ext uri="{FF2B5EF4-FFF2-40B4-BE49-F238E27FC236}">
                    <a16:creationId xmlns:a16="http://schemas.microsoft.com/office/drawing/2014/main" id="{00000000-0008-0000-0400-0000AD000000}"/>
                  </a:ext>
                </a:extLst>
              </xdr:cNvPr>
              <xdr:cNvGrpSpPr/>
            </xdr:nvGrpSpPr>
            <xdr:grpSpPr>
              <a:xfrm>
                <a:off x="8113329" y="46415555"/>
                <a:ext cx="770536" cy="771554"/>
                <a:chOff x="9600695" y="45485036"/>
                <a:chExt cx="770536" cy="771554"/>
              </a:xfrm>
            </xdr:grpSpPr>
            <xdr:sp macro="" textlink="">
              <xdr:nvSpPr>
                <xdr:cNvPr id="103" name="ZoneTexte 102">
                  <a:extLst>
                    <a:ext uri="{FF2B5EF4-FFF2-40B4-BE49-F238E27FC236}">
                      <a16:creationId xmlns:a16="http://schemas.microsoft.com/office/drawing/2014/main" id="{00000000-0008-0000-0400-000067000000}"/>
                    </a:ext>
                  </a:extLst>
                </xdr:cNvPr>
                <xdr:cNvSpPr txBox="1"/>
              </xdr:nvSpPr>
              <xdr:spPr>
                <a:xfrm>
                  <a:off x="9822058" y="45750486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x,Ed</a:t>
                  </a:r>
                </a:p>
              </xdr:txBody>
            </xdr:sp>
            <xdr:sp macro="" textlink="">
              <xdr:nvSpPr>
                <xdr:cNvPr id="77" name="ZoneTexte 76">
                  <a:extLst>
                    <a:ext uri="{FF2B5EF4-FFF2-40B4-BE49-F238E27FC236}">
                      <a16:creationId xmlns:a16="http://schemas.microsoft.com/office/drawing/2014/main" id="{00000000-0008-0000-0400-00004D000000}"/>
                    </a:ext>
                  </a:extLst>
                </xdr:cNvPr>
                <xdr:cNvSpPr txBox="1"/>
              </xdr:nvSpPr>
              <xdr:spPr>
                <a:xfrm>
                  <a:off x="9796853" y="46044883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B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97" name="ZoneTexte 96">
                  <a:extLst>
                    <a:ext uri="{FF2B5EF4-FFF2-40B4-BE49-F238E27FC236}">
                      <a16:creationId xmlns:a16="http://schemas.microsoft.com/office/drawing/2014/main" id="{00000000-0008-0000-0400-000061000000}"/>
                    </a:ext>
                  </a:extLst>
                </xdr:cNvPr>
                <xdr:cNvSpPr txBox="1"/>
              </xdr:nvSpPr>
              <xdr:spPr>
                <a:xfrm>
                  <a:off x="9905998" y="45485036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A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105" name="ZoneTexte 104">
                  <a:extLst>
                    <a:ext uri="{FF2B5EF4-FFF2-40B4-BE49-F238E27FC236}">
                      <a16:creationId xmlns:a16="http://schemas.microsoft.com/office/drawing/2014/main" id="{00000000-0008-0000-0400-000069000000}"/>
                    </a:ext>
                  </a:extLst>
                </xdr:cNvPr>
                <xdr:cNvSpPr txBox="1"/>
              </xdr:nvSpPr>
              <xdr:spPr>
                <a:xfrm>
                  <a:off x="9600695" y="45710530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C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145" name="ZoneTexte 144">
                  <a:extLst>
                    <a:ext uri="{FF2B5EF4-FFF2-40B4-BE49-F238E27FC236}">
                      <a16:creationId xmlns:a16="http://schemas.microsoft.com/office/drawing/2014/main" id="{00000000-0008-0000-0400-000091000000}"/>
                    </a:ext>
                  </a:extLst>
                </xdr:cNvPr>
                <xdr:cNvSpPr txBox="1"/>
              </xdr:nvSpPr>
              <xdr:spPr>
                <a:xfrm>
                  <a:off x="10119441" y="45804317"/>
                  <a:ext cx="251790" cy="21170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D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</xdr:grpSp>
        </xdr:grpSp>
        <xdr:grpSp>
          <xdr:nvGrpSpPr>
            <xdr:cNvPr id="175" name="Groupe 174">
              <a:extLst>
                <a:ext uri="{FF2B5EF4-FFF2-40B4-BE49-F238E27FC236}">
                  <a16:creationId xmlns:a16="http://schemas.microsoft.com/office/drawing/2014/main" id="{00000000-0008-0000-0400-0000AF000000}"/>
                </a:ext>
              </a:extLst>
            </xdr:cNvPr>
            <xdr:cNvGrpSpPr/>
          </xdr:nvGrpSpPr>
          <xdr:grpSpPr>
            <a:xfrm>
              <a:off x="8311033" y="46600484"/>
              <a:ext cx="364174" cy="378783"/>
              <a:chOff x="9798398" y="45647984"/>
              <a:chExt cx="364174" cy="378783"/>
            </a:xfrm>
          </xdr:grpSpPr>
          <xdr:sp macro="" textlink="">
            <xdr:nvSpPr>
              <xdr:cNvPr id="136" name="Ellipse 135">
                <a:extLst>
                  <a:ext uri="{FF2B5EF4-FFF2-40B4-BE49-F238E27FC236}">
                    <a16:creationId xmlns:a16="http://schemas.microsoft.com/office/drawing/2014/main" id="{00000000-0008-0000-0400-000088000000}"/>
                  </a:ext>
                </a:extLst>
              </xdr:cNvPr>
              <xdr:cNvSpPr/>
            </xdr:nvSpPr>
            <xdr:spPr>
              <a:xfrm>
                <a:off x="9966285" y="45647984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37" name="Ellipse 136">
                <a:extLst>
                  <a:ext uri="{FF2B5EF4-FFF2-40B4-BE49-F238E27FC236}">
                    <a16:creationId xmlns:a16="http://schemas.microsoft.com/office/drawing/2014/main" id="{00000000-0008-0000-0400-000089000000}"/>
                  </a:ext>
                </a:extLst>
              </xdr:cNvPr>
              <xdr:cNvSpPr/>
            </xdr:nvSpPr>
            <xdr:spPr>
              <a:xfrm>
                <a:off x="9962738" y="45990804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08" name="Ellipse 107">
                <a:extLst>
                  <a:ext uri="{FF2B5EF4-FFF2-40B4-BE49-F238E27FC236}">
                    <a16:creationId xmlns:a16="http://schemas.microsoft.com/office/drawing/2014/main" id="{00000000-0008-0000-0400-00006C000000}"/>
                  </a:ext>
                </a:extLst>
              </xdr:cNvPr>
              <xdr:cNvSpPr/>
            </xdr:nvSpPr>
            <xdr:spPr>
              <a:xfrm>
                <a:off x="9798398" y="45823647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146" name="Ellipse 145">
                <a:extLst>
                  <a:ext uri="{FF2B5EF4-FFF2-40B4-BE49-F238E27FC236}">
                    <a16:creationId xmlns:a16="http://schemas.microsoft.com/office/drawing/2014/main" id="{00000000-0008-0000-0400-000092000000}"/>
                  </a:ext>
                </a:extLst>
              </xdr:cNvPr>
              <xdr:cNvSpPr/>
            </xdr:nvSpPr>
            <xdr:spPr>
              <a:xfrm>
                <a:off x="10126644" y="45820871"/>
                <a:ext cx="35928" cy="35963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</xdr:grpSp>
    <xdr:clientData/>
  </xdr:twoCellAnchor>
  <xdr:twoCellAnchor>
    <xdr:from>
      <xdr:col>5</xdr:col>
      <xdr:colOff>260835</xdr:colOff>
      <xdr:row>254</xdr:row>
      <xdr:rowOff>113629</xdr:rowOff>
    </xdr:from>
    <xdr:to>
      <xdr:col>9</xdr:col>
      <xdr:colOff>82351</xdr:colOff>
      <xdr:row>263</xdr:row>
      <xdr:rowOff>45820</xdr:rowOff>
    </xdr:to>
    <xdr:grpSp>
      <xdr:nvGrpSpPr>
        <xdr:cNvPr id="224" name="Groupe 223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GrpSpPr>
          <a:grpSpLocks noChangeAspect="1"/>
        </xdr:cNvGrpSpPr>
      </xdr:nvGrpSpPr>
      <xdr:grpSpPr>
        <a:xfrm>
          <a:off x="3299310" y="54987154"/>
          <a:ext cx="2679016" cy="1941966"/>
          <a:chOff x="3248023" y="55669612"/>
          <a:chExt cx="2435776" cy="1764498"/>
        </a:xfrm>
      </xdr:grpSpPr>
      <xdr:grpSp>
        <xdr:nvGrpSpPr>
          <xdr:cNvPr id="223" name="Groupe 222">
            <a:extLst>
              <a:ext uri="{FF2B5EF4-FFF2-40B4-BE49-F238E27FC236}">
                <a16:creationId xmlns:a16="http://schemas.microsoft.com/office/drawing/2014/main" id="{00000000-0008-0000-0400-0000DF000000}"/>
              </a:ext>
            </a:extLst>
          </xdr:cNvPr>
          <xdr:cNvGrpSpPr/>
        </xdr:nvGrpSpPr>
        <xdr:grpSpPr>
          <a:xfrm>
            <a:off x="4861215" y="55945526"/>
            <a:ext cx="360000" cy="360000"/>
            <a:chOff x="7328190" y="57488576"/>
            <a:chExt cx="360000" cy="360000"/>
          </a:xfrm>
        </xdr:grpSpPr>
        <xdr:sp macro="" textlink="">
          <xdr:nvSpPr>
            <xdr:cNvPr id="221" name="Ellipse 220">
              <a:extLst>
                <a:ext uri="{FF2B5EF4-FFF2-40B4-BE49-F238E27FC236}">
                  <a16:creationId xmlns:a16="http://schemas.microsoft.com/office/drawing/2014/main" id="{00000000-0008-0000-0400-0000DD000000}"/>
                </a:ext>
              </a:extLst>
            </xdr:cNvPr>
            <xdr:cNvSpPr>
              <a:spLocks/>
            </xdr:cNvSpPr>
          </xdr:nvSpPr>
          <xdr:spPr>
            <a:xfrm>
              <a:off x="7373190" y="57533581"/>
              <a:ext cx="270000" cy="2700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222" name="Ellipse 221">
              <a:extLst>
                <a:ext uri="{FF2B5EF4-FFF2-40B4-BE49-F238E27FC236}">
                  <a16:creationId xmlns:a16="http://schemas.microsoft.com/office/drawing/2014/main" id="{00000000-0008-0000-0400-0000DE000000}"/>
                </a:ext>
              </a:extLst>
            </xdr:cNvPr>
            <xdr:cNvSpPr>
              <a:spLocks/>
            </xdr:cNvSpPr>
          </xdr:nvSpPr>
          <xdr:spPr>
            <a:xfrm>
              <a:off x="7328190" y="57488576"/>
              <a:ext cx="360000" cy="360000"/>
            </a:xfrm>
            <a:prstGeom prst="ellipse">
              <a:avLst/>
            </a:prstGeom>
            <a:noFill/>
            <a:ln w="2540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grpSp>
        <xdr:nvGrpSpPr>
          <xdr:cNvPr id="178" name="Groupe 177">
            <a:extLst>
              <a:ext uri="{FF2B5EF4-FFF2-40B4-BE49-F238E27FC236}">
                <a16:creationId xmlns:a16="http://schemas.microsoft.com/office/drawing/2014/main" id="{00000000-0008-0000-0400-0000B2000000}"/>
              </a:ext>
            </a:extLst>
          </xdr:cNvPr>
          <xdr:cNvGrpSpPr/>
        </xdr:nvGrpSpPr>
        <xdr:grpSpPr>
          <a:xfrm>
            <a:off x="3248023" y="55669612"/>
            <a:ext cx="2435776" cy="1764498"/>
            <a:chOff x="3461148" y="43501864"/>
            <a:chExt cx="2435776" cy="1757973"/>
          </a:xfrm>
        </xdr:grpSpPr>
        <xdr:grpSp>
          <xdr:nvGrpSpPr>
            <xdr:cNvPr id="179" name="Groupe 178">
              <a:extLst>
                <a:ext uri="{FF2B5EF4-FFF2-40B4-BE49-F238E27FC236}">
                  <a16:creationId xmlns:a16="http://schemas.microsoft.com/office/drawing/2014/main" id="{00000000-0008-0000-0400-0000B3000000}"/>
                </a:ext>
              </a:extLst>
            </xdr:cNvPr>
            <xdr:cNvGrpSpPr/>
          </xdr:nvGrpSpPr>
          <xdr:grpSpPr>
            <a:xfrm>
              <a:off x="3461148" y="43501864"/>
              <a:ext cx="2435776" cy="1757973"/>
              <a:chOff x="8191593" y="45390289"/>
              <a:chExt cx="2442796" cy="1767183"/>
            </a:xfrm>
          </xdr:grpSpPr>
          <xdr:grpSp>
            <xdr:nvGrpSpPr>
              <xdr:cNvPr id="209" name="Groupe 208">
                <a:extLst>
                  <a:ext uri="{FF2B5EF4-FFF2-40B4-BE49-F238E27FC236}">
                    <a16:creationId xmlns:a16="http://schemas.microsoft.com/office/drawing/2014/main" id="{00000000-0008-0000-0400-0000D1000000}"/>
                  </a:ext>
                </a:extLst>
              </xdr:cNvPr>
              <xdr:cNvGrpSpPr/>
            </xdr:nvGrpSpPr>
            <xdr:grpSpPr>
              <a:xfrm>
                <a:off x="8191593" y="45652863"/>
                <a:ext cx="2442796" cy="369430"/>
                <a:chOff x="12788128" y="3456210"/>
                <a:chExt cx="2433320" cy="367833"/>
              </a:xfrm>
            </xdr:grpSpPr>
            <xdr:cxnSp macro="">
              <xdr:nvCxnSpPr>
                <xdr:cNvPr id="213" name="Connecteur droit avec flèche 212">
                  <a:extLst>
                    <a:ext uri="{FF2B5EF4-FFF2-40B4-BE49-F238E27FC236}">
                      <a16:creationId xmlns:a16="http://schemas.microsoft.com/office/drawing/2014/main" id="{00000000-0008-0000-0400-0000D5000000}"/>
                    </a:ext>
                  </a:extLst>
                </xdr:cNvPr>
                <xdr:cNvCxnSpPr/>
              </xdr:nvCxnSpPr>
              <xdr:spPr>
                <a:xfrm>
                  <a:off x="14968371" y="3456210"/>
                  <a:ext cx="0" cy="358439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4" name="ZoneTexte 213">
                  <a:extLst>
                    <a:ext uri="{FF2B5EF4-FFF2-40B4-BE49-F238E27FC236}">
                      <a16:creationId xmlns:a16="http://schemas.microsoft.com/office/drawing/2014/main" id="{00000000-0008-0000-0400-0000D6000000}"/>
                    </a:ext>
                  </a:extLst>
                </xdr:cNvPr>
                <xdr:cNvSpPr txBox="1"/>
              </xdr:nvSpPr>
              <xdr:spPr>
                <a:xfrm>
                  <a:off x="14934444" y="3571650"/>
                  <a:ext cx="287004" cy="17793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/>
                    <a:t>d </a:t>
                  </a:r>
                </a:p>
              </xdr:txBody>
            </xdr:sp>
            <xdr:cxnSp macro="">
              <xdr:nvCxnSpPr>
                <xdr:cNvPr id="217" name="Connecteur droit avec flèche 216">
                  <a:extLst>
                    <a:ext uri="{FF2B5EF4-FFF2-40B4-BE49-F238E27FC236}">
                      <a16:creationId xmlns:a16="http://schemas.microsoft.com/office/drawing/2014/main" id="{00000000-0008-0000-0400-0000D9000000}"/>
                    </a:ext>
                  </a:extLst>
                </xdr:cNvPr>
                <xdr:cNvCxnSpPr>
                  <a:cxnSpLocks noChangeAspect="1"/>
                </xdr:cNvCxnSpPr>
              </xdr:nvCxnSpPr>
              <xdr:spPr>
                <a:xfrm>
                  <a:off x="12973888" y="3664373"/>
                  <a:ext cx="329704" cy="0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8" name="ZoneTexte 217">
                  <a:extLst>
                    <a:ext uri="{FF2B5EF4-FFF2-40B4-BE49-F238E27FC236}">
                      <a16:creationId xmlns:a16="http://schemas.microsoft.com/office/drawing/2014/main" id="{00000000-0008-0000-0400-0000DA000000}"/>
                    </a:ext>
                  </a:extLst>
                </xdr:cNvPr>
                <xdr:cNvSpPr txBox="1"/>
              </xdr:nvSpPr>
              <xdr:spPr>
                <a:xfrm>
                  <a:off x="12788128" y="3611822"/>
                  <a:ext cx="307286" cy="212221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/>
                    <a:t>N</a:t>
                  </a:r>
                  <a:r>
                    <a:rPr lang="fr-FR" sz="900" b="1" baseline="-25000"/>
                    <a:t>Ed</a:t>
                  </a:r>
                  <a:endParaRPr lang="fr-FR" sz="1100" b="1" baseline="-25000"/>
                </a:p>
              </xdr:txBody>
            </xdr:sp>
          </xdr:grpSp>
          <xdr:grpSp>
            <xdr:nvGrpSpPr>
              <xdr:cNvPr id="195" name="Groupe 194">
                <a:extLst>
                  <a:ext uri="{FF2B5EF4-FFF2-40B4-BE49-F238E27FC236}">
                    <a16:creationId xmlns:a16="http://schemas.microsoft.com/office/drawing/2014/main" id="{00000000-0008-0000-0400-0000C3000000}"/>
                  </a:ext>
                </a:extLst>
              </xdr:cNvPr>
              <xdr:cNvGrpSpPr/>
            </xdr:nvGrpSpPr>
            <xdr:grpSpPr>
              <a:xfrm>
                <a:off x="8469924" y="45390289"/>
                <a:ext cx="1166885" cy="648637"/>
                <a:chOff x="8469924" y="45390289"/>
                <a:chExt cx="1166885" cy="648637"/>
              </a:xfrm>
            </xdr:grpSpPr>
            <xdr:sp macro="" textlink="">
              <xdr:nvSpPr>
                <xdr:cNvPr id="203" name="Rectangle 202">
                  <a:extLst>
                    <a:ext uri="{FF2B5EF4-FFF2-40B4-BE49-F238E27FC236}">
                      <a16:creationId xmlns:a16="http://schemas.microsoft.com/office/drawing/2014/main" id="{00000000-0008-0000-0400-0000CB000000}"/>
                    </a:ext>
                  </a:extLst>
                </xdr:cNvPr>
                <xdr:cNvSpPr/>
              </xdr:nvSpPr>
              <xdr:spPr>
                <a:xfrm>
                  <a:off x="8768037" y="45675292"/>
                  <a:ext cx="432000" cy="360000"/>
                </a:xfrm>
                <a:prstGeom prst="rect">
                  <a:avLst/>
                </a:prstGeom>
                <a:solidFill>
                  <a:schemeClr val="bg1">
                    <a:alpha val="50000"/>
                  </a:schemeClr>
                </a:solidFill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4" name="Rectangle 203">
                  <a:extLst>
                    <a:ext uri="{FF2B5EF4-FFF2-40B4-BE49-F238E27FC236}">
                      <a16:creationId xmlns:a16="http://schemas.microsoft.com/office/drawing/2014/main" id="{00000000-0008-0000-0400-0000CC000000}"/>
                    </a:ext>
                  </a:extLst>
                </xdr:cNvPr>
                <xdr:cNvSpPr/>
              </xdr:nvSpPr>
              <xdr:spPr>
                <a:xfrm>
                  <a:off x="9193151" y="45678926"/>
                  <a:ext cx="36000" cy="360000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5" name="ZoneTexte 204">
                  <a:extLst>
                    <a:ext uri="{FF2B5EF4-FFF2-40B4-BE49-F238E27FC236}">
                      <a16:creationId xmlns:a16="http://schemas.microsoft.com/office/drawing/2014/main" id="{00000000-0008-0000-0400-0000CD000000}"/>
                    </a:ext>
                  </a:extLst>
                </xdr:cNvPr>
                <xdr:cNvSpPr txBox="1"/>
              </xdr:nvSpPr>
              <xdr:spPr>
                <a:xfrm>
                  <a:off x="9268558" y="45551481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z,Ed</a:t>
                  </a:r>
                </a:p>
              </xdr:txBody>
            </xdr:sp>
            <xdr:sp macro="" textlink="">
              <xdr:nvSpPr>
                <xdr:cNvPr id="206" name="Forme libre : forme 205">
                  <a:extLst>
                    <a:ext uri="{FF2B5EF4-FFF2-40B4-BE49-F238E27FC236}">
                      <a16:creationId xmlns:a16="http://schemas.microsoft.com/office/drawing/2014/main" id="{00000000-0008-0000-0400-0000CE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9302523" y="45700688"/>
                  <a:ext cx="32367" cy="238578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7" name="Arc 206">
                  <a:extLst>
                    <a:ext uri="{FF2B5EF4-FFF2-40B4-BE49-F238E27FC236}">
                      <a16:creationId xmlns:a16="http://schemas.microsoft.com/office/drawing/2014/main" id="{00000000-0008-0000-0400-0000CF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6200000">
                  <a:off x="8575257" y="45702201"/>
                  <a:ext cx="323348" cy="323670"/>
                </a:xfrm>
                <a:prstGeom prst="arc">
                  <a:avLst>
                    <a:gd name="adj1" fmla="val 10687710"/>
                    <a:gd name="adj2" fmla="val 573424"/>
                  </a:avLst>
                </a:prstGeom>
                <a:ln w="25400">
                  <a:headEnd type="none"/>
                  <a:tailEnd type="triangl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8" name="ZoneTexte 207">
                  <a:extLst>
                    <a:ext uri="{FF2B5EF4-FFF2-40B4-BE49-F238E27FC236}">
                      <a16:creationId xmlns:a16="http://schemas.microsoft.com/office/drawing/2014/main" id="{00000000-0008-0000-0400-0000D0000000}"/>
                    </a:ext>
                  </a:extLst>
                </xdr:cNvPr>
                <xdr:cNvSpPr txBox="1"/>
              </xdr:nvSpPr>
              <xdr:spPr>
                <a:xfrm>
                  <a:off x="8469924" y="45390289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y,Ed</a:t>
                  </a:r>
                </a:p>
              </xdr:txBody>
            </xdr:sp>
          </xdr:grpSp>
          <xdr:grpSp>
            <xdr:nvGrpSpPr>
              <xdr:cNvPr id="196" name="Groupe 195">
                <a:extLst>
                  <a:ext uri="{FF2B5EF4-FFF2-40B4-BE49-F238E27FC236}">
                    <a16:creationId xmlns:a16="http://schemas.microsoft.com/office/drawing/2014/main" id="{00000000-0008-0000-0400-0000C4000000}"/>
                  </a:ext>
                </a:extLst>
              </xdr:cNvPr>
              <xdr:cNvGrpSpPr/>
            </xdr:nvGrpSpPr>
            <xdr:grpSpPr>
              <a:xfrm>
                <a:off x="9788793" y="46139049"/>
                <a:ext cx="661304" cy="1018423"/>
                <a:chOff x="9788793" y="46139049"/>
                <a:chExt cx="661304" cy="1018423"/>
              </a:xfrm>
            </xdr:grpSpPr>
            <xdr:sp macro="" textlink="">
              <xdr:nvSpPr>
                <xdr:cNvPr id="197" name="Rectangle 196">
                  <a:extLst>
                    <a:ext uri="{FF2B5EF4-FFF2-40B4-BE49-F238E27FC236}">
                      <a16:creationId xmlns:a16="http://schemas.microsoft.com/office/drawing/2014/main" id="{00000000-0008-0000-0400-0000C5000000}"/>
                    </a:ext>
                  </a:extLst>
                </xdr:cNvPr>
                <xdr:cNvSpPr/>
              </xdr:nvSpPr>
              <xdr:spPr>
                <a:xfrm>
                  <a:off x="9788793" y="46511604"/>
                  <a:ext cx="360000" cy="432000"/>
                </a:xfrm>
                <a:prstGeom prst="rect">
                  <a:avLst/>
                </a:prstGeom>
                <a:noFill/>
                <a:ln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98" name="Rectangle 197">
                  <a:extLst>
                    <a:ext uri="{FF2B5EF4-FFF2-40B4-BE49-F238E27FC236}">
                      <a16:creationId xmlns:a16="http://schemas.microsoft.com/office/drawing/2014/main" id="{00000000-0008-0000-0400-0000C6000000}"/>
                    </a:ext>
                  </a:extLst>
                </xdr:cNvPr>
                <xdr:cNvSpPr/>
              </xdr:nvSpPr>
              <xdr:spPr>
                <a:xfrm>
                  <a:off x="9790579" y="46479655"/>
                  <a:ext cx="360000" cy="35963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99" name="Forme libre : forme 198">
                  <a:extLst>
                    <a:ext uri="{FF2B5EF4-FFF2-40B4-BE49-F238E27FC236}">
                      <a16:creationId xmlns:a16="http://schemas.microsoft.com/office/drawing/2014/main" id="{00000000-0008-0000-0400-0000C7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6200000">
                  <a:off x="9922318" y="46263338"/>
                  <a:ext cx="32367" cy="238578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0" name="ZoneTexte 199">
                  <a:extLst>
                    <a:ext uri="{FF2B5EF4-FFF2-40B4-BE49-F238E27FC236}">
                      <a16:creationId xmlns:a16="http://schemas.microsoft.com/office/drawing/2014/main" id="{00000000-0008-0000-0400-0000C8000000}"/>
                    </a:ext>
                  </a:extLst>
                </xdr:cNvPr>
                <xdr:cNvSpPr txBox="1"/>
              </xdr:nvSpPr>
              <xdr:spPr>
                <a:xfrm>
                  <a:off x="9900684" y="46139049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y,Ed</a:t>
                  </a:r>
                </a:p>
              </xdr:txBody>
            </xdr:sp>
            <xdr:sp macro="" textlink="">
              <xdr:nvSpPr>
                <xdr:cNvPr id="201" name="Arc 200">
                  <a:extLst>
                    <a:ext uri="{FF2B5EF4-FFF2-40B4-BE49-F238E27FC236}">
                      <a16:creationId xmlns:a16="http://schemas.microsoft.com/office/drawing/2014/main" id="{00000000-0008-0000-0400-0000C9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0800000">
                  <a:off x="9811434" y="46833803"/>
                  <a:ext cx="323348" cy="323669"/>
                </a:xfrm>
                <a:prstGeom prst="arc">
                  <a:avLst>
                    <a:gd name="adj1" fmla="val 10327960"/>
                    <a:gd name="adj2" fmla="val 21472795"/>
                  </a:avLst>
                </a:prstGeom>
                <a:ln w="25400"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02" name="ZoneTexte 201">
                  <a:extLst>
                    <a:ext uri="{FF2B5EF4-FFF2-40B4-BE49-F238E27FC236}">
                      <a16:creationId xmlns:a16="http://schemas.microsoft.com/office/drawing/2014/main" id="{00000000-0008-0000-0400-0000CA000000}"/>
                    </a:ext>
                  </a:extLst>
                </xdr:cNvPr>
                <xdr:cNvSpPr txBox="1"/>
              </xdr:nvSpPr>
              <xdr:spPr>
                <a:xfrm>
                  <a:off x="10081846" y="46899635"/>
                  <a:ext cx="368251" cy="256178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M</a:t>
                  </a:r>
                  <a:r>
                    <a:rPr lang="fr-FR" sz="900" b="1" baseline="-25000"/>
                    <a:t>z,Ed</a:t>
                  </a:r>
                </a:p>
              </xdr:txBody>
            </xdr:sp>
          </xdr:grpSp>
        </xdr:grpSp>
        <xdr:grpSp>
          <xdr:nvGrpSpPr>
            <xdr:cNvPr id="180" name="Groupe 179">
              <a:extLst>
                <a:ext uri="{FF2B5EF4-FFF2-40B4-BE49-F238E27FC236}">
                  <a16:creationId xmlns:a16="http://schemas.microsoft.com/office/drawing/2014/main" id="{00000000-0008-0000-0400-0000B4000000}"/>
                </a:ext>
              </a:extLst>
            </xdr:cNvPr>
            <xdr:cNvGrpSpPr/>
          </xdr:nvGrpSpPr>
          <xdr:grpSpPr>
            <a:xfrm>
              <a:off x="4897162" y="43612490"/>
              <a:ext cx="727236" cy="677239"/>
              <a:chOff x="8144820" y="46447192"/>
              <a:chExt cx="727236" cy="684552"/>
            </a:xfrm>
          </xdr:grpSpPr>
          <xdr:grpSp>
            <xdr:nvGrpSpPr>
              <xdr:cNvPr id="181" name="Groupe 180">
                <a:extLst>
                  <a:ext uri="{FF2B5EF4-FFF2-40B4-BE49-F238E27FC236}">
                    <a16:creationId xmlns:a16="http://schemas.microsoft.com/office/drawing/2014/main" id="{00000000-0008-0000-0400-0000B5000000}"/>
                  </a:ext>
                </a:extLst>
              </xdr:cNvPr>
              <xdr:cNvGrpSpPr/>
            </xdr:nvGrpSpPr>
            <xdr:grpSpPr>
              <a:xfrm>
                <a:off x="8144820" y="46447192"/>
                <a:ext cx="727236" cy="684552"/>
                <a:chOff x="8144820" y="46447192"/>
                <a:chExt cx="727236" cy="684552"/>
              </a:xfrm>
            </xdr:grpSpPr>
            <xdr:sp macro="" textlink="">
              <xdr:nvSpPr>
                <xdr:cNvPr id="187" name="Arc 186">
                  <a:extLst>
                    <a:ext uri="{FF2B5EF4-FFF2-40B4-BE49-F238E27FC236}">
                      <a16:creationId xmlns:a16="http://schemas.microsoft.com/office/drawing/2014/main" id="{00000000-0008-0000-0400-0000BB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 rot="19122151">
                  <a:off x="8407058" y="46698729"/>
                  <a:ext cx="180847" cy="181027"/>
                </a:xfrm>
                <a:prstGeom prst="arc">
                  <a:avLst>
                    <a:gd name="adj1" fmla="val 10687710"/>
                    <a:gd name="adj2" fmla="val 573424"/>
                  </a:avLst>
                </a:prstGeom>
                <a:ln w="19050">
                  <a:headEnd type="none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grpSp>
              <xdr:nvGrpSpPr>
                <xdr:cNvPr id="188" name="Groupe 187">
                  <a:extLst>
                    <a:ext uri="{FF2B5EF4-FFF2-40B4-BE49-F238E27FC236}">
                      <a16:creationId xmlns:a16="http://schemas.microsoft.com/office/drawing/2014/main" id="{00000000-0008-0000-0400-0000BC000000}"/>
                    </a:ext>
                  </a:extLst>
                </xdr:cNvPr>
                <xdr:cNvGrpSpPr/>
              </xdr:nvGrpSpPr>
              <xdr:grpSpPr>
                <a:xfrm>
                  <a:off x="8144820" y="46447192"/>
                  <a:ext cx="727236" cy="684552"/>
                  <a:chOff x="9632186" y="45516673"/>
                  <a:chExt cx="727236" cy="684552"/>
                </a:xfrm>
              </xdr:grpSpPr>
              <xdr:sp macro="" textlink="">
                <xdr:nvSpPr>
                  <xdr:cNvPr id="189" name="ZoneTexte 188">
                    <a:extLst>
                      <a:ext uri="{FF2B5EF4-FFF2-40B4-BE49-F238E27FC236}">
                        <a16:creationId xmlns:a16="http://schemas.microsoft.com/office/drawing/2014/main" id="{00000000-0008-0000-0400-0000BD000000}"/>
                      </a:ext>
                    </a:extLst>
                  </xdr:cNvPr>
                  <xdr:cNvSpPr txBox="1"/>
                </xdr:nvSpPr>
                <xdr:spPr>
                  <a:xfrm>
                    <a:off x="9824409" y="45989518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B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0" name="ZoneTexte 189">
                    <a:extLst>
                      <a:ext uri="{FF2B5EF4-FFF2-40B4-BE49-F238E27FC236}">
                        <a16:creationId xmlns:a16="http://schemas.microsoft.com/office/drawing/2014/main" id="{00000000-0008-0000-0400-0000BE000000}"/>
                      </a:ext>
                    </a:extLst>
                  </xdr:cNvPr>
                  <xdr:cNvSpPr txBox="1"/>
                </xdr:nvSpPr>
                <xdr:spPr>
                  <a:xfrm>
                    <a:off x="9937489" y="45516673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A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1" name="ZoneTexte 190">
                    <a:extLst>
                      <a:ext uri="{FF2B5EF4-FFF2-40B4-BE49-F238E27FC236}">
                        <a16:creationId xmlns:a16="http://schemas.microsoft.com/office/drawing/2014/main" id="{00000000-0008-0000-0400-0000BF000000}"/>
                      </a:ext>
                    </a:extLst>
                  </xdr:cNvPr>
                  <xdr:cNvSpPr txBox="1"/>
                </xdr:nvSpPr>
                <xdr:spPr>
                  <a:xfrm>
                    <a:off x="9835045" y="45735135"/>
                    <a:ext cx="368251" cy="206174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800" b="1" baseline="0"/>
                      <a:t>M</a:t>
                    </a:r>
                    <a:r>
                      <a:rPr lang="fr-FR" sz="800" b="1" baseline="-25000"/>
                      <a:t>x,Ed</a:t>
                    </a:r>
                  </a:p>
                </xdr:txBody>
              </xdr:sp>
              <xdr:sp macro="" textlink="">
                <xdr:nvSpPr>
                  <xdr:cNvPr id="192" name="ZoneTexte 191">
                    <a:extLst>
                      <a:ext uri="{FF2B5EF4-FFF2-40B4-BE49-F238E27FC236}">
                        <a16:creationId xmlns:a16="http://schemas.microsoft.com/office/drawing/2014/main" id="{00000000-0008-0000-0400-0000C0000000}"/>
                      </a:ext>
                    </a:extLst>
                  </xdr:cNvPr>
                  <xdr:cNvSpPr txBox="1"/>
                </xdr:nvSpPr>
                <xdr:spPr>
                  <a:xfrm>
                    <a:off x="9632186" y="45710530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C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  <xdr:sp macro="" textlink="">
                <xdr:nvSpPr>
                  <xdr:cNvPr id="193" name="ZoneTexte 192">
                    <a:extLst>
                      <a:ext uri="{FF2B5EF4-FFF2-40B4-BE49-F238E27FC236}">
                        <a16:creationId xmlns:a16="http://schemas.microsoft.com/office/drawing/2014/main" id="{00000000-0008-0000-0400-0000C1000000}"/>
                      </a:ext>
                    </a:extLst>
                  </xdr:cNvPr>
                  <xdr:cNvSpPr txBox="1"/>
                </xdr:nvSpPr>
                <xdr:spPr>
                  <a:xfrm>
                    <a:off x="10107632" y="45804317"/>
                    <a:ext cx="251790" cy="211707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>
                        <a:solidFill>
                          <a:srgbClr val="C00000"/>
                        </a:solidFill>
                      </a:rPr>
                      <a:t>D</a:t>
                    </a:r>
                    <a:endParaRPr lang="fr-FR" sz="900" baseline="-25000">
                      <a:solidFill>
                        <a:srgbClr val="C00000"/>
                      </a:solidFill>
                    </a:endParaRPr>
                  </a:p>
                </xdr:txBody>
              </xdr:sp>
            </xdr:grpSp>
          </xdr:grpSp>
          <xdr:grpSp>
            <xdr:nvGrpSpPr>
              <xdr:cNvPr id="182" name="Groupe 181">
                <a:extLst>
                  <a:ext uri="{FF2B5EF4-FFF2-40B4-BE49-F238E27FC236}">
                    <a16:creationId xmlns:a16="http://schemas.microsoft.com/office/drawing/2014/main" id="{00000000-0008-0000-0400-0000B6000000}"/>
                  </a:ext>
                </a:extLst>
              </xdr:cNvPr>
              <xdr:cNvGrpSpPr/>
            </xdr:nvGrpSpPr>
            <xdr:grpSpPr>
              <a:xfrm>
                <a:off x="8324023" y="46613549"/>
                <a:ext cx="351184" cy="361363"/>
                <a:chOff x="9811388" y="45661049"/>
                <a:chExt cx="351184" cy="361363"/>
              </a:xfrm>
            </xdr:grpSpPr>
            <xdr:sp macro="" textlink="">
              <xdr:nvSpPr>
                <xdr:cNvPr id="183" name="Ellipse 182">
                  <a:extLst>
                    <a:ext uri="{FF2B5EF4-FFF2-40B4-BE49-F238E27FC236}">
                      <a16:creationId xmlns:a16="http://schemas.microsoft.com/office/drawing/2014/main" id="{00000000-0008-0000-0400-0000B7000000}"/>
                    </a:ext>
                  </a:extLst>
                </xdr:cNvPr>
                <xdr:cNvSpPr/>
              </xdr:nvSpPr>
              <xdr:spPr>
                <a:xfrm>
                  <a:off x="9970615" y="45661049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4" name="Ellipse 183">
                  <a:extLst>
                    <a:ext uri="{FF2B5EF4-FFF2-40B4-BE49-F238E27FC236}">
                      <a16:creationId xmlns:a16="http://schemas.microsoft.com/office/drawing/2014/main" id="{00000000-0008-0000-0400-0000B8000000}"/>
                    </a:ext>
                  </a:extLst>
                </xdr:cNvPr>
                <xdr:cNvSpPr/>
              </xdr:nvSpPr>
              <xdr:spPr>
                <a:xfrm>
                  <a:off x="9962738" y="45986449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5" name="Ellipse 184">
                  <a:extLst>
                    <a:ext uri="{FF2B5EF4-FFF2-40B4-BE49-F238E27FC236}">
                      <a16:creationId xmlns:a16="http://schemas.microsoft.com/office/drawing/2014/main" id="{00000000-0008-0000-0400-0000B9000000}"/>
                    </a:ext>
                  </a:extLst>
                </xdr:cNvPr>
                <xdr:cNvSpPr/>
              </xdr:nvSpPr>
              <xdr:spPr>
                <a:xfrm>
                  <a:off x="9811388" y="45823647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86" name="Ellipse 185">
                  <a:extLst>
                    <a:ext uri="{FF2B5EF4-FFF2-40B4-BE49-F238E27FC236}">
                      <a16:creationId xmlns:a16="http://schemas.microsoft.com/office/drawing/2014/main" id="{00000000-0008-0000-0400-0000BA000000}"/>
                    </a:ext>
                  </a:extLst>
                </xdr:cNvPr>
                <xdr:cNvSpPr/>
              </xdr:nvSpPr>
              <xdr:spPr>
                <a:xfrm>
                  <a:off x="10126644" y="45820871"/>
                  <a:ext cx="35928" cy="35963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</xdr:grpSp>
      </xdr:grpSp>
    </xdr:grpSp>
    <xdr:clientData/>
  </xdr:twoCellAnchor>
  <xdr:twoCellAnchor>
    <xdr:from>
      <xdr:col>7</xdr:col>
      <xdr:colOff>268475</xdr:colOff>
      <xdr:row>303</xdr:row>
      <xdr:rowOff>186369</xdr:rowOff>
    </xdr:from>
    <xdr:to>
      <xdr:col>7</xdr:col>
      <xdr:colOff>956126</xdr:colOff>
      <xdr:row>308</xdr:row>
      <xdr:rowOff>1711</xdr:rowOff>
    </xdr:to>
    <xdr:grpSp>
      <xdr:nvGrpSpPr>
        <xdr:cNvPr id="233" name="Groupe 232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GrpSpPr/>
      </xdr:nvGrpSpPr>
      <xdr:grpSpPr>
        <a:xfrm>
          <a:off x="4735700" y="65604069"/>
          <a:ext cx="687651" cy="958342"/>
          <a:chOff x="7258742" y="67809205"/>
          <a:chExt cx="690455" cy="957916"/>
        </a:xfrm>
      </xdr:grpSpPr>
      <xdr:grpSp>
        <xdr:nvGrpSpPr>
          <xdr:cNvPr id="65" name="Groupe 64">
            <a:extLst>
              <a:ext uri="{FF2B5EF4-FFF2-40B4-BE49-F238E27FC236}">
                <a16:creationId xmlns:a16="http://schemas.microsoft.com/office/drawing/2014/main" id="{00000000-0008-0000-0400-000041000000}"/>
              </a:ext>
            </a:extLst>
          </xdr:cNvPr>
          <xdr:cNvGrpSpPr/>
        </xdr:nvGrpSpPr>
        <xdr:grpSpPr>
          <a:xfrm>
            <a:off x="7258742" y="67809205"/>
            <a:ext cx="690455" cy="957916"/>
            <a:chOff x="14070244" y="3075086"/>
            <a:chExt cx="689918" cy="953764"/>
          </a:xfrm>
        </xdr:grpSpPr>
        <xdr:sp macro="" textlink="">
          <xdr:nvSpPr>
            <xdr:cNvPr id="68" name="Rectangle 67">
              <a:extLst>
                <a:ext uri="{FF2B5EF4-FFF2-40B4-BE49-F238E27FC236}">
                  <a16:creationId xmlns:a16="http://schemas.microsoft.com/office/drawing/2014/main" id="{00000000-0008-0000-0400-000044000000}"/>
                </a:ext>
              </a:extLst>
            </xdr:cNvPr>
            <xdr:cNvSpPr/>
          </xdr:nvSpPr>
          <xdr:spPr>
            <a:xfrm>
              <a:off x="14359457" y="3075087"/>
              <a:ext cx="35972" cy="608007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69" name="Connecteur droit avec flèche 68">
              <a:extLst>
                <a:ext uri="{FF2B5EF4-FFF2-40B4-BE49-F238E27FC236}">
                  <a16:creationId xmlns:a16="http://schemas.microsoft.com/office/drawing/2014/main" id="{00000000-0008-0000-0400-000045000000}"/>
                </a:ext>
              </a:extLst>
            </xdr:cNvPr>
            <xdr:cNvCxnSpPr/>
          </xdr:nvCxnSpPr>
          <xdr:spPr>
            <a:xfrm>
              <a:off x="14305694" y="3075086"/>
              <a:ext cx="0" cy="608812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75" name="ZoneTexte 74">
              <a:extLst>
                <a:ext uri="{FF2B5EF4-FFF2-40B4-BE49-F238E27FC236}">
                  <a16:creationId xmlns:a16="http://schemas.microsoft.com/office/drawing/2014/main" id="{00000000-0008-0000-0400-00004B000000}"/>
                </a:ext>
              </a:extLst>
            </xdr:cNvPr>
            <xdr:cNvSpPr txBox="1"/>
          </xdr:nvSpPr>
          <xdr:spPr>
            <a:xfrm>
              <a:off x="14070244" y="3322155"/>
              <a:ext cx="308767" cy="17793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/>
                <a:t>L</a:t>
              </a:r>
              <a:r>
                <a:rPr lang="fr-FR" sz="900" baseline="-25000"/>
                <a:t>w</a:t>
              </a:r>
              <a:r>
                <a:rPr lang="fr-FR" sz="900"/>
                <a:t> </a:t>
              </a:r>
            </a:p>
          </xdr:txBody>
        </xdr:sp>
        <xdr:sp macro="" textlink="">
          <xdr:nvSpPr>
            <xdr:cNvPr id="93" name="Rectangle 92">
              <a:extLst>
                <a:ext uri="{FF2B5EF4-FFF2-40B4-BE49-F238E27FC236}">
                  <a16:creationId xmlns:a16="http://schemas.microsoft.com/office/drawing/2014/main" id="{00000000-0008-0000-0400-00005D000000}"/>
                </a:ext>
              </a:extLst>
            </xdr:cNvPr>
            <xdr:cNvSpPr/>
          </xdr:nvSpPr>
          <xdr:spPr>
            <a:xfrm>
              <a:off x="14451733" y="3743592"/>
              <a:ext cx="308428" cy="35844"/>
            </a:xfrm>
            <a:prstGeom prst="rect">
              <a:avLst/>
            </a:prstGeom>
            <a:solidFill>
              <a:schemeClr val="tx1"/>
            </a:solidFill>
            <a:ln w="6350"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99" name="Connecteur droit avec flèche 98">
              <a:extLst>
                <a:ext uri="{FF2B5EF4-FFF2-40B4-BE49-F238E27FC236}">
                  <a16:creationId xmlns:a16="http://schemas.microsoft.com/office/drawing/2014/main" id="{00000000-0008-0000-0400-000063000000}"/>
                </a:ext>
              </a:extLst>
            </xdr:cNvPr>
            <xdr:cNvCxnSpPr/>
          </xdr:nvCxnSpPr>
          <xdr:spPr>
            <a:xfrm>
              <a:off x="14602292" y="3443521"/>
              <a:ext cx="0" cy="286751"/>
            </a:xfrm>
            <a:prstGeom prst="straightConnector1">
              <a:avLst/>
            </a:prstGeom>
            <a:ln w="25400">
              <a:solidFill>
                <a:srgbClr val="0070C0"/>
              </a:solidFill>
              <a:headEnd w="med" len="lg"/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39" name="ZoneTexte 138">
              <a:extLst>
                <a:ext uri="{FF2B5EF4-FFF2-40B4-BE49-F238E27FC236}">
                  <a16:creationId xmlns:a16="http://schemas.microsoft.com/office/drawing/2014/main" id="{00000000-0008-0000-0400-00008B000000}"/>
                </a:ext>
              </a:extLst>
            </xdr:cNvPr>
            <xdr:cNvSpPr txBox="1"/>
          </xdr:nvSpPr>
          <xdr:spPr>
            <a:xfrm>
              <a:off x="14359385" y="3368163"/>
              <a:ext cx="307286" cy="2122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="1"/>
                <a:t>F</a:t>
              </a:r>
              <a:r>
                <a:rPr lang="fr-FR" sz="900" b="1" baseline="-25000"/>
                <a:t>Ed</a:t>
              </a:r>
            </a:p>
          </xdr:txBody>
        </xdr:sp>
        <xdr:cxnSp macro="">
          <xdr:nvCxnSpPr>
            <xdr:cNvPr id="194" name="Connecteur droit avec flèche 193">
              <a:extLst>
                <a:ext uri="{FF2B5EF4-FFF2-40B4-BE49-F238E27FC236}">
                  <a16:creationId xmlns:a16="http://schemas.microsoft.com/office/drawing/2014/main" id="{00000000-0008-0000-0400-0000C2000000}"/>
                </a:ext>
              </a:extLst>
            </xdr:cNvPr>
            <xdr:cNvCxnSpPr/>
          </xdr:nvCxnSpPr>
          <xdr:spPr>
            <a:xfrm>
              <a:off x="14457590" y="3831690"/>
              <a:ext cx="302572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10" name="ZoneTexte 209">
              <a:extLst>
                <a:ext uri="{FF2B5EF4-FFF2-40B4-BE49-F238E27FC236}">
                  <a16:creationId xmlns:a16="http://schemas.microsoft.com/office/drawing/2014/main" id="{00000000-0008-0000-0400-0000D2000000}"/>
                </a:ext>
              </a:extLst>
            </xdr:cNvPr>
            <xdr:cNvSpPr txBox="1"/>
          </xdr:nvSpPr>
          <xdr:spPr>
            <a:xfrm>
              <a:off x="14451514" y="3853469"/>
              <a:ext cx="308308" cy="17538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/>
                <a:t>L </a:t>
              </a:r>
              <a:r>
                <a:rPr lang="fr-FR" sz="900" baseline="-25000"/>
                <a:t>f</a:t>
              </a:r>
            </a:p>
          </xdr:txBody>
        </xdr:sp>
      </xdr:grpSp>
      <xdr:sp macro="" textlink="">
        <xdr:nvSpPr>
          <xdr:cNvPr id="219" name="Forme libre : forme 218">
            <a:extLst>
              <a:ext uri="{FF2B5EF4-FFF2-40B4-BE49-F238E27FC236}">
                <a16:creationId xmlns:a16="http://schemas.microsoft.com/office/drawing/2014/main" id="{00000000-0008-0000-0400-0000DB000000}"/>
              </a:ext>
            </a:extLst>
          </xdr:cNvPr>
          <xdr:cNvSpPr>
            <a:spLocks noChangeAspect="1"/>
          </xdr:cNvSpPr>
        </xdr:nvSpPr>
        <xdr:spPr>
          <a:xfrm>
            <a:off x="7582284" y="67812880"/>
            <a:ext cx="363912" cy="660233"/>
          </a:xfrm>
          <a:custGeom>
            <a:avLst/>
            <a:gdLst>
              <a:gd name="connsiteX0" fmla="*/ 0 w 1203158"/>
              <a:gd name="connsiteY0" fmla="*/ 5013 h 2200776"/>
              <a:gd name="connsiteX1" fmla="*/ 426119 w 1203158"/>
              <a:gd name="connsiteY1" fmla="*/ 0 h 2200776"/>
              <a:gd name="connsiteX2" fmla="*/ 1203158 w 1203158"/>
              <a:gd name="connsiteY2" fmla="*/ 1859881 h 2200776"/>
              <a:gd name="connsiteX3" fmla="*/ 1203158 w 1203158"/>
              <a:gd name="connsiteY3" fmla="*/ 2200776 h 2200776"/>
              <a:gd name="connsiteX4" fmla="*/ 195513 w 1203158"/>
              <a:gd name="connsiteY4" fmla="*/ 2200776 h 2200776"/>
              <a:gd name="connsiteX5" fmla="*/ 10027 w 1203158"/>
              <a:gd name="connsiteY5" fmla="*/ 2075447 h 2200776"/>
              <a:gd name="connsiteX6" fmla="*/ 0 w 1203158"/>
              <a:gd name="connsiteY6" fmla="*/ 5013 h 2200776"/>
              <a:gd name="connsiteX0" fmla="*/ 963 w 1204121"/>
              <a:gd name="connsiteY0" fmla="*/ 5013 h 2200776"/>
              <a:gd name="connsiteX1" fmla="*/ 427082 w 1204121"/>
              <a:gd name="connsiteY1" fmla="*/ 0 h 2200776"/>
              <a:gd name="connsiteX2" fmla="*/ 1204121 w 1204121"/>
              <a:gd name="connsiteY2" fmla="*/ 1859881 h 2200776"/>
              <a:gd name="connsiteX3" fmla="*/ 1204121 w 1204121"/>
              <a:gd name="connsiteY3" fmla="*/ 2200776 h 2200776"/>
              <a:gd name="connsiteX4" fmla="*/ 196476 w 1204121"/>
              <a:gd name="connsiteY4" fmla="*/ 2200776 h 2200776"/>
              <a:gd name="connsiteX5" fmla="*/ 964 w 1204121"/>
              <a:gd name="connsiteY5" fmla="*/ 2060408 h 2200776"/>
              <a:gd name="connsiteX6" fmla="*/ 963 w 1204121"/>
              <a:gd name="connsiteY6" fmla="*/ 5013 h 2200776"/>
              <a:gd name="connsiteX0" fmla="*/ 0 w 1203158"/>
              <a:gd name="connsiteY0" fmla="*/ 5013 h 2200776"/>
              <a:gd name="connsiteX1" fmla="*/ 426119 w 1203158"/>
              <a:gd name="connsiteY1" fmla="*/ 0 h 2200776"/>
              <a:gd name="connsiteX2" fmla="*/ 1203158 w 1203158"/>
              <a:gd name="connsiteY2" fmla="*/ 1859881 h 2200776"/>
              <a:gd name="connsiteX3" fmla="*/ 1203158 w 1203158"/>
              <a:gd name="connsiteY3" fmla="*/ 2200776 h 2200776"/>
              <a:gd name="connsiteX4" fmla="*/ 195513 w 1203158"/>
              <a:gd name="connsiteY4" fmla="*/ 2200776 h 2200776"/>
              <a:gd name="connsiteX5" fmla="*/ 3813 w 1203158"/>
              <a:gd name="connsiteY5" fmla="*/ 2025898 h 2200776"/>
              <a:gd name="connsiteX6" fmla="*/ 0 w 1203158"/>
              <a:gd name="connsiteY6" fmla="*/ 5013 h 2200776"/>
              <a:gd name="connsiteX0" fmla="*/ 0 w 1203158"/>
              <a:gd name="connsiteY0" fmla="*/ 0 h 2195763"/>
              <a:gd name="connsiteX1" fmla="*/ 426119 w 1203158"/>
              <a:gd name="connsiteY1" fmla="*/ 6490 h 2195763"/>
              <a:gd name="connsiteX2" fmla="*/ 1203158 w 1203158"/>
              <a:gd name="connsiteY2" fmla="*/ 1854868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  <a:gd name="connsiteX0" fmla="*/ 0 w 1203158"/>
              <a:gd name="connsiteY0" fmla="*/ 0 h 2195763"/>
              <a:gd name="connsiteX1" fmla="*/ 277455 w 1203158"/>
              <a:gd name="connsiteY1" fmla="*/ 2656 h 2195763"/>
              <a:gd name="connsiteX2" fmla="*/ 1203158 w 1203158"/>
              <a:gd name="connsiteY2" fmla="*/ 1854868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  <a:gd name="connsiteX0" fmla="*/ 0 w 1203158"/>
              <a:gd name="connsiteY0" fmla="*/ 0 h 2195763"/>
              <a:gd name="connsiteX1" fmla="*/ 277455 w 1203158"/>
              <a:gd name="connsiteY1" fmla="*/ 2656 h 2195763"/>
              <a:gd name="connsiteX2" fmla="*/ 1203158 w 1203158"/>
              <a:gd name="connsiteY2" fmla="*/ 1966067 h 2195763"/>
              <a:gd name="connsiteX3" fmla="*/ 1203158 w 1203158"/>
              <a:gd name="connsiteY3" fmla="*/ 2195763 h 2195763"/>
              <a:gd name="connsiteX4" fmla="*/ 195513 w 1203158"/>
              <a:gd name="connsiteY4" fmla="*/ 2195763 h 2195763"/>
              <a:gd name="connsiteX5" fmla="*/ 3813 w 1203158"/>
              <a:gd name="connsiteY5" fmla="*/ 2020885 h 2195763"/>
              <a:gd name="connsiteX6" fmla="*/ 0 w 1203158"/>
              <a:gd name="connsiteY6" fmla="*/ 0 h 219576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203158" h="2195763">
                <a:moveTo>
                  <a:pt x="0" y="0"/>
                </a:moveTo>
                <a:lnTo>
                  <a:pt x="277455" y="2656"/>
                </a:lnTo>
                <a:lnTo>
                  <a:pt x="1203158" y="1966067"/>
                </a:lnTo>
                <a:lnTo>
                  <a:pt x="1203158" y="2195763"/>
                </a:lnTo>
                <a:lnTo>
                  <a:pt x="195513" y="2195763"/>
                </a:lnTo>
                <a:lnTo>
                  <a:pt x="3813" y="2020885"/>
                </a:lnTo>
                <a:cubicBezTo>
                  <a:pt x="471" y="1334082"/>
                  <a:pt x="3342" y="696829"/>
                  <a:pt x="0" y="0"/>
                </a:cubicBezTo>
                <a:close/>
              </a:path>
            </a:pathLst>
          </a:cu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26" name="ZoneTexte 225">
            <a:extLst>
              <a:ext uri="{FF2B5EF4-FFF2-40B4-BE49-F238E27FC236}">
                <a16:creationId xmlns:a16="http://schemas.microsoft.com/office/drawing/2014/main" id="{00000000-0008-0000-0400-0000E2000000}"/>
              </a:ext>
            </a:extLst>
          </xdr:cNvPr>
          <xdr:cNvSpPr txBox="1"/>
        </xdr:nvSpPr>
        <xdr:spPr>
          <a:xfrm>
            <a:off x="7309339" y="68398291"/>
            <a:ext cx="190500" cy="1641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r </a:t>
            </a:r>
          </a:p>
        </xdr:txBody>
      </xdr:sp>
      <xdr:cxnSp macro="">
        <xdr:nvCxnSpPr>
          <xdr:cNvPr id="227" name="Connecteur droit avec flèche 226">
            <a:extLst>
              <a:ext uri="{FF2B5EF4-FFF2-40B4-BE49-F238E27FC236}">
                <a16:creationId xmlns:a16="http://schemas.microsoft.com/office/drawing/2014/main" id="{00000000-0008-0000-0400-0000E3000000}"/>
              </a:ext>
            </a:extLst>
          </xdr:cNvPr>
          <xdr:cNvCxnSpPr/>
        </xdr:nvCxnSpPr>
        <xdr:spPr>
          <a:xfrm>
            <a:off x="7493204" y="68404154"/>
            <a:ext cx="0" cy="108000"/>
          </a:xfrm>
          <a:prstGeom prst="straightConnector1">
            <a:avLst/>
          </a:prstGeom>
          <a:ln w="6350">
            <a:solidFill>
              <a:srgbClr val="C00000"/>
            </a:solidFill>
            <a:headEnd type="stealth" w="sm" len="sm"/>
            <a:tailEnd type="stealth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0" name="Connecteur droit avec flèche 229">
            <a:extLst>
              <a:ext uri="{FF2B5EF4-FFF2-40B4-BE49-F238E27FC236}">
                <a16:creationId xmlns:a16="http://schemas.microsoft.com/office/drawing/2014/main" id="{00000000-0008-0000-0400-0000E6000000}"/>
              </a:ext>
            </a:extLst>
          </xdr:cNvPr>
          <xdr:cNvCxnSpPr/>
        </xdr:nvCxnSpPr>
        <xdr:spPr>
          <a:xfrm>
            <a:off x="7543702" y="68568278"/>
            <a:ext cx="108000" cy="0"/>
          </a:xfrm>
          <a:prstGeom prst="straightConnector1">
            <a:avLst/>
          </a:prstGeom>
          <a:ln w="6350">
            <a:solidFill>
              <a:srgbClr val="C00000"/>
            </a:solidFill>
            <a:headEnd type="stealth" w="sm" len="sm"/>
            <a:tailEnd type="stealth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2" name="ZoneTexte 231">
            <a:extLst>
              <a:ext uri="{FF2B5EF4-FFF2-40B4-BE49-F238E27FC236}">
                <a16:creationId xmlns:a16="http://schemas.microsoft.com/office/drawing/2014/main" id="{00000000-0008-0000-0400-0000E8000000}"/>
              </a:ext>
            </a:extLst>
          </xdr:cNvPr>
          <xdr:cNvSpPr txBox="1"/>
        </xdr:nvSpPr>
        <xdr:spPr>
          <a:xfrm>
            <a:off x="7502770" y="68599767"/>
            <a:ext cx="190500" cy="16412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/>
              <a:t>r </a:t>
            </a:r>
          </a:p>
        </xdr:txBody>
      </xdr:sp>
    </xdr:grpSp>
    <xdr:clientData/>
  </xdr:twoCellAnchor>
  <xdr:twoCellAnchor>
    <xdr:from>
      <xdr:col>6</xdr:col>
      <xdr:colOff>78074</xdr:colOff>
      <xdr:row>74</xdr:row>
      <xdr:rowOff>41274</xdr:rowOff>
    </xdr:from>
    <xdr:to>
      <xdr:col>8</xdr:col>
      <xdr:colOff>257595</xdr:colOff>
      <xdr:row>82</xdr:row>
      <xdr:rowOff>118390</xdr:rowOff>
    </xdr:to>
    <xdr:grpSp>
      <xdr:nvGrpSpPr>
        <xdr:cNvPr id="335" name="Groupe 334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GrpSpPr/>
      </xdr:nvGrpSpPr>
      <xdr:grpSpPr>
        <a:xfrm>
          <a:off x="3830924" y="16348074"/>
          <a:ext cx="1941646" cy="1877341"/>
          <a:chOff x="3837753" y="16413491"/>
          <a:chExt cx="1944342" cy="1877880"/>
        </a:xfrm>
      </xdr:grpSpPr>
      <xdr:grpSp>
        <xdr:nvGrpSpPr>
          <xdr:cNvPr id="287" name="Groupe 286">
            <a:extLst>
              <a:ext uri="{FF2B5EF4-FFF2-40B4-BE49-F238E27FC236}">
                <a16:creationId xmlns:a16="http://schemas.microsoft.com/office/drawing/2014/main" id="{00000000-0008-0000-0400-00001F010000}"/>
              </a:ext>
            </a:extLst>
          </xdr:cNvPr>
          <xdr:cNvGrpSpPr/>
        </xdr:nvGrpSpPr>
        <xdr:grpSpPr>
          <a:xfrm>
            <a:off x="3837753" y="16413491"/>
            <a:ext cx="1944342" cy="1877880"/>
            <a:chOff x="6955123" y="18608519"/>
            <a:chExt cx="1943969" cy="1870836"/>
          </a:xfrm>
        </xdr:grpSpPr>
        <xdr:sp macro="" textlink="">
          <xdr:nvSpPr>
            <xdr:cNvPr id="237" name="ZoneTexte 236">
              <a:extLst>
                <a:ext uri="{FF2B5EF4-FFF2-40B4-BE49-F238E27FC236}">
                  <a16:creationId xmlns:a16="http://schemas.microsoft.com/office/drawing/2014/main" id="{00000000-0008-0000-0400-0000ED000000}"/>
                </a:ext>
              </a:extLst>
            </xdr:cNvPr>
            <xdr:cNvSpPr txBox="1"/>
          </xdr:nvSpPr>
          <xdr:spPr>
            <a:xfrm>
              <a:off x="8552371" y="20183843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B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sp macro="" textlink="">
          <xdr:nvSpPr>
            <xdr:cNvPr id="243" name="ZoneTexte 242">
              <a:extLst>
                <a:ext uri="{FF2B5EF4-FFF2-40B4-BE49-F238E27FC236}">
                  <a16:creationId xmlns:a16="http://schemas.microsoft.com/office/drawing/2014/main" id="{00000000-0008-0000-0400-0000F3000000}"/>
                </a:ext>
              </a:extLst>
            </xdr:cNvPr>
            <xdr:cNvSpPr txBox="1"/>
          </xdr:nvSpPr>
          <xdr:spPr>
            <a:xfrm>
              <a:off x="8534168" y="18784999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A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sp macro="" textlink="">
          <xdr:nvSpPr>
            <xdr:cNvPr id="251" name="ZoneTexte 250">
              <a:extLst>
                <a:ext uri="{FF2B5EF4-FFF2-40B4-BE49-F238E27FC236}">
                  <a16:creationId xmlns:a16="http://schemas.microsoft.com/office/drawing/2014/main" id="{00000000-0008-0000-0400-0000FB000000}"/>
                </a:ext>
              </a:extLst>
            </xdr:cNvPr>
            <xdr:cNvSpPr txBox="1"/>
          </xdr:nvSpPr>
          <xdr:spPr>
            <a:xfrm>
              <a:off x="8344924" y="19433761"/>
              <a:ext cx="251061" cy="21201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C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  <xdr:grpSp>
          <xdr:nvGrpSpPr>
            <xdr:cNvPr id="286" name="Groupe 285">
              <a:extLst>
                <a:ext uri="{FF2B5EF4-FFF2-40B4-BE49-F238E27FC236}">
                  <a16:creationId xmlns:a16="http://schemas.microsoft.com/office/drawing/2014/main" id="{00000000-0008-0000-0400-00001E010000}"/>
                </a:ext>
              </a:extLst>
            </xdr:cNvPr>
            <xdr:cNvGrpSpPr/>
          </xdr:nvGrpSpPr>
          <xdr:grpSpPr>
            <a:xfrm>
              <a:off x="6955123" y="18608519"/>
              <a:ext cx="1943969" cy="1870836"/>
              <a:chOff x="6955123" y="18608519"/>
              <a:chExt cx="1943969" cy="1870836"/>
            </a:xfrm>
          </xdr:grpSpPr>
          <xdr:grpSp>
            <xdr:nvGrpSpPr>
              <xdr:cNvPr id="285" name="Groupe 284">
                <a:extLst>
                  <a:ext uri="{FF2B5EF4-FFF2-40B4-BE49-F238E27FC236}">
                    <a16:creationId xmlns:a16="http://schemas.microsoft.com/office/drawing/2014/main" id="{00000000-0008-0000-0400-00001D010000}"/>
                  </a:ext>
                </a:extLst>
              </xdr:cNvPr>
              <xdr:cNvGrpSpPr/>
            </xdr:nvGrpSpPr>
            <xdr:grpSpPr>
              <a:xfrm>
                <a:off x="6955123" y="18608519"/>
                <a:ext cx="1943969" cy="1870836"/>
                <a:chOff x="6955123" y="18599227"/>
                <a:chExt cx="1943969" cy="1870836"/>
              </a:xfrm>
            </xdr:grpSpPr>
            <xdr:grpSp>
              <xdr:nvGrpSpPr>
                <xdr:cNvPr id="277" name="Groupe 276">
                  <a:extLst>
                    <a:ext uri="{FF2B5EF4-FFF2-40B4-BE49-F238E27FC236}">
                      <a16:creationId xmlns:a16="http://schemas.microsoft.com/office/drawing/2014/main" id="{00000000-0008-0000-0400-000015010000}"/>
                    </a:ext>
                  </a:extLst>
                </xdr:cNvPr>
                <xdr:cNvGrpSpPr/>
              </xdr:nvGrpSpPr>
              <xdr:grpSpPr>
                <a:xfrm>
                  <a:off x="6955123" y="18961720"/>
                  <a:ext cx="1137314" cy="1197826"/>
                  <a:chOff x="6955123" y="18961720"/>
                  <a:chExt cx="1137314" cy="1197826"/>
                </a:xfrm>
              </xdr:grpSpPr>
              <xdr:cxnSp macro="">
                <xdr:nvCxnSpPr>
                  <xdr:cNvPr id="239" name="Connecteur droit avec flèche 238">
                    <a:extLst>
                      <a:ext uri="{FF2B5EF4-FFF2-40B4-BE49-F238E27FC236}">
                        <a16:creationId xmlns:a16="http://schemas.microsoft.com/office/drawing/2014/main" id="{00000000-0008-0000-0400-0000EF000000}"/>
                      </a:ext>
                    </a:extLst>
                  </xdr:cNvPr>
                  <xdr:cNvCxnSpPr/>
                </xdr:nvCxnSpPr>
                <xdr:spPr>
                  <a:xfrm>
                    <a:off x="7226354" y="19548118"/>
                    <a:ext cx="252000" cy="0"/>
                  </a:xfrm>
                  <a:prstGeom prst="straightConnector1">
                    <a:avLst/>
                  </a:prstGeom>
                  <a:ln w="25400">
                    <a:solidFill>
                      <a:srgbClr val="0070C0"/>
                    </a:solidFill>
                    <a:headEnd type="triangle" w="med" len="lg"/>
                    <a:tailEnd type="non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40" name="ZoneTexte 239">
                    <a:extLst>
                      <a:ext uri="{FF2B5EF4-FFF2-40B4-BE49-F238E27FC236}">
                        <a16:creationId xmlns:a16="http://schemas.microsoft.com/office/drawing/2014/main" id="{00000000-0008-0000-0400-0000F0000000}"/>
                      </a:ext>
                    </a:extLst>
                  </xdr:cNvPr>
                  <xdr:cNvSpPr txBox="1"/>
                </xdr:nvSpPr>
                <xdr:spPr>
                  <a:xfrm>
                    <a:off x="7040227" y="19289053"/>
                    <a:ext cx="368345" cy="25674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N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47" name="Forme libre : forme 246">
                    <a:extLst>
                      <a:ext uri="{FF2B5EF4-FFF2-40B4-BE49-F238E27FC236}">
                        <a16:creationId xmlns:a16="http://schemas.microsoft.com/office/drawing/2014/main" id="{00000000-0008-0000-0400-0000F7000000}"/>
                      </a:ext>
                    </a:extLst>
                  </xdr:cNvPr>
                  <xdr:cNvSpPr/>
                </xdr:nvSpPr>
                <xdr:spPr>
                  <a:xfrm flipV="1">
                    <a:off x="7797257" y="19445164"/>
                    <a:ext cx="36174" cy="264319"/>
                  </a:xfrm>
                  <a:custGeom>
                    <a:avLst/>
                    <a:gdLst>
                      <a:gd name="connsiteX0" fmla="*/ 0 w 66261"/>
                      <a:gd name="connsiteY0" fmla="*/ 0 h 579782"/>
                      <a:gd name="connsiteX1" fmla="*/ 0 w 66261"/>
                      <a:gd name="connsiteY1" fmla="*/ 579782 h 579782"/>
                      <a:gd name="connsiteX2" fmla="*/ 66261 w 66261"/>
                      <a:gd name="connsiteY2" fmla="*/ 331304 h 579782"/>
                      <a:gd name="connsiteX3" fmla="*/ 0 w 66261"/>
                      <a:gd name="connsiteY3" fmla="*/ 339587 h 579782"/>
                      <a:gd name="connsiteX4" fmla="*/ 0 w 66261"/>
                      <a:gd name="connsiteY4" fmla="*/ 339587 h 579782"/>
                    </a:gdLst>
                    <a:ahLst/>
                    <a:cxnLst>
                      <a:cxn ang="0">
                        <a:pos x="connsiteX0" y="connsiteY0"/>
                      </a:cxn>
                      <a:cxn ang="0">
                        <a:pos x="connsiteX1" y="connsiteY1"/>
                      </a:cxn>
                      <a:cxn ang="0">
                        <a:pos x="connsiteX2" y="connsiteY2"/>
                      </a:cxn>
                      <a:cxn ang="0">
                        <a:pos x="connsiteX3" y="connsiteY3"/>
                      </a:cxn>
                      <a:cxn ang="0">
                        <a:pos x="connsiteX4" y="connsiteY4"/>
                      </a:cxn>
                    </a:cxnLst>
                    <a:rect l="l" t="t" r="r" b="b"/>
                    <a:pathLst>
                      <a:path w="66261" h="579782">
                        <a:moveTo>
                          <a:pt x="0" y="0"/>
                        </a:moveTo>
                        <a:lnTo>
                          <a:pt x="0" y="579782"/>
                        </a:lnTo>
                        <a:lnTo>
                          <a:pt x="66261" y="331304"/>
                        </a:lnTo>
                        <a:lnTo>
                          <a:pt x="0" y="339587"/>
                        </a:lnTo>
                        <a:lnTo>
                          <a:pt x="0" y="339587"/>
                        </a:lnTo>
                      </a:path>
                    </a:pathLst>
                  </a:custGeom>
                  <a:solidFill>
                    <a:srgbClr val="0070C0"/>
                  </a:solidFill>
                  <a:ln w="25400">
                    <a:solidFill>
                      <a:srgbClr val="0070C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48" name="Arc 247">
                    <a:extLst>
                      <a:ext uri="{FF2B5EF4-FFF2-40B4-BE49-F238E27FC236}">
                        <a16:creationId xmlns:a16="http://schemas.microsoft.com/office/drawing/2014/main" id="{00000000-0008-0000-0400-0000F8000000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 rot="16200000">
                    <a:off x="7412103" y="19365004"/>
                    <a:ext cx="359396" cy="359882"/>
                  </a:xfrm>
                  <a:prstGeom prst="arc">
                    <a:avLst>
                      <a:gd name="adj1" fmla="val 10687710"/>
                      <a:gd name="adj2" fmla="val 573424"/>
                    </a:avLst>
                  </a:prstGeom>
                  <a:ln w="25400">
                    <a:headEnd type="none"/>
                    <a:tailEnd type="triangl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49" name="ZoneTexte 248">
                    <a:extLst>
                      <a:ext uri="{FF2B5EF4-FFF2-40B4-BE49-F238E27FC236}">
                        <a16:creationId xmlns:a16="http://schemas.microsoft.com/office/drawing/2014/main" id="{00000000-0008-0000-0400-0000F9000000}"/>
                      </a:ext>
                    </a:extLst>
                  </xdr:cNvPr>
                  <xdr:cNvSpPr txBox="1"/>
                </xdr:nvSpPr>
                <xdr:spPr>
                  <a:xfrm>
                    <a:off x="7404155" y="19142180"/>
                    <a:ext cx="368345" cy="255820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M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50" name="ZoneTexte 249">
                    <a:extLst>
                      <a:ext uri="{FF2B5EF4-FFF2-40B4-BE49-F238E27FC236}">
                        <a16:creationId xmlns:a16="http://schemas.microsoft.com/office/drawing/2014/main" id="{00000000-0008-0000-0400-0000FA000000}"/>
                      </a:ext>
                    </a:extLst>
                  </xdr:cNvPr>
                  <xdr:cNvSpPr txBox="1"/>
                </xdr:nvSpPr>
                <xdr:spPr>
                  <a:xfrm>
                    <a:off x="7725253" y="19254927"/>
                    <a:ext cx="367184" cy="25674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V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sp macro="" textlink="">
                <xdr:nvSpPr>
                  <xdr:cNvPr id="275" name="Rectangle 274">
                    <a:extLst>
                      <a:ext uri="{FF2B5EF4-FFF2-40B4-BE49-F238E27FC236}">
                        <a16:creationId xmlns:a16="http://schemas.microsoft.com/office/drawing/2014/main" id="{00000000-0008-0000-0400-000013010000}"/>
                      </a:ext>
                    </a:extLst>
                  </xdr:cNvPr>
                  <xdr:cNvSpPr/>
                </xdr:nvSpPr>
                <xdr:spPr>
                  <a:xfrm>
                    <a:off x="6955123" y="18961720"/>
                    <a:ext cx="780585" cy="1143000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76" name="Rectangle 275">
                    <a:extLst>
                      <a:ext uri="{FF2B5EF4-FFF2-40B4-BE49-F238E27FC236}">
                        <a16:creationId xmlns:a16="http://schemas.microsoft.com/office/drawing/2014/main" id="{00000000-0008-0000-0400-000014010000}"/>
                      </a:ext>
                    </a:extLst>
                  </xdr:cNvPr>
                  <xdr:cNvSpPr/>
                </xdr:nvSpPr>
                <xdr:spPr>
                  <a:xfrm>
                    <a:off x="6955123" y="19016546"/>
                    <a:ext cx="780585" cy="1143000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  <xdr:grpSp>
              <xdr:nvGrpSpPr>
                <xdr:cNvPr id="284" name="Groupe 283">
                  <a:extLst>
                    <a:ext uri="{FF2B5EF4-FFF2-40B4-BE49-F238E27FC236}">
                      <a16:creationId xmlns:a16="http://schemas.microsoft.com/office/drawing/2014/main" id="{00000000-0008-0000-0400-00001C010000}"/>
                    </a:ext>
                  </a:extLst>
                </xdr:cNvPr>
                <xdr:cNvGrpSpPr/>
              </xdr:nvGrpSpPr>
              <xdr:grpSpPr>
                <a:xfrm>
                  <a:off x="7940598" y="18599227"/>
                  <a:ext cx="958494" cy="1870836"/>
                  <a:chOff x="7940598" y="18599227"/>
                  <a:chExt cx="958494" cy="1870836"/>
                </a:xfrm>
              </xdr:grpSpPr>
              <xdr:grpSp>
                <xdr:nvGrpSpPr>
                  <xdr:cNvPr id="282" name="Groupe 281">
                    <a:extLst>
                      <a:ext uri="{FF2B5EF4-FFF2-40B4-BE49-F238E27FC236}">
                        <a16:creationId xmlns:a16="http://schemas.microsoft.com/office/drawing/2014/main" id="{00000000-0008-0000-0400-00001A010000}"/>
                      </a:ext>
                    </a:extLst>
                  </xdr:cNvPr>
                  <xdr:cNvGrpSpPr/>
                </xdr:nvGrpSpPr>
                <xdr:grpSpPr>
                  <a:xfrm>
                    <a:off x="8274361" y="18926711"/>
                    <a:ext cx="624731" cy="1290906"/>
                    <a:chOff x="8274361" y="18926711"/>
                    <a:chExt cx="624731" cy="1290906"/>
                  </a:xfrm>
                </xdr:grpSpPr>
                <xdr:sp macro="" textlink="">
                  <xdr:nvSpPr>
                    <xdr:cNvPr id="80" name="Forme libre : forme 79">
                      <a:extLst>
                        <a:ext uri="{FF2B5EF4-FFF2-40B4-BE49-F238E27FC236}">
                          <a16:creationId xmlns:a16="http://schemas.microsoft.com/office/drawing/2014/main" id="{00000000-0008-0000-0400-000050000000}"/>
                        </a:ext>
                      </a:extLst>
                    </xdr:cNvPr>
                    <xdr:cNvSpPr/>
                  </xdr:nvSpPr>
                  <xdr:spPr>
                    <a:xfrm>
                      <a:off x="8279780" y="18957073"/>
                      <a:ext cx="609601" cy="1214555"/>
                    </a:xfrm>
                    <a:custGeom>
                      <a:avLst/>
                      <a:gdLst/>
                      <a:ahLst/>
                      <a:cxnLst/>
                      <a:rect l="0" t="0" r="0" b="0"/>
                      <a:pathLst>
                        <a:path w="609601" h="1143001">
                          <a:moveTo>
                            <a:pt x="0" y="0"/>
                          </a:moveTo>
                          <a:lnTo>
                            <a:pt x="609600" y="0"/>
                          </a:lnTo>
                          <a:lnTo>
                            <a:pt x="609600" y="60007"/>
                          </a:lnTo>
                          <a:lnTo>
                            <a:pt x="392430" y="60007"/>
                          </a:lnTo>
                          <a:lnTo>
                            <a:pt x="359092" y="68940"/>
                          </a:lnTo>
                          <a:lnTo>
                            <a:pt x="334688" y="93345"/>
                          </a:lnTo>
                          <a:lnTo>
                            <a:pt x="325755" y="126683"/>
                          </a:lnTo>
                          <a:lnTo>
                            <a:pt x="325755" y="1016318"/>
                          </a:lnTo>
                          <a:lnTo>
                            <a:pt x="334688" y="1049655"/>
                          </a:lnTo>
                          <a:lnTo>
                            <a:pt x="359092" y="1074060"/>
                          </a:lnTo>
                          <a:lnTo>
                            <a:pt x="392430" y="1082993"/>
                          </a:lnTo>
                          <a:lnTo>
                            <a:pt x="609600" y="1082993"/>
                          </a:lnTo>
                          <a:lnTo>
                            <a:pt x="609600" y="1143000"/>
                          </a:lnTo>
                          <a:lnTo>
                            <a:pt x="0" y="1143000"/>
                          </a:lnTo>
                          <a:lnTo>
                            <a:pt x="0" y="1082993"/>
                          </a:lnTo>
                          <a:lnTo>
                            <a:pt x="217170" y="1082993"/>
                          </a:lnTo>
                          <a:lnTo>
                            <a:pt x="250508" y="1074060"/>
                          </a:lnTo>
                          <a:lnTo>
                            <a:pt x="274912" y="1049655"/>
                          </a:lnTo>
                          <a:lnTo>
                            <a:pt x="283845" y="1016318"/>
                          </a:lnTo>
                          <a:lnTo>
                            <a:pt x="283845" y="126683"/>
                          </a:lnTo>
                          <a:lnTo>
                            <a:pt x="274912" y="93345"/>
                          </a:lnTo>
                          <a:lnTo>
                            <a:pt x="250508" y="68940"/>
                          </a:lnTo>
                          <a:lnTo>
                            <a:pt x="217170" y="60007"/>
                          </a:lnTo>
                          <a:lnTo>
                            <a:pt x="0" y="60007"/>
                          </a:lnTo>
                          <a:close/>
                        </a:path>
                      </a:pathLst>
                    </a:custGeom>
                    <a:noFill/>
                    <a:ln w="12700" cap="flat" cmpd="sng" algn="ctr">
                      <a:solidFill>
                        <a:schemeClr val="tx1"/>
                      </a:solidFill>
                      <a:prstDash val="solid"/>
                    </a:ln>
                    <a:effectLst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chemeClr val="accent1"/>
                          </a:solidFill>
                        </a14:hiddenFill>
                      </a:ext>
                    </a:extLst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4" name="Rectangle 243">
                      <a:extLst>
                        <a:ext uri="{FF2B5EF4-FFF2-40B4-BE49-F238E27FC236}">
                          <a16:creationId xmlns:a16="http://schemas.microsoft.com/office/drawing/2014/main" id="{00000000-0008-0000-0400-0000F4000000}"/>
                        </a:ext>
                      </a:extLst>
                    </xdr:cNvPr>
                    <xdr:cNvSpPr/>
                  </xdr:nvSpPr>
                  <xdr:spPr>
                    <a:xfrm>
                      <a:off x="8277369" y="18926711"/>
                      <a:ext cx="621455" cy="35245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5" name="Rectangle 244">
                      <a:extLst>
                        <a:ext uri="{FF2B5EF4-FFF2-40B4-BE49-F238E27FC236}">
                          <a16:creationId xmlns:a16="http://schemas.microsoft.com/office/drawing/2014/main" id="{00000000-0008-0000-0400-0000F5000000}"/>
                        </a:ext>
                      </a:extLst>
                    </xdr:cNvPr>
                    <xdr:cNvSpPr/>
                  </xdr:nvSpPr>
                  <xdr:spPr>
                    <a:xfrm>
                      <a:off x="8530691" y="19087203"/>
                      <a:ext cx="36000" cy="960261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46" name="Rectangle 245">
                      <a:extLst>
                        <a:ext uri="{FF2B5EF4-FFF2-40B4-BE49-F238E27FC236}">
                          <a16:creationId xmlns:a16="http://schemas.microsoft.com/office/drawing/2014/main" id="{00000000-0008-0000-0400-0000F6000000}"/>
                        </a:ext>
                      </a:extLst>
                    </xdr:cNvPr>
                    <xdr:cNvSpPr/>
                  </xdr:nvSpPr>
                  <xdr:spPr>
                    <a:xfrm>
                      <a:off x="8276366" y="19028718"/>
                      <a:ext cx="214655" cy="36174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5" name="Rectangle 254">
                      <a:extLst>
                        <a:ext uri="{FF2B5EF4-FFF2-40B4-BE49-F238E27FC236}">
                          <a16:creationId xmlns:a16="http://schemas.microsoft.com/office/drawing/2014/main" id="{00000000-0008-0000-0400-0000FF000000}"/>
                        </a:ext>
                      </a:extLst>
                    </xdr:cNvPr>
                    <xdr:cNvSpPr/>
                  </xdr:nvSpPr>
                  <xdr:spPr>
                    <a:xfrm>
                      <a:off x="8274361" y="20179438"/>
                      <a:ext cx="621455" cy="38179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6" name="Rectangle 255">
                      <a:extLst>
                        <a:ext uri="{FF2B5EF4-FFF2-40B4-BE49-F238E27FC236}">
                          <a16:creationId xmlns:a16="http://schemas.microsoft.com/office/drawing/2014/main" id="{00000000-0008-0000-0400-000000010000}"/>
                        </a:ext>
                      </a:extLst>
                    </xdr:cNvPr>
                    <xdr:cNvSpPr/>
                  </xdr:nvSpPr>
                  <xdr:spPr>
                    <a:xfrm>
                      <a:off x="8683092" y="19025654"/>
                      <a:ext cx="216000" cy="36174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7" name="Rectangle 256">
                      <a:extLst>
                        <a:ext uri="{FF2B5EF4-FFF2-40B4-BE49-F238E27FC236}">
                          <a16:creationId xmlns:a16="http://schemas.microsoft.com/office/drawing/2014/main" id="{00000000-0008-0000-0400-000001010000}"/>
                        </a:ext>
                      </a:extLst>
                    </xdr:cNvPr>
                    <xdr:cNvSpPr/>
                  </xdr:nvSpPr>
                  <xdr:spPr>
                    <a:xfrm>
                      <a:off x="8275364" y="20073696"/>
                      <a:ext cx="214655" cy="33240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8" name="Rectangle 257">
                      <a:extLst>
                        <a:ext uri="{FF2B5EF4-FFF2-40B4-BE49-F238E27FC236}">
                          <a16:creationId xmlns:a16="http://schemas.microsoft.com/office/drawing/2014/main" id="{00000000-0008-0000-0400-000002010000}"/>
                        </a:ext>
                      </a:extLst>
                    </xdr:cNvPr>
                    <xdr:cNvSpPr/>
                  </xdr:nvSpPr>
                  <xdr:spPr>
                    <a:xfrm>
                      <a:off x="8682457" y="20075701"/>
                      <a:ext cx="216000" cy="33240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259" name="Rectangle 258">
                      <a:extLst>
                        <a:ext uri="{FF2B5EF4-FFF2-40B4-BE49-F238E27FC236}">
                          <a16:creationId xmlns:a16="http://schemas.microsoft.com/office/drawing/2014/main" id="{00000000-0008-0000-0400-000003010000}"/>
                        </a:ext>
                      </a:extLst>
                    </xdr:cNvPr>
                    <xdr:cNvSpPr/>
                  </xdr:nvSpPr>
                  <xdr:spPr>
                    <a:xfrm>
                      <a:off x="8607894" y="19084195"/>
                      <a:ext cx="36000" cy="960261"/>
                    </a:xfrm>
                    <a:prstGeom prst="rect">
                      <a:avLst/>
                    </a:prstGeom>
                    <a:solidFill>
                      <a:schemeClr val="tx1"/>
                    </a:solidFill>
                    <a:ln>
                      <a:noFill/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</xdr:grpSp>
              <xdr:grpSp>
                <xdr:nvGrpSpPr>
                  <xdr:cNvPr id="283" name="Groupe 282">
                    <a:extLst>
                      <a:ext uri="{FF2B5EF4-FFF2-40B4-BE49-F238E27FC236}">
                        <a16:creationId xmlns:a16="http://schemas.microsoft.com/office/drawing/2014/main" id="{00000000-0008-0000-0400-00001B010000}"/>
                      </a:ext>
                    </a:extLst>
                  </xdr:cNvPr>
                  <xdr:cNvGrpSpPr/>
                </xdr:nvGrpSpPr>
                <xdr:grpSpPr>
                  <a:xfrm>
                    <a:off x="7940598" y="18599227"/>
                    <a:ext cx="957335" cy="1870836"/>
                    <a:chOff x="7940598" y="18599227"/>
                    <a:chExt cx="957335" cy="1870836"/>
                  </a:xfrm>
                </xdr:grpSpPr>
                <xdr:cxnSp macro="">
                  <xdr:nvCxnSpPr>
                    <xdr:cNvPr id="241" name="Connecteur droit avec flèche 240">
                      <a:extLst>
                        <a:ext uri="{FF2B5EF4-FFF2-40B4-BE49-F238E27FC236}">
                          <a16:creationId xmlns:a16="http://schemas.microsoft.com/office/drawing/2014/main" id="{00000000-0008-0000-0400-0000F1000000}"/>
                        </a:ext>
                      </a:extLst>
                    </xdr:cNvPr>
                    <xdr:cNvCxnSpPr/>
                  </xdr:nvCxnSpPr>
                  <xdr:spPr>
                    <a:xfrm>
                      <a:off x="8270464" y="18776743"/>
                      <a:ext cx="6228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42" name="ZoneTexte 241">
                      <a:extLst>
                        <a:ext uri="{FF2B5EF4-FFF2-40B4-BE49-F238E27FC236}">
                          <a16:creationId xmlns:a16="http://schemas.microsoft.com/office/drawing/2014/main" id="{00000000-0008-0000-0400-0000F2000000}"/>
                        </a:ext>
                      </a:extLst>
                    </xdr:cNvPr>
                    <xdr:cNvSpPr txBox="1"/>
                  </xdr:nvSpPr>
                  <xdr:spPr>
                    <a:xfrm>
                      <a:off x="8406816" y="1859922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fs</a:t>
                      </a:r>
                    </a:p>
                  </xdr:txBody>
                </xdr:sp>
                <xdr:cxnSp macro="">
                  <xdr:nvCxnSpPr>
                    <xdr:cNvPr id="260" name="Connecteur droit avec flèche 259">
                      <a:extLst>
                        <a:ext uri="{FF2B5EF4-FFF2-40B4-BE49-F238E27FC236}">
                          <a16:creationId xmlns:a16="http://schemas.microsoft.com/office/drawing/2014/main" id="{00000000-0008-0000-0400-000004010000}"/>
                        </a:ext>
                      </a:extLst>
                    </xdr:cNvPr>
                    <xdr:cNvCxnSpPr/>
                  </xdr:nvCxnSpPr>
                  <xdr:spPr>
                    <a:xfrm>
                      <a:off x="8264889" y="19314787"/>
                      <a:ext cx="2160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1" name="Connecteur droit avec flèche 260">
                      <a:extLst>
                        <a:ext uri="{FF2B5EF4-FFF2-40B4-BE49-F238E27FC236}">
                          <a16:creationId xmlns:a16="http://schemas.microsoft.com/office/drawing/2014/main" id="{00000000-0008-0000-0400-000005010000}"/>
                        </a:ext>
                      </a:extLst>
                    </xdr:cNvPr>
                    <xdr:cNvCxnSpPr/>
                  </xdr:nvCxnSpPr>
                  <xdr:spPr>
                    <a:xfrm>
                      <a:off x="8263959" y="19992225"/>
                      <a:ext cx="2160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2" name="Connecteur droit avec flèche 261">
                      <a:extLst>
                        <a:ext uri="{FF2B5EF4-FFF2-40B4-BE49-F238E27FC236}">
                          <a16:creationId xmlns:a16="http://schemas.microsoft.com/office/drawing/2014/main" id="{00000000-0008-0000-0400-000006010000}"/>
                        </a:ext>
                      </a:extLst>
                    </xdr:cNvPr>
                    <xdr:cNvCxnSpPr/>
                  </xdr:nvCxnSpPr>
                  <xdr:spPr>
                    <a:xfrm>
                      <a:off x="8702598" y="19087171"/>
                      <a:ext cx="0" cy="96120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3" name="Connecteur droit avec flèche 262">
                      <a:extLst>
                        <a:ext uri="{FF2B5EF4-FFF2-40B4-BE49-F238E27FC236}">
                          <a16:creationId xmlns:a16="http://schemas.microsoft.com/office/drawing/2014/main" id="{00000000-0008-0000-0400-000007010000}"/>
                        </a:ext>
                      </a:extLst>
                    </xdr:cNvPr>
                    <xdr:cNvCxnSpPr/>
                  </xdr:nvCxnSpPr>
                  <xdr:spPr>
                    <a:xfrm>
                      <a:off x="8275133" y="20439253"/>
                      <a:ext cx="622800" cy="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64" name="Connecteur droit avec flèche 263">
                      <a:extLst>
                        <a:ext uri="{FF2B5EF4-FFF2-40B4-BE49-F238E27FC236}">
                          <a16:creationId xmlns:a16="http://schemas.microsoft.com/office/drawing/2014/main" id="{00000000-0008-0000-0400-000008010000}"/>
                        </a:ext>
                      </a:extLst>
                    </xdr:cNvPr>
                    <xdr:cNvCxnSpPr/>
                  </xdr:nvCxnSpPr>
                  <xdr:spPr>
                    <a:xfrm>
                      <a:off x="8162694" y="19021193"/>
                      <a:ext cx="0" cy="1078880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67" name="ZoneTexte 266">
                      <a:extLst>
                        <a:ext uri="{FF2B5EF4-FFF2-40B4-BE49-F238E27FC236}">
                          <a16:creationId xmlns:a16="http://schemas.microsoft.com/office/drawing/2014/main" id="{00000000-0008-0000-0400-00000B010000}"/>
                        </a:ext>
                      </a:extLst>
                    </xdr:cNvPr>
                    <xdr:cNvSpPr txBox="1"/>
                  </xdr:nvSpPr>
                  <xdr:spPr>
                    <a:xfrm>
                      <a:off x="8447049" y="20258045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fi</a:t>
                      </a:r>
                    </a:p>
                  </xdr:txBody>
                </xdr:sp>
                <xdr:sp macro="" textlink="">
                  <xdr:nvSpPr>
                    <xdr:cNvPr id="268" name="ZoneTexte 267">
                      <a:extLst>
                        <a:ext uri="{FF2B5EF4-FFF2-40B4-BE49-F238E27FC236}">
                          <a16:creationId xmlns:a16="http://schemas.microsoft.com/office/drawing/2014/main" id="{00000000-0008-0000-0400-00000C010000}"/>
                        </a:ext>
                      </a:extLst>
                    </xdr:cNvPr>
                    <xdr:cNvSpPr txBox="1"/>
                  </xdr:nvSpPr>
                  <xdr:spPr>
                    <a:xfrm>
                      <a:off x="8241681" y="1978783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ni</a:t>
                      </a:r>
                    </a:p>
                  </xdr:txBody>
                </xdr:sp>
                <xdr:sp macro="" textlink="">
                  <xdr:nvSpPr>
                    <xdr:cNvPr id="269" name="ZoneTexte 268">
                      <a:extLst>
                        <a:ext uri="{FF2B5EF4-FFF2-40B4-BE49-F238E27FC236}">
                          <a16:creationId xmlns:a16="http://schemas.microsoft.com/office/drawing/2014/main" id="{00000000-0008-0000-0400-00000D010000}"/>
                        </a:ext>
                      </a:extLst>
                    </xdr:cNvPr>
                    <xdr:cNvSpPr txBox="1"/>
                  </xdr:nvSpPr>
                  <xdr:spPr>
                    <a:xfrm>
                      <a:off x="8245397" y="19085310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ns</a:t>
                      </a:r>
                    </a:p>
                  </xdr:txBody>
                </xdr:sp>
                <xdr:sp macro="" textlink="">
                  <xdr:nvSpPr>
                    <xdr:cNvPr id="270" name="ZoneTexte 269">
                      <a:extLst>
                        <a:ext uri="{FF2B5EF4-FFF2-40B4-BE49-F238E27FC236}">
                          <a16:creationId xmlns:a16="http://schemas.microsoft.com/office/drawing/2014/main" id="{00000000-0008-0000-0400-00000E010000}"/>
                        </a:ext>
                      </a:extLst>
                    </xdr:cNvPr>
                    <xdr:cNvSpPr txBox="1"/>
                  </xdr:nvSpPr>
                  <xdr:spPr>
                    <a:xfrm>
                      <a:off x="8632903" y="19472817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L</a:t>
                      </a:r>
                      <a:r>
                        <a:rPr lang="fr-FR" sz="900" baseline="-25000"/>
                        <a:t>w</a:t>
                      </a:r>
                    </a:p>
                  </xdr:txBody>
                </xdr:sp>
                <xdr:cxnSp macro="">
                  <xdr:nvCxnSpPr>
                    <xdr:cNvPr id="271" name="Connecteur droit avec flèche 270">
                      <a:extLst>
                        <a:ext uri="{FF2B5EF4-FFF2-40B4-BE49-F238E27FC236}">
                          <a16:creationId xmlns:a16="http://schemas.microsoft.com/office/drawing/2014/main" id="{00000000-0008-0000-0400-00000F010000}"/>
                        </a:ext>
                      </a:extLst>
                    </xdr:cNvPr>
                    <xdr:cNvCxnSpPr/>
                  </xdr:nvCxnSpPr>
                  <xdr:spPr>
                    <a:xfrm>
                      <a:off x="8161765" y="18850206"/>
                      <a:ext cx="0" cy="110583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none" w="sm" len="med"/>
                      <a:tailEnd type="triangl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274" name="Connecteur droit avec flèche 273">
                      <a:extLst>
                        <a:ext uri="{FF2B5EF4-FFF2-40B4-BE49-F238E27FC236}">
                          <a16:creationId xmlns:a16="http://schemas.microsoft.com/office/drawing/2014/main" id="{00000000-0008-0000-0400-000012010000}"/>
                        </a:ext>
                      </a:extLst>
                    </xdr:cNvPr>
                    <xdr:cNvCxnSpPr/>
                  </xdr:nvCxnSpPr>
                  <xdr:spPr>
                    <a:xfrm>
                      <a:off x="8165482" y="20164192"/>
                      <a:ext cx="0" cy="110583"/>
                    </a:xfrm>
                    <a:prstGeom prst="straightConnector1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med"/>
                      <a:tailEnd type="none" w="sm" len="med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278" name="ZoneTexte 277">
                      <a:extLst>
                        <a:ext uri="{FF2B5EF4-FFF2-40B4-BE49-F238E27FC236}">
                          <a16:creationId xmlns:a16="http://schemas.microsoft.com/office/drawing/2014/main" id="{00000000-0008-0000-0400-000016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0598" y="19519281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h</a:t>
                      </a:r>
                      <a:r>
                        <a:rPr lang="fr-FR" sz="900" baseline="-25000"/>
                        <a:t>w</a:t>
                      </a:r>
                    </a:p>
                  </xdr:txBody>
                </xdr:sp>
                <xdr:sp macro="" textlink="">
                  <xdr:nvSpPr>
                    <xdr:cNvPr id="280" name="ZoneTexte 279">
                      <a:extLst>
                        <a:ext uri="{FF2B5EF4-FFF2-40B4-BE49-F238E27FC236}">
                          <a16:creationId xmlns:a16="http://schemas.microsoft.com/office/drawing/2014/main" id="{00000000-0008-0000-0400-000018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0598" y="18864146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t</a:t>
                      </a:r>
                      <a:r>
                        <a:rPr lang="fr-FR" sz="900" baseline="-25000"/>
                        <a:t>fs</a:t>
                      </a:r>
                    </a:p>
                  </xdr:txBody>
                </xdr:sp>
                <xdr:sp macro="" textlink="">
                  <xdr:nvSpPr>
                    <xdr:cNvPr id="281" name="ZoneTexte 280">
                      <a:extLst>
                        <a:ext uri="{FF2B5EF4-FFF2-40B4-BE49-F238E27FC236}">
                          <a16:creationId xmlns:a16="http://schemas.microsoft.com/office/drawing/2014/main" id="{00000000-0008-0000-0400-000019010000}"/>
                        </a:ext>
                      </a:extLst>
                    </xdr:cNvPr>
                    <xdr:cNvSpPr txBox="1"/>
                  </xdr:nvSpPr>
                  <xdr:spPr>
                    <a:xfrm>
                      <a:off x="7944315" y="20001571"/>
                      <a:ext cx="251061" cy="212018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aseline="0"/>
                        <a:t>t</a:t>
                      </a:r>
                      <a:r>
                        <a:rPr lang="fr-FR" sz="900" baseline="-25000"/>
                        <a:t>fi</a:t>
                      </a:r>
                    </a:p>
                  </xdr:txBody>
                </xdr:sp>
              </xdr:grpSp>
            </xdr:grpSp>
          </xdr:grpSp>
          <xdr:sp macro="" textlink="">
            <xdr:nvSpPr>
              <xdr:cNvPr id="252" name="Ellipse 251">
                <a:extLst>
                  <a:ext uri="{FF2B5EF4-FFF2-40B4-BE49-F238E27FC236}">
                    <a16:creationId xmlns:a16="http://schemas.microsoft.com/office/drawing/2014/main" id="{00000000-0008-0000-0400-0000FC000000}"/>
                  </a:ext>
                </a:extLst>
              </xdr:cNvPr>
              <xdr:cNvSpPr/>
            </xdr:nvSpPr>
            <xdr:spPr>
              <a:xfrm>
                <a:off x="8569077" y="20151290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3" name="Ellipse 252">
                <a:extLst>
                  <a:ext uri="{FF2B5EF4-FFF2-40B4-BE49-F238E27FC236}">
                    <a16:creationId xmlns:a16="http://schemas.microsoft.com/office/drawing/2014/main" id="{00000000-0008-0000-0400-0000FD000000}"/>
                  </a:ext>
                </a:extLst>
              </xdr:cNvPr>
              <xdr:cNvSpPr/>
            </xdr:nvSpPr>
            <xdr:spPr>
              <a:xfrm>
                <a:off x="8568583" y="19579790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54" name="Ellipse 253">
                <a:extLst>
                  <a:ext uri="{FF2B5EF4-FFF2-40B4-BE49-F238E27FC236}">
                    <a16:creationId xmlns:a16="http://schemas.microsoft.com/office/drawing/2014/main" id="{00000000-0008-0000-0400-0000FE000000}"/>
                  </a:ext>
                </a:extLst>
              </xdr:cNvPr>
              <xdr:cNvSpPr/>
            </xdr:nvSpPr>
            <xdr:spPr>
              <a:xfrm>
                <a:off x="8568917" y="18961826"/>
                <a:ext cx="35823" cy="36174"/>
              </a:xfrm>
              <a:prstGeom prst="ellipse">
                <a:avLst/>
              </a:prstGeom>
              <a:solidFill>
                <a:srgbClr val="C00000"/>
              </a:solidFill>
              <a:ln w="6350">
                <a:solidFill>
                  <a:srgbClr val="C0000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</xdr:grpSp>
      <xdr:sp macro="" textlink="">
        <xdr:nvSpPr>
          <xdr:cNvPr id="334" name="Rectangle 333">
            <a:extLst>
              <a:ext uri="{FF2B5EF4-FFF2-40B4-BE49-F238E27FC236}">
                <a16:creationId xmlns:a16="http://schemas.microsoft.com/office/drawing/2014/main" id="{00000000-0008-0000-0400-00004E010000}"/>
              </a:ext>
            </a:extLst>
          </xdr:cNvPr>
          <xdr:cNvSpPr/>
        </xdr:nvSpPr>
        <xdr:spPr>
          <a:xfrm>
            <a:off x="4602695" y="16771600"/>
            <a:ext cx="36003" cy="121320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6</xdr:col>
      <xdr:colOff>95254</xdr:colOff>
      <xdr:row>113</xdr:row>
      <xdr:rowOff>109900</xdr:rowOff>
    </xdr:from>
    <xdr:to>
      <xdr:col>8</xdr:col>
      <xdr:colOff>282129</xdr:colOff>
      <xdr:row>119</xdr:row>
      <xdr:rowOff>27260</xdr:rowOff>
    </xdr:to>
    <xdr:grpSp>
      <xdr:nvGrpSpPr>
        <xdr:cNvPr id="389" name="Groupe 388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GrpSpPr/>
      </xdr:nvGrpSpPr>
      <xdr:grpSpPr>
        <a:xfrm>
          <a:off x="3848104" y="24732025"/>
          <a:ext cx="1949000" cy="1288960"/>
          <a:chOff x="7202075" y="27448115"/>
          <a:chExt cx="1947389" cy="1300684"/>
        </a:xfrm>
      </xdr:grpSpPr>
      <xdr:sp macro="" textlink="">
        <xdr:nvSpPr>
          <xdr:cNvPr id="92" name="Forme libre : forme 91">
            <a:extLst>
              <a:ext uri="{FF2B5EF4-FFF2-40B4-BE49-F238E27FC236}">
                <a16:creationId xmlns:a16="http://schemas.microsoft.com/office/drawing/2014/main" id="{00000000-0008-0000-0400-00005C000000}"/>
              </a:ext>
            </a:extLst>
          </xdr:cNvPr>
          <xdr:cNvSpPr>
            <a:spLocks noChangeAspect="1"/>
          </xdr:cNvSpPr>
        </xdr:nvSpPr>
        <xdr:spPr>
          <a:xfrm>
            <a:off x="8533341" y="27815023"/>
            <a:ext cx="602892" cy="756045"/>
          </a:xfrm>
          <a:custGeom>
            <a:avLst/>
            <a:gdLst>
              <a:gd name="connsiteX0" fmla="*/ 0 w 609600"/>
              <a:gd name="connsiteY0" fmla="*/ 0 h 1143000"/>
              <a:gd name="connsiteX1" fmla="*/ 609600 w 609600"/>
              <a:gd name="connsiteY1" fmla="*/ 0 h 1143000"/>
              <a:gd name="connsiteX2" fmla="*/ 609600 w 609600"/>
              <a:gd name="connsiteY2" fmla="*/ 60007 h 1143000"/>
              <a:gd name="connsiteX3" fmla="*/ 392430 w 609600"/>
              <a:gd name="connsiteY3" fmla="*/ 60007 h 1143000"/>
              <a:gd name="connsiteX4" fmla="*/ 359092 w 609600"/>
              <a:gd name="connsiteY4" fmla="*/ 68940 h 1143000"/>
              <a:gd name="connsiteX5" fmla="*/ 334688 w 609600"/>
              <a:gd name="connsiteY5" fmla="*/ 93345 h 1143000"/>
              <a:gd name="connsiteX6" fmla="*/ 325755 w 609600"/>
              <a:gd name="connsiteY6" fmla="*/ 126683 h 1143000"/>
              <a:gd name="connsiteX7" fmla="*/ 325755 w 609600"/>
              <a:gd name="connsiteY7" fmla="*/ 1016318 h 1143000"/>
              <a:gd name="connsiteX8" fmla="*/ 334688 w 609600"/>
              <a:gd name="connsiteY8" fmla="*/ 1049655 h 1143000"/>
              <a:gd name="connsiteX9" fmla="*/ 359092 w 609600"/>
              <a:gd name="connsiteY9" fmla="*/ 1074060 h 1143000"/>
              <a:gd name="connsiteX10" fmla="*/ 392430 w 609600"/>
              <a:gd name="connsiteY10" fmla="*/ 1082993 h 1143000"/>
              <a:gd name="connsiteX11" fmla="*/ 609600 w 609600"/>
              <a:gd name="connsiteY11" fmla="*/ 1082993 h 1143000"/>
              <a:gd name="connsiteX12" fmla="*/ 0 w 609600"/>
              <a:gd name="connsiteY12" fmla="*/ 1143000 h 1143000"/>
              <a:gd name="connsiteX13" fmla="*/ 0 w 609600"/>
              <a:gd name="connsiteY13" fmla="*/ 1082993 h 1143000"/>
              <a:gd name="connsiteX14" fmla="*/ 217170 w 609600"/>
              <a:gd name="connsiteY14" fmla="*/ 1082993 h 1143000"/>
              <a:gd name="connsiteX15" fmla="*/ 250508 w 609600"/>
              <a:gd name="connsiteY15" fmla="*/ 1074060 h 1143000"/>
              <a:gd name="connsiteX16" fmla="*/ 274912 w 609600"/>
              <a:gd name="connsiteY16" fmla="*/ 1049655 h 1143000"/>
              <a:gd name="connsiteX17" fmla="*/ 283845 w 609600"/>
              <a:gd name="connsiteY17" fmla="*/ 1016318 h 1143000"/>
              <a:gd name="connsiteX18" fmla="*/ 283845 w 609600"/>
              <a:gd name="connsiteY18" fmla="*/ 126683 h 1143000"/>
              <a:gd name="connsiteX19" fmla="*/ 274912 w 609600"/>
              <a:gd name="connsiteY19" fmla="*/ 93345 h 1143000"/>
              <a:gd name="connsiteX20" fmla="*/ 250508 w 609600"/>
              <a:gd name="connsiteY20" fmla="*/ 68940 h 1143000"/>
              <a:gd name="connsiteX21" fmla="*/ 217170 w 609600"/>
              <a:gd name="connsiteY21" fmla="*/ 60007 h 1143000"/>
              <a:gd name="connsiteX22" fmla="*/ 0 w 609600"/>
              <a:gd name="connsiteY22" fmla="*/ 60007 h 1143000"/>
              <a:gd name="connsiteX23" fmla="*/ 0 w 609600"/>
              <a:gd name="connsiteY23" fmla="*/ 0 h 1143000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609600 w 609600"/>
              <a:gd name="connsiteY11" fmla="*/ 1082993 h 1082993"/>
              <a:gd name="connsiteX12" fmla="*/ 0 w 609600"/>
              <a:gd name="connsiteY12" fmla="*/ 1082993 h 1082993"/>
              <a:gd name="connsiteX13" fmla="*/ 217170 w 609600"/>
              <a:gd name="connsiteY13" fmla="*/ 1082993 h 1082993"/>
              <a:gd name="connsiteX14" fmla="*/ 250508 w 609600"/>
              <a:gd name="connsiteY14" fmla="*/ 1074060 h 1082993"/>
              <a:gd name="connsiteX15" fmla="*/ 274912 w 609600"/>
              <a:gd name="connsiteY15" fmla="*/ 1049655 h 1082993"/>
              <a:gd name="connsiteX16" fmla="*/ 283845 w 609600"/>
              <a:gd name="connsiteY16" fmla="*/ 1016318 h 1082993"/>
              <a:gd name="connsiteX17" fmla="*/ 283845 w 609600"/>
              <a:gd name="connsiteY17" fmla="*/ 126683 h 1082993"/>
              <a:gd name="connsiteX18" fmla="*/ 274912 w 609600"/>
              <a:gd name="connsiteY18" fmla="*/ 93345 h 1082993"/>
              <a:gd name="connsiteX19" fmla="*/ 250508 w 609600"/>
              <a:gd name="connsiteY19" fmla="*/ 68940 h 1082993"/>
              <a:gd name="connsiteX20" fmla="*/ 217170 w 609600"/>
              <a:gd name="connsiteY20" fmla="*/ 60007 h 1082993"/>
              <a:gd name="connsiteX21" fmla="*/ 0 w 609600"/>
              <a:gd name="connsiteY21" fmla="*/ 60007 h 1082993"/>
              <a:gd name="connsiteX22" fmla="*/ 0 w 609600"/>
              <a:gd name="connsiteY22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609600 w 609600"/>
              <a:gd name="connsiteY11" fmla="*/ 1082993 h 1082993"/>
              <a:gd name="connsiteX12" fmla="*/ 217170 w 609600"/>
              <a:gd name="connsiteY12" fmla="*/ 1082993 h 1082993"/>
              <a:gd name="connsiteX13" fmla="*/ 250508 w 609600"/>
              <a:gd name="connsiteY13" fmla="*/ 1074060 h 1082993"/>
              <a:gd name="connsiteX14" fmla="*/ 274912 w 609600"/>
              <a:gd name="connsiteY14" fmla="*/ 1049655 h 1082993"/>
              <a:gd name="connsiteX15" fmla="*/ 283845 w 609600"/>
              <a:gd name="connsiteY15" fmla="*/ 1016318 h 1082993"/>
              <a:gd name="connsiteX16" fmla="*/ 283845 w 609600"/>
              <a:gd name="connsiteY16" fmla="*/ 126683 h 1082993"/>
              <a:gd name="connsiteX17" fmla="*/ 274912 w 609600"/>
              <a:gd name="connsiteY17" fmla="*/ 93345 h 1082993"/>
              <a:gd name="connsiteX18" fmla="*/ 250508 w 609600"/>
              <a:gd name="connsiteY18" fmla="*/ 68940 h 1082993"/>
              <a:gd name="connsiteX19" fmla="*/ 217170 w 609600"/>
              <a:gd name="connsiteY19" fmla="*/ 60007 h 1082993"/>
              <a:gd name="connsiteX20" fmla="*/ 0 w 609600"/>
              <a:gd name="connsiteY20" fmla="*/ 60007 h 1082993"/>
              <a:gd name="connsiteX21" fmla="*/ 0 w 609600"/>
              <a:gd name="connsiteY21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392430 w 609600"/>
              <a:gd name="connsiteY10" fmla="*/ 1082993 h 1082993"/>
              <a:gd name="connsiteX11" fmla="*/ 217170 w 609600"/>
              <a:gd name="connsiteY11" fmla="*/ 1082993 h 1082993"/>
              <a:gd name="connsiteX12" fmla="*/ 250508 w 609600"/>
              <a:gd name="connsiteY12" fmla="*/ 1074060 h 1082993"/>
              <a:gd name="connsiteX13" fmla="*/ 274912 w 609600"/>
              <a:gd name="connsiteY13" fmla="*/ 1049655 h 1082993"/>
              <a:gd name="connsiteX14" fmla="*/ 283845 w 609600"/>
              <a:gd name="connsiteY14" fmla="*/ 1016318 h 1082993"/>
              <a:gd name="connsiteX15" fmla="*/ 283845 w 609600"/>
              <a:gd name="connsiteY15" fmla="*/ 126683 h 1082993"/>
              <a:gd name="connsiteX16" fmla="*/ 274912 w 609600"/>
              <a:gd name="connsiteY16" fmla="*/ 93345 h 1082993"/>
              <a:gd name="connsiteX17" fmla="*/ 250508 w 609600"/>
              <a:gd name="connsiteY17" fmla="*/ 68940 h 1082993"/>
              <a:gd name="connsiteX18" fmla="*/ 217170 w 609600"/>
              <a:gd name="connsiteY18" fmla="*/ 60007 h 1082993"/>
              <a:gd name="connsiteX19" fmla="*/ 0 w 609600"/>
              <a:gd name="connsiteY19" fmla="*/ 60007 h 1082993"/>
              <a:gd name="connsiteX20" fmla="*/ 0 w 609600"/>
              <a:gd name="connsiteY20" fmla="*/ 0 h 1082993"/>
              <a:gd name="connsiteX0" fmla="*/ 0 w 609600"/>
              <a:gd name="connsiteY0" fmla="*/ 0 h 1082993"/>
              <a:gd name="connsiteX1" fmla="*/ 609600 w 609600"/>
              <a:gd name="connsiteY1" fmla="*/ 0 h 1082993"/>
              <a:gd name="connsiteX2" fmla="*/ 609600 w 609600"/>
              <a:gd name="connsiteY2" fmla="*/ 60007 h 1082993"/>
              <a:gd name="connsiteX3" fmla="*/ 392430 w 609600"/>
              <a:gd name="connsiteY3" fmla="*/ 60007 h 1082993"/>
              <a:gd name="connsiteX4" fmla="*/ 359092 w 609600"/>
              <a:gd name="connsiteY4" fmla="*/ 68940 h 1082993"/>
              <a:gd name="connsiteX5" fmla="*/ 334688 w 609600"/>
              <a:gd name="connsiteY5" fmla="*/ 93345 h 1082993"/>
              <a:gd name="connsiteX6" fmla="*/ 325755 w 609600"/>
              <a:gd name="connsiteY6" fmla="*/ 126683 h 1082993"/>
              <a:gd name="connsiteX7" fmla="*/ 325755 w 609600"/>
              <a:gd name="connsiteY7" fmla="*/ 1016318 h 1082993"/>
              <a:gd name="connsiteX8" fmla="*/ 334688 w 609600"/>
              <a:gd name="connsiteY8" fmla="*/ 1049655 h 1082993"/>
              <a:gd name="connsiteX9" fmla="*/ 359092 w 609600"/>
              <a:gd name="connsiteY9" fmla="*/ 1074060 h 1082993"/>
              <a:gd name="connsiteX10" fmla="*/ 217170 w 609600"/>
              <a:gd name="connsiteY10" fmla="*/ 1082993 h 1082993"/>
              <a:gd name="connsiteX11" fmla="*/ 250508 w 609600"/>
              <a:gd name="connsiteY11" fmla="*/ 1074060 h 1082993"/>
              <a:gd name="connsiteX12" fmla="*/ 274912 w 609600"/>
              <a:gd name="connsiteY12" fmla="*/ 1049655 h 1082993"/>
              <a:gd name="connsiteX13" fmla="*/ 283845 w 609600"/>
              <a:gd name="connsiteY13" fmla="*/ 1016318 h 1082993"/>
              <a:gd name="connsiteX14" fmla="*/ 283845 w 609600"/>
              <a:gd name="connsiteY14" fmla="*/ 126683 h 1082993"/>
              <a:gd name="connsiteX15" fmla="*/ 274912 w 609600"/>
              <a:gd name="connsiteY15" fmla="*/ 93345 h 1082993"/>
              <a:gd name="connsiteX16" fmla="*/ 250508 w 609600"/>
              <a:gd name="connsiteY16" fmla="*/ 68940 h 1082993"/>
              <a:gd name="connsiteX17" fmla="*/ 217170 w 609600"/>
              <a:gd name="connsiteY17" fmla="*/ 60007 h 1082993"/>
              <a:gd name="connsiteX18" fmla="*/ 0 w 609600"/>
              <a:gd name="connsiteY18" fmla="*/ 60007 h 1082993"/>
              <a:gd name="connsiteX19" fmla="*/ 0 w 609600"/>
              <a:gd name="connsiteY19" fmla="*/ 0 h 1082993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359092 w 609600"/>
              <a:gd name="connsiteY9" fmla="*/ 1074060 h 1074060"/>
              <a:gd name="connsiteX10" fmla="*/ 250508 w 609600"/>
              <a:gd name="connsiteY10" fmla="*/ 1074060 h 1074060"/>
              <a:gd name="connsiteX11" fmla="*/ 274912 w 609600"/>
              <a:gd name="connsiteY11" fmla="*/ 1049655 h 1074060"/>
              <a:gd name="connsiteX12" fmla="*/ 283845 w 609600"/>
              <a:gd name="connsiteY12" fmla="*/ 1016318 h 1074060"/>
              <a:gd name="connsiteX13" fmla="*/ 283845 w 609600"/>
              <a:gd name="connsiteY13" fmla="*/ 126683 h 1074060"/>
              <a:gd name="connsiteX14" fmla="*/ 274912 w 609600"/>
              <a:gd name="connsiteY14" fmla="*/ 93345 h 1074060"/>
              <a:gd name="connsiteX15" fmla="*/ 250508 w 609600"/>
              <a:gd name="connsiteY15" fmla="*/ 68940 h 1074060"/>
              <a:gd name="connsiteX16" fmla="*/ 217170 w 609600"/>
              <a:gd name="connsiteY16" fmla="*/ 60007 h 1074060"/>
              <a:gd name="connsiteX17" fmla="*/ 0 w 609600"/>
              <a:gd name="connsiteY17" fmla="*/ 60007 h 1074060"/>
              <a:gd name="connsiteX18" fmla="*/ 0 w 609600"/>
              <a:gd name="connsiteY18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359092 w 609600"/>
              <a:gd name="connsiteY9" fmla="*/ 1074060 h 1074060"/>
              <a:gd name="connsiteX10" fmla="*/ 250508 w 609600"/>
              <a:gd name="connsiteY10" fmla="*/ 1074060 h 1074060"/>
              <a:gd name="connsiteX11" fmla="*/ 283845 w 609600"/>
              <a:gd name="connsiteY11" fmla="*/ 1016318 h 1074060"/>
              <a:gd name="connsiteX12" fmla="*/ 283845 w 609600"/>
              <a:gd name="connsiteY12" fmla="*/ 126683 h 1074060"/>
              <a:gd name="connsiteX13" fmla="*/ 274912 w 609600"/>
              <a:gd name="connsiteY13" fmla="*/ 93345 h 1074060"/>
              <a:gd name="connsiteX14" fmla="*/ 250508 w 609600"/>
              <a:gd name="connsiteY14" fmla="*/ 68940 h 1074060"/>
              <a:gd name="connsiteX15" fmla="*/ 217170 w 609600"/>
              <a:gd name="connsiteY15" fmla="*/ 60007 h 1074060"/>
              <a:gd name="connsiteX16" fmla="*/ 0 w 609600"/>
              <a:gd name="connsiteY16" fmla="*/ 60007 h 1074060"/>
              <a:gd name="connsiteX17" fmla="*/ 0 w 609600"/>
              <a:gd name="connsiteY17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334688 w 609600"/>
              <a:gd name="connsiteY8" fmla="*/ 1049655 h 1074060"/>
              <a:gd name="connsiteX9" fmla="*/ 250508 w 609600"/>
              <a:gd name="connsiteY9" fmla="*/ 1074060 h 1074060"/>
              <a:gd name="connsiteX10" fmla="*/ 283845 w 609600"/>
              <a:gd name="connsiteY10" fmla="*/ 1016318 h 1074060"/>
              <a:gd name="connsiteX11" fmla="*/ 283845 w 609600"/>
              <a:gd name="connsiteY11" fmla="*/ 126683 h 1074060"/>
              <a:gd name="connsiteX12" fmla="*/ 274912 w 609600"/>
              <a:gd name="connsiteY12" fmla="*/ 93345 h 1074060"/>
              <a:gd name="connsiteX13" fmla="*/ 250508 w 609600"/>
              <a:gd name="connsiteY13" fmla="*/ 68940 h 1074060"/>
              <a:gd name="connsiteX14" fmla="*/ 217170 w 609600"/>
              <a:gd name="connsiteY14" fmla="*/ 60007 h 1074060"/>
              <a:gd name="connsiteX15" fmla="*/ 0 w 609600"/>
              <a:gd name="connsiteY15" fmla="*/ 60007 h 1074060"/>
              <a:gd name="connsiteX16" fmla="*/ 0 w 609600"/>
              <a:gd name="connsiteY16" fmla="*/ 0 h 1074060"/>
              <a:gd name="connsiteX0" fmla="*/ 0 w 609600"/>
              <a:gd name="connsiteY0" fmla="*/ 0 h 1074060"/>
              <a:gd name="connsiteX1" fmla="*/ 609600 w 609600"/>
              <a:gd name="connsiteY1" fmla="*/ 0 h 1074060"/>
              <a:gd name="connsiteX2" fmla="*/ 609600 w 609600"/>
              <a:gd name="connsiteY2" fmla="*/ 60007 h 1074060"/>
              <a:gd name="connsiteX3" fmla="*/ 392430 w 609600"/>
              <a:gd name="connsiteY3" fmla="*/ 60007 h 1074060"/>
              <a:gd name="connsiteX4" fmla="*/ 359092 w 609600"/>
              <a:gd name="connsiteY4" fmla="*/ 68940 h 1074060"/>
              <a:gd name="connsiteX5" fmla="*/ 334688 w 609600"/>
              <a:gd name="connsiteY5" fmla="*/ 93345 h 1074060"/>
              <a:gd name="connsiteX6" fmla="*/ 325755 w 609600"/>
              <a:gd name="connsiteY6" fmla="*/ 126683 h 1074060"/>
              <a:gd name="connsiteX7" fmla="*/ 325755 w 609600"/>
              <a:gd name="connsiteY7" fmla="*/ 1016318 h 1074060"/>
              <a:gd name="connsiteX8" fmla="*/ 250508 w 609600"/>
              <a:gd name="connsiteY8" fmla="*/ 1074060 h 1074060"/>
              <a:gd name="connsiteX9" fmla="*/ 283845 w 609600"/>
              <a:gd name="connsiteY9" fmla="*/ 1016318 h 1074060"/>
              <a:gd name="connsiteX10" fmla="*/ 283845 w 609600"/>
              <a:gd name="connsiteY10" fmla="*/ 126683 h 1074060"/>
              <a:gd name="connsiteX11" fmla="*/ 274912 w 609600"/>
              <a:gd name="connsiteY11" fmla="*/ 93345 h 1074060"/>
              <a:gd name="connsiteX12" fmla="*/ 250508 w 609600"/>
              <a:gd name="connsiteY12" fmla="*/ 68940 h 1074060"/>
              <a:gd name="connsiteX13" fmla="*/ 217170 w 609600"/>
              <a:gd name="connsiteY13" fmla="*/ 60007 h 1074060"/>
              <a:gd name="connsiteX14" fmla="*/ 0 w 609600"/>
              <a:gd name="connsiteY14" fmla="*/ 60007 h 1074060"/>
              <a:gd name="connsiteX15" fmla="*/ 0 w 609600"/>
              <a:gd name="connsiteY15" fmla="*/ 0 h 1074060"/>
              <a:gd name="connsiteX0" fmla="*/ 0 w 609600"/>
              <a:gd name="connsiteY0" fmla="*/ 0 h 1016318"/>
              <a:gd name="connsiteX1" fmla="*/ 609600 w 609600"/>
              <a:gd name="connsiteY1" fmla="*/ 0 h 1016318"/>
              <a:gd name="connsiteX2" fmla="*/ 609600 w 609600"/>
              <a:gd name="connsiteY2" fmla="*/ 60007 h 1016318"/>
              <a:gd name="connsiteX3" fmla="*/ 392430 w 609600"/>
              <a:gd name="connsiteY3" fmla="*/ 60007 h 1016318"/>
              <a:gd name="connsiteX4" fmla="*/ 359092 w 609600"/>
              <a:gd name="connsiteY4" fmla="*/ 68940 h 1016318"/>
              <a:gd name="connsiteX5" fmla="*/ 334688 w 609600"/>
              <a:gd name="connsiteY5" fmla="*/ 93345 h 1016318"/>
              <a:gd name="connsiteX6" fmla="*/ 325755 w 609600"/>
              <a:gd name="connsiteY6" fmla="*/ 126683 h 1016318"/>
              <a:gd name="connsiteX7" fmla="*/ 325755 w 609600"/>
              <a:gd name="connsiteY7" fmla="*/ 1016318 h 1016318"/>
              <a:gd name="connsiteX8" fmla="*/ 283845 w 609600"/>
              <a:gd name="connsiteY8" fmla="*/ 1016318 h 1016318"/>
              <a:gd name="connsiteX9" fmla="*/ 283845 w 609600"/>
              <a:gd name="connsiteY9" fmla="*/ 126683 h 1016318"/>
              <a:gd name="connsiteX10" fmla="*/ 274912 w 609600"/>
              <a:gd name="connsiteY10" fmla="*/ 93345 h 1016318"/>
              <a:gd name="connsiteX11" fmla="*/ 250508 w 609600"/>
              <a:gd name="connsiteY11" fmla="*/ 68940 h 1016318"/>
              <a:gd name="connsiteX12" fmla="*/ 217170 w 609600"/>
              <a:gd name="connsiteY12" fmla="*/ 60007 h 1016318"/>
              <a:gd name="connsiteX13" fmla="*/ 0 w 609600"/>
              <a:gd name="connsiteY13" fmla="*/ 60007 h 1016318"/>
              <a:gd name="connsiteX14" fmla="*/ 0 w 609600"/>
              <a:gd name="connsiteY14" fmla="*/ 0 h 1016318"/>
              <a:gd name="connsiteX0" fmla="*/ 0 w 609600"/>
              <a:gd name="connsiteY0" fmla="*/ 0 h 1016318"/>
              <a:gd name="connsiteX1" fmla="*/ 609600 w 609600"/>
              <a:gd name="connsiteY1" fmla="*/ 0 h 1016318"/>
              <a:gd name="connsiteX2" fmla="*/ 609600 w 609600"/>
              <a:gd name="connsiteY2" fmla="*/ 60007 h 1016318"/>
              <a:gd name="connsiteX3" fmla="*/ 392430 w 609600"/>
              <a:gd name="connsiteY3" fmla="*/ 60007 h 1016318"/>
              <a:gd name="connsiteX4" fmla="*/ 359092 w 609600"/>
              <a:gd name="connsiteY4" fmla="*/ 68940 h 1016318"/>
              <a:gd name="connsiteX5" fmla="*/ 334688 w 609600"/>
              <a:gd name="connsiteY5" fmla="*/ 93345 h 1016318"/>
              <a:gd name="connsiteX6" fmla="*/ 325755 w 609600"/>
              <a:gd name="connsiteY6" fmla="*/ 126683 h 1016318"/>
              <a:gd name="connsiteX7" fmla="*/ 322150 w 609600"/>
              <a:gd name="connsiteY7" fmla="*/ 740544 h 1016318"/>
              <a:gd name="connsiteX8" fmla="*/ 283845 w 609600"/>
              <a:gd name="connsiteY8" fmla="*/ 1016318 h 1016318"/>
              <a:gd name="connsiteX9" fmla="*/ 283845 w 609600"/>
              <a:gd name="connsiteY9" fmla="*/ 126683 h 1016318"/>
              <a:gd name="connsiteX10" fmla="*/ 274912 w 609600"/>
              <a:gd name="connsiteY10" fmla="*/ 93345 h 1016318"/>
              <a:gd name="connsiteX11" fmla="*/ 250508 w 609600"/>
              <a:gd name="connsiteY11" fmla="*/ 68940 h 1016318"/>
              <a:gd name="connsiteX12" fmla="*/ 217170 w 609600"/>
              <a:gd name="connsiteY12" fmla="*/ 60007 h 1016318"/>
              <a:gd name="connsiteX13" fmla="*/ 0 w 609600"/>
              <a:gd name="connsiteY13" fmla="*/ 60007 h 1016318"/>
              <a:gd name="connsiteX14" fmla="*/ 0 w 609600"/>
              <a:gd name="connsiteY14" fmla="*/ 0 h 1016318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150 w 609600"/>
              <a:gd name="connsiteY7" fmla="*/ 740544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150 w 609600"/>
              <a:gd name="connsiteY7" fmla="*/ 740544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7689"/>
              <a:gd name="connsiteX1" fmla="*/ 609600 w 609600"/>
              <a:gd name="connsiteY1" fmla="*/ 0 h 747689"/>
              <a:gd name="connsiteX2" fmla="*/ 609600 w 609600"/>
              <a:gd name="connsiteY2" fmla="*/ 60007 h 747689"/>
              <a:gd name="connsiteX3" fmla="*/ 392430 w 609600"/>
              <a:gd name="connsiteY3" fmla="*/ 60007 h 747689"/>
              <a:gd name="connsiteX4" fmla="*/ 359092 w 609600"/>
              <a:gd name="connsiteY4" fmla="*/ 68940 h 747689"/>
              <a:gd name="connsiteX5" fmla="*/ 334688 w 609600"/>
              <a:gd name="connsiteY5" fmla="*/ 93345 h 747689"/>
              <a:gd name="connsiteX6" fmla="*/ 325755 w 609600"/>
              <a:gd name="connsiteY6" fmla="*/ 126683 h 747689"/>
              <a:gd name="connsiteX7" fmla="*/ 322150 w 609600"/>
              <a:gd name="connsiteY7" fmla="*/ 747689 h 747689"/>
              <a:gd name="connsiteX8" fmla="*/ 283845 w 609600"/>
              <a:gd name="connsiteY8" fmla="*/ 744126 h 747689"/>
              <a:gd name="connsiteX9" fmla="*/ 283845 w 609600"/>
              <a:gd name="connsiteY9" fmla="*/ 126683 h 747689"/>
              <a:gd name="connsiteX10" fmla="*/ 274912 w 609600"/>
              <a:gd name="connsiteY10" fmla="*/ 93345 h 747689"/>
              <a:gd name="connsiteX11" fmla="*/ 250508 w 609600"/>
              <a:gd name="connsiteY11" fmla="*/ 68940 h 747689"/>
              <a:gd name="connsiteX12" fmla="*/ 217170 w 609600"/>
              <a:gd name="connsiteY12" fmla="*/ 60007 h 747689"/>
              <a:gd name="connsiteX13" fmla="*/ 0 w 609600"/>
              <a:gd name="connsiteY13" fmla="*/ 60007 h 747689"/>
              <a:gd name="connsiteX14" fmla="*/ 0 w 609600"/>
              <a:gd name="connsiteY14" fmla="*/ 0 h 747689"/>
              <a:gd name="connsiteX0" fmla="*/ 0 w 609600"/>
              <a:gd name="connsiteY0" fmla="*/ 0 h 745307"/>
              <a:gd name="connsiteX1" fmla="*/ 609600 w 609600"/>
              <a:gd name="connsiteY1" fmla="*/ 0 h 745307"/>
              <a:gd name="connsiteX2" fmla="*/ 609600 w 609600"/>
              <a:gd name="connsiteY2" fmla="*/ 60007 h 745307"/>
              <a:gd name="connsiteX3" fmla="*/ 392430 w 609600"/>
              <a:gd name="connsiteY3" fmla="*/ 60007 h 745307"/>
              <a:gd name="connsiteX4" fmla="*/ 359092 w 609600"/>
              <a:gd name="connsiteY4" fmla="*/ 68940 h 745307"/>
              <a:gd name="connsiteX5" fmla="*/ 334688 w 609600"/>
              <a:gd name="connsiteY5" fmla="*/ 93345 h 745307"/>
              <a:gd name="connsiteX6" fmla="*/ 325755 w 609600"/>
              <a:gd name="connsiteY6" fmla="*/ 126683 h 745307"/>
              <a:gd name="connsiteX7" fmla="*/ 322947 w 609600"/>
              <a:gd name="connsiteY7" fmla="*/ 745307 h 745307"/>
              <a:gd name="connsiteX8" fmla="*/ 283845 w 609600"/>
              <a:gd name="connsiteY8" fmla="*/ 744126 h 745307"/>
              <a:gd name="connsiteX9" fmla="*/ 283845 w 609600"/>
              <a:gd name="connsiteY9" fmla="*/ 126683 h 745307"/>
              <a:gd name="connsiteX10" fmla="*/ 274912 w 609600"/>
              <a:gd name="connsiteY10" fmla="*/ 93345 h 745307"/>
              <a:gd name="connsiteX11" fmla="*/ 250508 w 609600"/>
              <a:gd name="connsiteY11" fmla="*/ 68940 h 745307"/>
              <a:gd name="connsiteX12" fmla="*/ 217170 w 609600"/>
              <a:gd name="connsiteY12" fmla="*/ 60007 h 745307"/>
              <a:gd name="connsiteX13" fmla="*/ 0 w 609600"/>
              <a:gd name="connsiteY13" fmla="*/ 60007 h 745307"/>
              <a:gd name="connsiteX14" fmla="*/ 0 w 609600"/>
              <a:gd name="connsiteY14" fmla="*/ 0 h 745307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1353 w 609600"/>
              <a:gd name="connsiteY7" fmla="*/ 742925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513"/>
              <a:gd name="connsiteX1" fmla="*/ 609600 w 609600"/>
              <a:gd name="connsiteY1" fmla="*/ 0 h 744513"/>
              <a:gd name="connsiteX2" fmla="*/ 609600 w 609600"/>
              <a:gd name="connsiteY2" fmla="*/ 60007 h 744513"/>
              <a:gd name="connsiteX3" fmla="*/ 392430 w 609600"/>
              <a:gd name="connsiteY3" fmla="*/ 60007 h 744513"/>
              <a:gd name="connsiteX4" fmla="*/ 359092 w 609600"/>
              <a:gd name="connsiteY4" fmla="*/ 68940 h 744513"/>
              <a:gd name="connsiteX5" fmla="*/ 334688 w 609600"/>
              <a:gd name="connsiteY5" fmla="*/ 93345 h 744513"/>
              <a:gd name="connsiteX6" fmla="*/ 325755 w 609600"/>
              <a:gd name="connsiteY6" fmla="*/ 126683 h 744513"/>
              <a:gd name="connsiteX7" fmla="*/ 321353 w 609600"/>
              <a:gd name="connsiteY7" fmla="*/ 744513 h 744513"/>
              <a:gd name="connsiteX8" fmla="*/ 283845 w 609600"/>
              <a:gd name="connsiteY8" fmla="*/ 744126 h 744513"/>
              <a:gd name="connsiteX9" fmla="*/ 283845 w 609600"/>
              <a:gd name="connsiteY9" fmla="*/ 126683 h 744513"/>
              <a:gd name="connsiteX10" fmla="*/ 274912 w 609600"/>
              <a:gd name="connsiteY10" fmla="*/ 93345 h 744513"/>
              <a:gd name="connsiteX11" fmla="*/ 250508 w 609600"/>
              <a:gd name="connsiteY11" fmla="*/ 68940 h 744513"/>
              <a:gd name="connsiteX12" fmla="*/ 217170 w 609600"/>
              <a:gd name="connsiteY12" fmla="*/ 60007 h 744513"/>
              <a:gd name="connsiteX13" fmla="*/ 0 w 609600"/>
              <a:gd name="connsiteY13" fmla="*/ 60007 h 744513"/>
              <a:gd name="connsiteX14" fmla="*/ 0 w 609600"/>
              <a:gd name="connsiteY14" fmla="*/ 0 h 744513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1353 w 609600"/>
              <a:gd name="connsiteY7" fmla="*/ 743719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  <a:gd name="connsiteX0" fmla="*/ 0 w 609600"/>
              <a:gd name="connsiteY0" fmla="*/ 0 h 744126"/>
              <a:gd name="connsiteX1" fmla="*/ 609600 w 609600"/>
              <a:gd name="connsiteY1" fmla="*/ 0 h 744126"/>
              <a:gd name="connsiteX2" fmla="*/ 609600 w 609600"/>
              <a:gd name="connsiteY2" fmla="*/ 60007 h 744126"/>
              <a:gd name="connsiteX3" fmla="*/ 392430 w 609600"/>
              <a:gd name="connsiteY3" fmla="*/ 60007 h 744126"/>
              <a:gd name="connsiteX4" fmla="*/ 359092 w 609600"/>
              <a:gd name="connsiteY4" fmla="*/ 68940 h 744126"/>
              <a:gd name="connsiteX5" fmla="*/ 334688 w 609600"/>
              <a:gd name="connsiteY5" fmla="*/ 93345 h 744126"/>
              <a:gd name="connsiteX6" fmla="*/ 325755 w 609600"/>
              <a:gd name="connsiteY6" fmla="*/ 126683 h 744126"/>
              <a:gd name="connsiteX7" fmla="*/ 322947 w 609600"/>
              <a:gd name="connsiteY7" fmla="*/ 743719 h 744126"/>
              <a:gd name="connsiteX8" fmla="*/ 283845 w 609600"/>
              <a:gd name="connsiteY8" fmla="*/ 744126 h 744126"/>
              <a:gd name="connsiteX9" fmla="*/ 283845 w 609600"/>
              <a:gd name="connsiteY9" fmla="*/ 126683 h 744126"/>
              <a:gd name="connsiteX10" fmla="*/ 274912 w 609600"/>
              <a:gd name="connsiteY10" fmla="*/ 93345 h 744126"/>
              <a:gd name="connsiteX11" fmla="*/ 250508 w 609600"/>
              <a:gd name="connsiteY11" fmla="*/ 68940 h 744126"/>
              <a:gd name="connsiteX12" fmla="*/ 217170 w 609600"/>
              <a:gd name="connsiteY12" fmla="*/ 60007 h 744126"/>
              <a:gd name="connsiteX13" fmla="*/ 0 w 609600"/>
              <a:gd name="connsiteY13" fmla="*/ 60007 h 744126"/>
              <a:gd name="connsiteX14" fmla="*/ 0 w 609600"/>
              <a:gd name="connsiteY14" fmla="*/ 0 h 74412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609600" h="744126">
                <a:moveTo>
                  <a:pt x="0" y="0"/>
                </a:moveTo>
                <a:lnTo>
                  <a:pt x="609600" y="0"/>
                </a:lnTo>
                <a:lnTo>
                  <a:pt x="609600" y="60007"/>
                </a:lnTo>
                <a:lnTo>
                  <a:pt x="392430" y="60007"/>
                </a:lnTo>
                <a:lnTo>
                  <a:pt x="359092" y="68940"/>
                </a:lnTo>
                <a:lnTo>
                  <a:pt x="334688" y="93345"/>
                </a:lnTo>
                <a:lnTo>
                  <a:pt x="325755" y="126683"/>
                </a:lnTo>
                <a:cubicBezTo>
                  <a:pt x="324553" y="331303"/>
                  <a:pt x="324149" y="539099"/>
                  <a:pt x="322947" y="743719"/>
                </a:cubicBezTo>
                <a:lnTo>
                  <a:pt x="283845" y="744126"/>
                </a:lnTo>
                <a:lnTo>
                  <a:pt x="283845" y="126683"/>
                </a:lnTo>
                <a:lnTo>
                  <a:pt x="274912" y="93345"/>
                </a:lnTo>
                <a:lnTo>
                  <a:pt x="250508" y="68940"/>
                </a:lnTo>
                <a:lnTo>
                  <a:pt x="217170" y="60007"/>
                </a:lnTo>
                <a:lnTo>
                  <a:pt x="0" y="60007"/>
                </a:lnTo>
                <a:lnTo>
                  <a:pt x="0" y="0"/>
                </a:lnTo>
                <a:close/>
              </a:path>
            </a:pathLst>
          </a:custGeom>
          <a:noFill/>
          <a:ln w="12700" cap="flat" cmpd="sng" algn="ctr">
            <a:solidFill>
              <a:schemeClr val="tx1"/>
            </a:solidFill>
            <a:prstDash val="solid"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grpSp>
        <xdr:nvGrpSpPr>
          <xdr:cNvPr id="388" name="Groupe 387">
            <a:extLst>
              <a:ext uri="{FF2B5EF4-FFF2-40B4-BE49-F238E27FC236}">
                <a16:creationId xmlns:a16="http://schemas.microsoft.com/office/drawing/2014/main" id="{00000000-0008-0000-0400-000084010000}"/>
              </a:ext>
            </a:extLst>
          </xdr:cNvPr>
          <xdr:cNvGrpSpPr/>
        </xdr:nvGrpSpPr>
        <xdr:grpSpPr>
          <a:xfrm>
            <a:off x="7202075" y="27448115"/>
            <a:ext cx="1947389" cy="1300684"/>
            <a:chOff x="7202075" y="27448115"/>
            <a:chExt cx="1947389" cy="1300684"/>
          </a:xfrm>
        </xdr:grpSpPr>
        <xdr:grpSp>
          <xdr:nvGrpSpPr>
            <xdr:cNvPr id="336" name="Groupe 335">
              <a:extLst>
                <a:ext uri="{FF2B5EF4-FFF2-40B4-BE49-F238E27FC236}">
                  <a16:creationId xmlns:a16="http://schemas.microsoft.com/office/drawing/2014/main" id="{00000000-0008-0000-0400-000050010000}"/>
                </a:ext>
              </a:extLst>
            </xdr:cNvPr>
            <xdr:cNvGrpSpPr/>
          </xdr:nvGrpSpPr>
          <xdr:grpSpPr>
            <a:xfrm>
              <a:off x="7202075" y="27448115"/>
              <a:ext cx="1947389" cy="1138922"/>
              <a:chOff x="3837755" y="16413490"/>
              <a:chExt cx="1951712" cy="1128241"/>
            </a:xfrm>
          </xdr:grpSpPr>
          <xdr:grpSp>
            <xdr:nvGrpSpPr>
              <xdr:cNvPr id="337" name="Groupe 336">
                <a:extLst>
                  <a:ext uri="{FF2B5EF4-FFF2-40B4-BE49-F238E27FC236}">
                    <a16:creationId xmlns:a16="http://schemas.microsoft.com/office/drawing/2014/main" id="{00000000-0008-0000-0400-000051010000}"/>
                  </a:ext>
                </a:extLst>
              </xdr:cNvPr>
              <xdr:cNvGrpSpPr/>
            </xdr:nvGrpSpPr>
            <xdr:grpSpPr>
              <a:xfrm>
                <a:off x="3837755" y="16413490"/>
                <a:ext cx="1951712" cy="1128241"/>
                <a:chOff x="6955123" y="18608519"/>
                <a:chExt cx="1951337" cy="1124009"/>
              </a:xfrm>
            </xdr:grpSpPr>
            <xdr:sp macro="" textlink="">
              <xdr:nvSpPr>
                <xdr:cNvPr id="339" name="ZoneTexte 338">
                  <a:extLst>
                    <a:ext uri="{FF2B5EF4-FFF2-40B4-BE49-F238E27FC236}">
                      <a16:creationId xmlns:a16="http://schemas.microsoft.com/office/drawing/2014/main" id="{00000000-0008-0000-0400-000053010000}"/>
                    </a:ext>
                  </a:extLst>
                </xdr:cNvPr>
                <xdr:cNvSpPr txBox="1"/>
              </xdr:nvSpPr>
              <xdr:spPr>
                <a:xfrm>
                  <a:off x="8571459" y="19014448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B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340" name="ZoneTexte 339">
                  <a:extLst>
                    <a:ext uri="{FF2B5EF4-FFF2-40B4-BE49-F238E27FC236}">
                      <a16:creationId xmlns:a16="http://schemas.microsoft.com/office/drawing/2014/main" id="{00000000-0008-0000-0400-000054010000}"/>
                    </a:ext>
                  </a:extLst>
                </xdr:cNvPr>
                <xdr:cNvSpPr txBox="1"/>
              </xdr:nvSpPr>
              <xdr:spPr>
                <a:xfrm>
                  <a:off x="8534168" y="18784999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A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sp macro="" textlink="">
              <xdr:nvSpPr>
                <xdr:cNvPr id="341" name="ZoneTexte 340">
                  <a:extLst>
                    <a:ext uri="{FF2B5EF4-FFF2-40B4-BE49-F238E27FC236}">
                      <a16:creationId xmlns:a16="http://schemas.microsoft.com/office/drawing/2014/main" id="{00000000-0008-0000-0400-000055010000}"/>
                    </a:ext>
                  </a:extLst>
                </xdr:cNvPr>
                <xdr:cNvSpPr txBox="1"/>
              </xdr:nvSpPr>
              <xdr:spPr>
                <a:xfrm>
                  <a:off x="8570170" y="19178073"/>
                  <a:ext cx="251061" cy="212017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>
                      <a:solidFill>
                        <a:srgbClr val="C00000"/>
                      </a:solidFill>
                    </a:rPr>
                    <a:t>C</a:t>
                  </a:r>
                  <a:endParaRPr lang="fr-FR" sz="900" baseline="-25000">
                    <a:solidFill>
                      <a:srgbClr val="C00000"/>
                    </a:solidFill>
                  </a:endParaRPr>
                </a:p>
              </xdr:txBody>
            </xdr:sp>
            <xdr:grpSp>
              <xdr:nvGrpSpPr>
                <xdr:cNvPr id="342" name="Groupe 341">
                  <a:extLst>
                    <a:ext uri="{FF2B5EF4-FFF2-40B4-BE49-F238E27FC236}">
                      <a16:creationId xmlns:a16="http://schemas.microsoft.com/office/drawing/2014/main" id="{00000000-0008-0000-0400-000056010000}"/>
                    </a:ext>
                  </a:extLst>
                </xdr:cNvPr>
                <xdr:cNvGrpSpPr/>
              </xdr:nvGrpSpPr>
              <xdr:grpSpPr>
                <a:xfrm>
                  <a:off x="6955123" y="18608519"/>
                  <a:ext cx="1951337" cy="1124009"/>
                  <a:chOff x="6955123" y="18608519"/>
                  <a:chExt cx="1951337" cy="1124009"/>
                </a:xfrm>
              </xdr:grpSpPr>
              <xdr:grpSp>
                <xdr:nvGrpSpPr>
                  <xdr:cNvPr id="343" name="Groupe 342">
                    <a:extLst>
                      <a:ext uri="{FF2B5EF4-FFF2-40B4-BE49-F238E27FC236}">
                        <a16:creationId xmlns:a16="http://schemas.microsoft.com/office/drawing/2014/main" id="{00000000-0008-0000-0400-000057010000}"/>
                      </a:ext>
                    </a:extLst>
                  </xdr:cNvPr>
                  <xdr:cNvGrpSpPr/>
                </xdr:nvGrpSpPr>
                <xdr:grpSpPr>
                  <a:xfrm>
                    <a:off x="6955123" y="18608519"/>
                    <a:ext cx="1951337" cy="1115885"/>
                    <a:chOff x="6955123" y="18599227"/>
                    <a:chExt cx="1951337" cy="1115885"/>
                  </a:xfrm>
                </xdr:grpSpPr>
                <xdr:grpSp>
                  <xdr:nvGrpSpPr>
                    <xdr:cNvPr id="347" name="Groupe 346">
                      <a:extLst>
                        <a:ext uri="{FF2B5EF4-FFF2-40B4-BE49-F238E27FC236}">
                          <a16:creationId xmlns:a16="http://schemas.microsoft.com/office/drawing/2014/main" id="{00000000-0008-0000-0400-00005B010000}"/>
                        </a:ext>
                      </a:extLst>
                    </xdr:cNvPr>
                    <xdr:cNvGrpSpPr/>
                  </xdr:nvGrpSpPr>
                  <xdr:grpSpPr>
                    <a:xfrm>
                      <a:off x="6955123" y="18924039"/>
                      <a:ext cx="1137314" cy="779799"/>
                      <a:chOff x="6955123" y="18924039"/>
                      <a:chExt cx="1137314" cy="779799"/>
                    </a:xfrm>
                  </xdr:grpSpPr>
                  <xdr:cxnSp macro="">
                    <xdr:nvCxnSpPr>
                      <xdr:cNvPr id="376" name="Connecteur droit avec flèche 375">
                        <a:extLst>
                          <a:ext uri="{FF2B5EF4-FFF2-40B4-BE49-F238E27FC236}">
                            <a16:creationId xmlns:a16="http://schemas.microsoft.com/office/drawing/2014/main" id="{00000000-0008-0000-0400-000078010000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7235890" y="19217226"/>
                        <a:ext cx="252000" cy="0"/>
                      </a:xfrm>
                      <a:prstGeom prst="straightConnector1">
                        <a:avLst/>
                      </a:prstGeom>
                      <a:ln w="25400">
                        <a:solidFill>
                          <a:srgbClr val="0070C0"/>
                        </a:solidFill>
                        <a:headEnd type="triangle" w="med" len="lg"/>
                        <a:tailEnd type="none" w="med" len="lg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77" name="ZoneTexte 376">
                        <a:extLst>
                          <a:ext uri="{FF2B5EF4-FFF2-40B4-BE49-F238E27FC236}">
                            <a16:creationId xmlns:a16="http://schemas.microsoft.com/office/drawing/2014/main" id="{00000000-0008-0000-0400-000079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049763" y="18958153"/>
                        <a:ext cx="368345" cy="256749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N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78" name="Forme libre : forme 377">
                        <a:extLst>
                          <a:ext uri="{FF2B5EF4-FFF2-40B4-BE49-F238E27FC236}">
                            <a16:creationId xmlns:a16="http://schemas.microsoft.com/office/drawing/2014/main" id="{00000000-0008-0000-0400-00007A010000}"/>
                          </a:ext>
                        </a:extLst>
                      </xdr:cNvPr>
                      <xdr:cNvSpPr/>
                    </xdr:nvSpPr>
                    <xdr:spPr>
                      <a:xfrm flipV="1">
                        <a:off x="7797257" y="19114276"/>
                        <a:ext cx="36174" cy="264319"/>
                      </a:xfrm>
                      <a:custGeom>
                        <a:avLst/>
                        <a:gdLst>
                          <a:gd name="connsiteX0" fmla="*/ 0 w 66261"/>
                          <a:gd name="connsiteY0" fmla="*/ 0 h 579782"/>
                          <a:gd name="connsiteX1" fmla="*/ 0 w 66261"/>
                          <a:gd name="connsiteY1" fmla="*/ 579782 h 579782"/>
                          <a:gd name="connsiteX2" fmla="*/ 66261 w 66261"/>
                          <a:gd name="connsiteY2" fmla="*/ 331304 h 579782"/>
                          <a:gd name="connsiteX3" fmla="*/ 0 w 66261"/>
                          <a:gd name="connsiteY3" fmla="*/ 339587 h 579782"/>
                          <a:gd name="connsiteX4" fmla="*/ 0 w 66261"/>
                          <a:gd name="connsiteY4" fmla="*/ 339587 h 579782"/>
                        </a:gdLst>
                        <a:ahLst/>
                        <a:cxnLst>
                          <a:cxn ang="0">
                            <a:pos x="connsiteX0" y="connsiteY0"/>
                          </a:cxn>
                          <a:cxn ang="0">
                            <a:pos x="connsiteX1" y="connsiteY1"/>
                          </a:cxn>
                          <a:cxn ang="0">
                            <a:pos x="connsiteX2" y="connsiteY2"/>
                          </a:cxn>
                          <a:cxn ang="0">
                            <a:pos x="connsiteX3" y="connsiteY3"/>
                          </a:cxn>
                          <a:cxn ang="0">
                            <a:pos x="connsiteX4" y="connsiteY4"/>
                          </a:cxn>
                        </a:cxnLst>
                        <a:rect l="l" t="t" r="r" b="b"/>
                        <a:pathLst>
                          <a:path w="66261" h="579782">
                            <a:moveTo>
                              <a:pt x="0" y="0"/>
                            </a:moveTo>
                            <a:lnTo>
                              <a:pt x="0" y="579782"/>
                            </a:lnTo>
                            <a:lnTo>
                              <a:pt x="66261" y="331304"/>
                            </a:lnTo>
                            <a:lnTo>
                              <a:pt x="0" y="339587"/>
                            </a:lnTo>
                            <a:lnTo>
                              <a:pt x="0" y="339587"/>
                            </a:lnTo>
                          </a:path>
                        </a:pathLst>
                      </a:custGeom>
                      <a:solidFill>
                        <a:srgbClr val="0070C0"/>
                      </a:solidFill>
                      <a:ln w="25400">
                        <a:solidFill>
                          <a:srgbClr val="0070C0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79" name="Arc 378">
                        <a:extLst>
                          <a:ext uri="{FF2B5EF4-FFF2-40B4-BE49-F238E27FC236}">
                            <a16:creationId xmlns:a16="http://schemas.microsoft.com/office/drawing/2014/main" id="{00000000-0008-0000-0400-00007B010000}"/>
                          </a:ext>
                        </a:extLst>
                      </xdr:cNvPr>
                      <xdr:cNvSpPr>
                        <a:spLocks noChangeAspect="1"/>
                      </xdr:cNvSpPr>
                    </xdr:nvSpPr>
                    <xdr:spPr>
                      <a:xfrm rot="16200000">
                        <a:off x="7421639" y="19034111"/>
                        <a:ext cx="359396" cy="359882"/>
                      </a:xfrm>
                      <a:prstGeom prst="arc">
                        <a:avLst>
                          <a:gd name="adj1" fmla="val 10687710"/>
                          <a:gd name="adj2" fmla="val 573424"/>
                        </a:avLst>
                      </a:prstGeom>
                      <a:ln w="25400">
                        <a:headEnd type="none"/>
                        <a:tailEnd type="triangle" w="med" len="lg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80" name="ZoneTexte 379">
                        <a:extLst>
                          <a:ext uri="{FF2B5EF4-FFF2-40B4-BE49-F238E27FC236}">
                            <a16:creationId xmlns:a16="http://schemas.microsoft.com/office/drawing/2014/main" id="{00000000-0008-0000-0400-00007C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442300" y="19003226"/>
                        <a:ext cx="368345" cy="255820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M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81" name="ZoneTexte 380">
                        <a:extLst>
                          <a:ext uri="{FF2B5EF4-FFF2-40B4-BE49-F238E27FC236}">
                            <a16:creationId xmlns:a16="http://schemas.microsoft.com/office/drawing/2014/main" id="{00000000-0008-0000-0400-00007D010000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725253" y="18924039"/>
                        <a:ext cx="367184" cy="256749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="1" baseline="0"/>
                          <a:t>V</a:t>
                        </a:r>
                        <a:r>
                          <a:rPr lang="fr-FR" sz="900" b="1" baseline="-25000"/>
                          <a:t>Ed</a:t>
                        </a:r>
                      </a:p>
                    </xdr:txBody>
                  </xdr:sp>
                  <xdr:sp macro="" textlink="">
                    <xdr:nvSpPr>
                      <xdr:cNvPr id="382" name="Rectangle 381">
                        <a:extLst>
                          <a:ext uri="{FF2B5EF4-FFF2-40B4-BE49-F238E27FC236}">
                            <a16:creationId xmlns:a16="http://schemas.microsoft.com/office/drawing/2014/main" id="{00000000-0008-0000-0400-00007E010000}"/>
                          </a:ext>
                        </a:extLst>
                      </xdr:cNvPr>
                      <xdr:cNvSpPr/>
                    </xdr:nvSpPr>
                    <xdr:spPr>
                      <a:xfrm>
                        <a:off x="6955123" y="18961720"/>
                        <a:ext cx="780585" cy="742117"/>
                      </a:xfrm>
                      <a:prstGeom prst="rect">
                        <a:avLst/>
                      </a:prstGeom>
                      <a:noFill/>
                      <a:ln>
                        <a:solidFill>
                          <a:schemeClr val="tx1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83" name="Rectangle 382">
                        <a:extLst>
                          <a:ext uri="{FF2B5EF4-FFF2-40B4-BE49-F238E27FC236}">
                            <a16:creationId xmlns:a16="http://schemas.microsoft.com/office/drawing/2014/main" id="{00000000-0008-0000-0400-00007F010000}"/>
                          </a:ext>
                        </a:extLst>
                      </xdr:cNvPr>
                      <xdr:cNvSpPr/>
                    </xdr:nvSpPr>
                    <xdr:spPr>
                      <a:xfrm>
                        <a:off x="6955123" y="19016546"/>
                        <a:ext cx="780585" cy="687292"/>
                      </a:xfrm>
                      <a:prstGeom prst="rect">
                        <a:avLst/>
                      </a:prstGeom>
                      <a:noFill/>
                      <a:ln>
                        <a:solidFill>
                          <a:schemeClr val="tx1"/>
                        </a:solidFill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</xdr:grpSp>
                <xdr:grpSp>
                  <xdr:nvGrpSpPr>
                    <xdr:cNvPr id="348" name="Groupe 347">
                      <a:extLst>
                        <a:ext uri="{FF2B5EF4-FFF2-40B4-BE49-F238E27FC236}">
                          <a16:creationId xmlns:a16="http://schemas.microsoft.com/office/drawing/2014/main" id="{00000000-0008-0000-0400-00005C010000}"/>
                        </a:ext>
                      </a:extLst>
                    </xdr:cNvPr>
                    <xdr:cNvGrpSpPr/>
                  </xdr:nvGrpSpPr>
                  <xdr:grpSpPr>
                    <a:xfrm>
                      <a:off x="7936780" y="18599227"/>
                      <a:ext cx="969680" cy="1115885"/>
                      <a:chOff x="7936780" y="18599227"/>
                      <a:chExt cx="969680" cy="1115885"/>
                    </a:xfrm>
                  </xdr:grpSpPr>
                  <xdr:grpSp>
                    <xdr:nvGrpSpPr>
                      <xdr:cNvPr id="349" name="Groupe 348">
                        <a:extLst>
                          <a:ext uri="{FF2B5EF4-FFF2-40B4-BE49-F238E27FC236}">
                            <a16:creationId xmlns:a16="http://schemas.microsoft.com/office/drawing/2014/main" id="{00000000-0008-0000-0400-00005D01000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8285005" y="18926711"/>
                        <a:ext cx="621455" cy="781822"/>
                        <a:chOff x="8285005" y="18926711"/>
                        <a:chExt cx="621455" cy="781822"/>
                      </a:xfrm>
                    </xdr:grpSpPr>
                    <xdr:sp macro="" textlink="">
                      <xdr:nvSpPr>
                        <xdr:cNvPr id="368" name="Rectangle 367">
                          <a:extLst>
                            <a:ext uri="{FF2B5EF4-FFF2-40B4-BE49-F238E27FC236}">
                              <a16:creationId xmlns:a16="http://schemas.microsoft.com/office/drawing/2014/main" id="{00000000-0008-0000-0400-000070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285005" y="18926711"/>
                          <a:ext cx="621455" cy="35245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69" name="Rectangle 368">
                          <a:extLst>
                            <a:ext uri="{FF2B5EF4-FFF2-40B4-BE49-F238E27FC236}">
                              <a16:creationId xmlns:a16="http://schemas.microsoft.com/office/drawing/2014/main" id="{00000000-0008-0000-0400-000071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538326" y="19101732"/>
                          <a:ext cx="36000" cy="606801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0" name="Rectangle 369">
                          <a:extLst>
                            <a:ext uri="{FF2B5EF4-FFF2-40B4-BE49-F238E27FC236}">
                              <a16:creationId xmlns:a16="http://schemas.microsoft.com/office/drawing/2014/main" id="{00000000-0008-0000-0400-000072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287820" y="19028718"/>
                          <a:ext cx="214655" cy="36174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2" name="Rectangle 371">
                          <a:extLst>
                            <a:ext uri="{FF2B5EF4-FFF2-40B4-BE49-F238E27FC236}">
                              <a16:creationId xmlns:a16="http://schemas.microsoft.com/office/drawing/2014/main" id="{00000000-0008-0000-0400-000074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683092" y="19025654"/>
                          <a:ext cx="216000" cy="36174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  <xdr:sp macro="" textlink="">
                      <xdr:nvSpPr>
                        <xdr:cNvPr id="375" name="Rectangle 374">
                          <a:extLst>
                            <a:ext uri="{FF2B5EF4-FFF2-40B4-BE49-F238E27FC236}">
                              <a16:creationId xmlns:a16="http://schemas.microsoft.com/office/drawing/2014/main" id="{00000000-0008-0000-0400-000077010000}"/>
                            </a:ext>
                          </a:extLst>
                        </xdr:cNvPr>
                        <xdr:cNvSpPr/>
                      </xdr:nvSpPr>
                      <xdr:spPr>
                        <a:xfrm>
                          <a:off x="8615530" y="19098724"/>
                          <a:ext cx="36000" cy="606801"/>
                        </a:xfrm>
                        <a:prstGeom prst="rect">
                          <a:avLst/>
                        </a:prstGeom>
                        <a:solidFill>
                          <a:schemeClr val="tx1"/>
                        </a:solidFill>
                        <a:ln>
                          <a:noFill/>
                        </a:ln>
                      </xdr:spPr>
                      <xdr:style>
                        <a:lnRef idx="2">
                          <a:schemeClr val="accent1">
                            <a:shade val="50000"/>
                          </a:schemeClr>
                        </a:lnRef>
                        <a:fillRef idx="1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lt1"/>
                        </a:fontRef>
                      </xdr:style>
                      <xdr:txBody>
                        <a:bodyPr vertOverflow="clip" horzOverflow="clip" rtlCol="0" anchor="t"/>
                        <a:lstStyle/>
                        <a:p>
                          <a:pPr algn="l"/>
                          <a:endParaRPr lang="fr-FR" sz="1100"/>
                        </a:p>
                      </xdr:txBody>
                    </xdr:sp>
                  </xdr:grpSp>
                  <xdr:grpSp>
                    <xdr:nvGrpSpPr>
                      <xdr:cNvPr id="350" name="Groupe 349">
                        <a:extLst>
                          <a:ext uri="{FF2B5EF4-FFF2-40B4-BE49-F238E27FC236}">
                            <a16:creationId xmlns:a16="http://schemas.microsoft.com/office/drawing/2014/main" id="{00000000-0008-0000-0400-00005E01000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7936780" y="18599227"/>
                        <a:ext cx="956484" cy="1115885"/>
                        <a:chOff x="7936780" y="18599227"/>
                        <a:chExt cx="956484" cy="1115885"/>
                      </a:xfrm>
                    </xdr:grpSpPr>
                    <xdr:cxnSp macro="">
                      <xdr:nvCxnSpPr>
                        <xdr:cNvPr id="351" name="Connecteur droit avec flèche 350">
                          <a:extLst>
                            <a:ext uri="{FF2B5EF4-FFF2-40B4-BE49-F238E27FC236}">
                              <a16:creationId xmlns:a16="http://schemas.microsoft.com/office/drawing/2014/main" id="{00000000-0008-0000-0400-00005F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270464" y="18776743"/>
                          <a:ext cx="622800" cy="0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52" name="ZoneTexte 351">
                          <a:extLst>
                            <a:ext uri="{FF2B5EF4-FFF2-40B4-BE49-F238E27FC236}">
                              <a16:creationId xmlns:a16="http://schemas.microsoft.com/office/drawing/2014/main" id="{00000000-0008-0000-0400-000060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406816" y="18599227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f</a:t>
                          </a:r>
                        </a:p>
                      </xdr:txBody>
                    </xdr:sp>
                    <xdr:cxnSp macro="">
                      <xdr:nvCxnSpPr>
                        <xdr:cNvPr id="353" name="Connecteur droit avec flèche 352">
                          <a:extLst>
                            <a:ext uri="{FF2B5EF4-FFF2-40B4-BE49-F238E27FC236}">
                              <a16:creationId xmlns:a16="http://schemas.microsoft.com/office/drawing/2014/main" id="{00000000-0008-0000-0400-000061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264889" y="19288466"/>
                          <a:ext cx="216000" cy="0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cxnSp macro="">
                      <xdr:nvCxnSpPr>
                        <xdr:cNvPr id="355" name="Connecteur droit avec flèche 354">
                          <a:extLst>
                            <a:ext uri="{FF2B5EF4-FFF2-40B4-BE49-F238E27FC236}">
                              <a16:creationId xmlns:a16="http://schemas.microsoft.com/office/drawing/2014/main" id="{00000000-0008-0000-0400-000063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481170" y="19102211"/>
                          <a:ext cx="0" cy="607539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cxnSp macro="">
                      <xdr:nvCxnSpPr>
                        <xdr:cNvPr id="357" name="Connecteur droit avec flèche 356">
                          <a:extLst>
                            <a:ext uri="{FF2B5EF4-FFF2-40B4-BE49-F238E27FC236}">
                              <a16:creationId xmlns:a16="http://schemas.microsoft.com/office/drawing/2014/main" id="{00000000-0008-0000-0400-000065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162694" y="19021193"/>
                          <a:ext cx="0" cy="693919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triangl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60" name="ZoneTexte 359">
                          <a:extLst>
                            <a:ext uri="{FF2B5EF4-FFF2-40B4-BE49-F238E27FC236}">
                              <a16:creationId xmlns:a16="http://schemas.microsoft.com/office/drawing/2014/main" id="{00000000-0008-0000-0400-000068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245397" y="19058988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n</a:t>
                          </a:r>
                        </a:p>
                      </xdr:txBody>
                    </xdr:sp>
                    <xdr:sp macro="" textlink="">
                      <xdr:nvSpPr>
                        <xdr:cNvPr id="361" name="ZoneTexte 360">
                          <a:extLst>
                            <a:ext uri="{FF2B5EF4-FFF2-40B4-BE49-F238E27FC236}">
                              <a16:creationId xmlns:a16="http://schemas.microsoft.com/office/drawing/2014/main" id="{00000000-0008-0000-0400-000069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8262583" y="19363774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L</a:t>
                          </a:r>
                          <a:r>
                            <a:rPr lang="fr-FR" sz="900" baseline="-25000"/>
                            <a:t>w</a:t>
                          </a:r>
                        </a:p>
                      </xdr:txBody>
                    </xdr:sp>
                    <xdr:cxnSp macro="">
                      <xdr:nvCxnSpPr>
                        <xdr:cNvPr id="362" name="Connecteur droit avec flèche 361">
                          <a:extLst>
                            <a:ext uri="{FF2B5EF4-FFF2-40B4-BE49-F238E27FC236}">
                              <a16:creationId xmlns:a16="http://schemas.microsoft.com/office/drawing/2014/main" id="{00000000-0008-0000-0400-00006A010000}"/>
                            </a:ext>
                          </a:extLst>
                        </xdr:cNvPr>
                        <xdr:cNvCxnSpPr/>
                      </xdr:nvCxnSpPr>
                      <xdr:spPr>
                        <a:xfrm>
                          <a:off x="8161765" y="18850206"/>
                          <a:ext cx="0" cy="110583"/>
                        </a:xfrm>
                        <a:prstGeom prst="straightConnector1">
                          <a:avLst/>
                        </a:prstGeom>
                        <a:ln>
                          <a:solidFill>
                            <a:srgbClr val="C00000"/>
                          </a:solidFill>
                          <a:headEnd type="none" w="sm" len="med"/>
                          <a:tailEnd type="triangle" w="sm" len="med"/>
                        </a:ln>
                      </xdr:spPr>
                      <xdr:style>
                        <a:lnRef idx="1">
                          <a:schemeClr val="accent1"/>
                        </a:lnRef>
                        <a:fillRef idx="0">
                          <a:schemeClr val="accent1"/>
                        </a:fillRef>
                        <a:effectRef idx="0">
                          <a:schemeClr val="accent1"/>
                        </a:effectRef>
                        <a:fontRef idx="minor">
                          <a:schemeClr val="tx1"/>
                        </a:fontRef>
                      </xdr:style>
                    </xdr:cxnSp>
                    <xdr:sp macro="" textlink="">
                      <xdr:nvSpPr>
                        <xdr:cNvPr id="364" name="ZoneTexte 363">
                          <a:extLst>
                            <a:ext uri="{FF2B5EF4-FFF2-40B4-BE49-F238E27FC236}">
                              <a16:creationId xmlns:a16="http://schemas.microsoft.com/office/drawing/2014/main" id="{00000000-0008-0000-0400-00006C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7936780" y="19237272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h</a:t>
                          </a:r>
                          <a:r>
                            <a:rPr lang="fr-FR" sz="900" baseline="-25000"/>
                            <a:t>w</a:t>
                          </a:r>
                        </a:p>
                      </xdr:txBody>
                    </xdr:sp>
                    <xdr:sp macro="" textlink="">
                      <xdr:nvSpPr>
                        <xdr:cNvPr id="365" name="ZoneTexte 364">
                          <a:extLst>
                            <a:ext uri="{FF2B5EF4-FFF2-40B4-BE49-F238E27FC236}">
                              <a16:creationId xmlns:a16="http://schemas.microsoft.com/office/drawing/2014/main" id="{00000000-0008-0000-0400-00006D010000}"/>
                            </a:ext>
                          </a:extLst>
                        </xdr:cNvPr>
                        <xdr:cNvSpPr txBox="1"/>
                      </xdr:nvSpPr>
                      <xdr:spPr>
                        <a:xfrm>
                          <a:off x="7974958" y="18864146"/>
                          <a:ext cx="251061" cy="212018"/>
                        </a:xfrm>
                        <a:prstGeom prst="rect">
                          <a:avLst/>
                        </a:prstGeom>
                        <a:noFill/>
                        <a:ln w="9525" cmpd="sng">
                          <a:noFill/>
                        </a:ln>
                      </xdr:spPr>
                      <xdr:style>
                        <a:lnRef idx="0">
                          <a:scrgbClr r="0" g="0" b="0"/>
                        </a:lnRef>
                        <a:fillRef idx="0">
                          <a:scrgbClr r="0" g="0" b="0"/>
                        </a:fillRef>
                        <a:effectRef idx="0">
                          <a:scrgbClr r="0" g="0" b="0"/>
                        </a:effectRef>
                        <a:fontRef idx="minor">
                          <a:schemeClr val="dk1"/>
                        </a:fontRef>
                      </xdr:style>
                      <xdr:txBody>
                        <a:bodyPr vertOverflow="overflow" horzOverflow="overflow" wrap="none" rtlCol="0" anchor="b"/>
                        <a:lstStyle/>
                        <a:p>
                          <a:pPr algn="l"/>
                          <a:r>
                            <a:rPr lang="fr-FR" sz="900" baseline="0"/>
                            <a:t>t</a:t>
                          </a:r>
                          <a:r>
                            <a:rPr lang="fr-FR" sz="900" baseline="-25000"/>
                            <a:t>f</a:t>
                          </a:r>
                        </a:p>
                      </xdr:txBody>
                    </xdr:sp>
                  </xdr:grpSp>
                </xdr:grpSp>
              </xdr:grpSp>
              <xdr:sp macro="" textlink="">
                <xdr:nvSpPr>
                  <xdr:cNvPr id="344" name="Ellipse 343">
                    <a:extLst>
                      <a:ext uri="{FF2B5EF4-FFF2-40B4-BE49-F238E27FC236}">
                        <a16:creationId xmlns:a16="http://schemas.microsoft.com/office/drawing/2014/main" id="{00000000-0008-0000-0400-000058010000}"/>
                      </a:ext>
                    </a:extLst>
                  </xdr:cNvPr>
                  <xdr:cNvSpPr/>
                </xdr:nvSpPr>
                <xdr:spPr>
                  <a:xfrm>
                    <a:off x="8576713" y="19038298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345" name="Ellipse 344">
                    <a:extLst>
                      <a:ext uri="{FF2B5EF4-FFF2-40B4-BE49-F238E27FC236}">
                        <a16:creationId xmlns:a16="http://schemas.microsoft.com/office/drawing/2014/main" id="{00000000-0008-0000-0400-000059010000}"/>
                      </a:ext>
                    </a:extLst>
                  </xdr:cNvPr>
                  <xdr:cNvSpPr/>
                </xdr:nvSpPr>
                <xdr:spPr>
                  <a:xfrm>
                    <a:off x="8576219" y="19696354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346" name="Ellipse 345">
                    <a:extLst>
                      <a:ext uri="{FF2B5EF4-FFF2-40B4-BE49-F238E27FC236}">
                        <a16:creationId xmlns:a16="http://schemas.microsoft.com/office/drawing/2014/main" id="{00000000-0008-0000-0400-00005A010000}"/>
                      </a:ext>
                    </a:extLst>
                  </xdr:cNvPr>
                  <xdr:cNvSpPr/>
                </xdr:nvSpPr>
                <xdr:spPr>
                  <a:xfrm>
                    <a:off x="8576553" y="18961826"/>
                    <a:ext cx="35823" cy="36174"/>
                  </a:xfrm>
                  <a:prstGeom prst="ellipse">
                    <a:avLst/>
                  </a:prstGeom>
                  <a:solidFill>
                    <a:srgbClr val="C00000"/>
                  </a:solidFill>
                  <a:ln w="6350">
                    <a:solidFill>
                      <a:srgbClr val="C00000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</xdr:grpSp>
          <xdr:sp macro="" textlink="">
            <xdr:nvSpPr>
              <xdr:cNvPr id="338" name="Rectangle 337">
                <a:extLst>
                  <a:ext uri="{FF2B5EF4-FFF2-40B4-BE49-F238E27FC236}">
                    <a16:creationId xmlns:a16="http://schemas.microsoft.com/office/drawing/2014/main" id="{00000000-0008-0000-0400-000052010000}"/>
                  </a:ext>
                </a:extLst>
              </xdr:cNvPr>
              <xdr:cNvSpPr/>
            </xdr:nvSpPr>
            <xdr:spPr>
              <a:xfrm>
                <a:off x="4602695" y="16771600"/>
                <a:ext cx="36003" cy="748910"/>
              </a:xfrm>
              <a:prstGeom prst="rect">
                <a:avLst/>
              </a:prstGeom>
              <a:solidFill>
                <a:schemeClr val="tx1"/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sp macro="" textlink="">
          <xdr:nvSpPr>
            <xdr:cNvPr id="384" name="Ellipse 383">
              <a:extLst>
                <a:ext uri="{FF2B5EF4-FFF2-40B4-BE49-F238E27FC236}">
                  <a16:creationId xmlns:a16="http://schemas.microsoft.com/office/drawing/2014/main" id="{00000000-0008-0000-0400-000080010000}"/>
                </a:ext>
              </a:extLst>
            </xdr:cNvPr>
            <xdr:cNvSpPr/>
          </xdr:nvSpPr>
          <xdr:spPr>
            <a:xfrm>
              <a:off x="8821325" y="28057719"/>
              <a:ext cx="35751" cy="36654"/>
            </a:xfrm>
            <a:prstGeom prst="ellipse">
              <a:avLst/>
            </a:prstGeom>
            <a:solidFill>
              <a:srgbClr val="C00000"/>
            </a:solidFill>
            <a:ln w="6350">
              <a:solidFill>
                <a:srgbClr val="C0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85" name="ZoneTexte 384">
              <a:extLst>
                <a:ext uri="{FF2B5EF4-FFF2-40B4-BE49-F238E27FC236}">
                  <a16:creationId xmlns:a16="http://schemas.microsoft.com/office/drawing/2014/main" id="{00000000-0008-0000-0400-000081010000}"/>
                </a:ext>
              </a:extLst>
            </xdr:cNvPr>
            <xdr:cNvSpPr txBox="1"/>
          </xdr:nvSpPr>
          <xdr:spPr>
            <a:xfrm>
              <a:off x="8665115" y="28533969"/>
              <a:ext cx="250553" cy="21483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>
                  <a:solidFill>
                    <a:srgbClr val="C00000"/>
                  </a:solidFill>
                </a:rPr>
                <a:t>D</a:t>
              </a:r>
              <a:endParaRPr lang="fr-FR" sz="900" baseline="-25000">
                <a:solidFill>
                  <a:srgbClr val="C00000"/>
                </a:solidFill>
              </a:endParaRPr>
            </a:p>
          </xdr:txBody>
        </xdr:sp>
      </xdr:grpSp>
    </xdr:grpSp>
    <xdr:clientData/>
  </xdr:twoCellAnchor>
  <xdr:twoCellAnchor>
    <xdr:from>
      <xdr:col>7</xdr:col>
      <xdr:colOff>384625</xdr:colOff>
      <xdr:row>322</xdr:row>
      <xdr:rowOff>16892</xdr:rowOff>
    </xdr:from>
    <xdr:to>
      <xdr:col>8</xdr:col>
      <xdr:colOff>332066</xdr:colOff>
      <xdr:row>329</xdr:row>
      <xdr:rowOff>88902</xdr:rowOff>
    </xdr:to>
    <xdr:grpSp>
      <xdr:nvGrpSpPr>
        <xdr:cNvPr id="441" name="Groupe 440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GrpSpPr/>
      </xdr:nvGrpSpPr>
      <xdr:grpSpPr>
        <a:xfrm>
          <a:off x="4851850" y="69549392"/>
          <a:ext cx="995191" cy="1672210"/>
          <a:chOff x="8560431" y="73817151"/>
          <a:chExt cx="1003909" cy="1681336"/>
        </a:xfrm>
      </xdr:grpSpPr>
      <xdr:grpSp>
        <xdr:nvGrpSpPr>
          <xdr:cNvPr id="397" name="Groupe 396">
            <a:extLst>
              <a:ext uri="{FF2B5EF4-FFF2-40B4-BE49-F238E27FC236}">
                <a16:creationId xmlns:a16="http://schemas.microsoft.com/office/drawing/2014/main" id="{00000000-0008-0000-0400-00008D010000}"/>
              </a:ext>
            </a:extLst>
          </xdr:cNvPr>
          <xdr:cNvGrpSpPr/>
        </xdr:nvGrpSpPr>
        <xdr:grpSpPr>
          <a:xfrm>
            <a:off x="8560431" y="73817151"/>
            <a:ext cx="1003909" cy="1681336"/>
            <a:chOff x="7940598" y="18720877"/>
            <a:chExt cx="1005010" cy="1651868"/>
          </a:xfrm>
        </xdr:grpSpPr>
        <xdr:grpSp>
          <xdr:nvGrpSpPr>
            <xdr:cNvPr id="401" name="Groupe 400">
              <a:extLst>
                <a:ext uri="{FF2B5EF4-FFF2-40B4-BE49-F238E27FC236}">
                  <a16:creationId xmlns:a16="http://schemas.microsoft.com/office/drawing/2014/main" id="{00000000-0008-0000-0400-000091010000}"/>
                </a:ext>
              </a:extLst>
            </xdr:cNvPr>
            <xdr:cNvGrpSpPr/>
          </xdr:nvGrpSpPr>
          <xdr:grpSpPr>
            <a:xfrm>
              <a:off x="8578424" y="19250002"/>
              <a:ext cx="367184" cy="454556"/>
              <a:chOff x="8578424" y="19250002"/>
              <a:chExt cx="367184" cy="454556"/>
            </a:xfrm>
          </xdr:grpSpPr>
          <xdr:sp macro="" textlink="">
            <xdr:nvSpPr>
              <xdr:cNvPr id="432" name="Forme libre : forme 431">
                <a:extLst>
                  <a:ext uri="{FF2B5EF4-FFF2-40B4-BE49-F238E27FC236}">
                    <a16:creationId xmlns:a16="http://schemas.microsoft.com/office/drawing/2014/main" id="{00000000-0008-0000-0400-0000B0010000}"/>
                  </a:ext>
                </a:extLst>
              </xdr:cNvPr>
              <xdr:cNvSpPr/>
            </xdr:nvSpPr>
            <xdr:spPr>
              <a:xfrm flipV="1">
                <a:off x="8650427" y="19440239"/>
                <a:ext cx="36174" cy="264319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435" name="ZoneTexte 434">
                <a:extLst>
                  <a:ext uri="{FF2B5EF4-FFF2-40B4-BE49-F238E27FC236}">
                    <a16:creationId xmlns:a16="http://schemas.microsoft.com/office/drawing/2014/main" id="{00000000-0008-0000-0400-0000B3010000}"/>
                  </a:ext>
                </a:extLst>
              </xdr:cNvPr>
              <xdr:cNvSpPr txBox="1"/>
            </xdr:nvSpPr>
            <xdr:spPr>
              <a:xfrm>
                <a:off x="8578424" y="19250002"/>
                <a:ext cx="367184" cy="256749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Ed</a:t>
                </a:r>
              </a:p>
            </xdr:txBody>
          </xdr:sp>
        </xdr:grpSp>
        <xdr:grpSp>
          <xdr:nvGrpSpPr>
            <xdr:cNvPr id="404" name="Groupe 403">
              <a:extLst>
                <a:ext uri="{FF2B5EF4-FFF2-40B4-BE49-F238E27FC236}">
                  <a16:creationId xmlns:a16="http://schemas.microsoft.com/office/drawing/2014/main" id="{00000000-0008-0000-0400-000094010000}"/>
                </a:ext>
              </a:extLst>
            </xdr:cNvPr>
            <xdr:cNvGrpSpPr/>
          </xdr:nvGrpSpPr>
          <xdr:grpSpPr>
            <a:xfrm>
              <a:off x="7940598" y="18720877"/>
              <a:ext cx="957335" cy="1651868"/>
              <a:chOff x="7940598" y="18720877"/>
              <a:chExt cx="957335" cy="1651868"/>
            </a:xfrm>
          </xdr:grpSpPr>
          <xdr:cxnSp macro="">
            <xdr:nvCxnSpPr>
              <xdr:cNvPr id="405" name="Connecteur droit avec flèche 404">
                <a:extLst>
                  <a:ext uri="{FF2B5EF4-FFF2-40B4-BE49-F238E27FC236}">
                    <a16:creationId xmlns:a16="http://schemas.microsoft.com/office/drawing/2014/main" id="{00000000-0008-0000-0400-000095010000}"/>
                  </a:ext>
                </a:extLst>
              </xdr:cNvPr>
              <xdr:cNvCxnSpPr/>
            </xdr:nvCxnSpPr>
            <xdr:spPr>
              <a:xfrm>
                <a:off x="8270464" y="18898393"/>
                <a:ext cx="6228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06" name="ZoneTexte 405">
                <a:extLst>
                  <a:ext uri="{FF2B5EF4-FFF2-40B4-BE49-F238E27FC236}">
                    <a16:creationId xmlns:a16="http://schemas.microsoft.com/office/drawing/2014/main" id="{00000000-0008-0000-0400-000096010000}"/>
                  </a:ext>
                </a:extLst>
              </xdr:cNvPr>
              <xdr:cNvSpPr txBox="1"/>
            </xdr:nvSpPr>
            <xdr:spPr>
              <a:xfrm>
                <a:off x="8406816" y="18720877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b</a:t>
                </a:r>
                <a:r>
                  <a:rPr lang="fr-FR" sz="900" baseline="-25000"/>
                  <a:t>fs</a:t>
                </a:r>
              </a:p>
            </xdr:txBody>
          </xdr:sp>
          <xdr:cxnSp macro="">
            <xdr:nvCxnSpPr>
              <xdr:cNvPr id="407" name="Connecteur droit avec flèche 406">
                <a:extLst>
                  <a:ext uri="{FF2B5EF4-FFF2-40B4-BE49-F238E27FC236}">
                    <a16:creationId xmlns:a16="http://schemas.microsoft.com/office/drawing/2014/main" id="{00000000-0008-0000-0400-000097010000}"/>
                  </a:ext>
                </a:extLst>
              </xdr:cNvPr>
              <xdr:cNvCxnSpPr/>
            </xdr:nvCxnSpPr>
            <xdr:spPr>
              <a:xfrm>
                <a:off x="8420468" y="19792538"/>
                <a:ext cx="2160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none" w="sm" len="med"/>
                <a:tailEnd type="non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0" name="Connecteur droit avec flèche 409">
                <a:extLst>
                  <a:ext uri="{FF2B5EF4-FFF2-40B4-BE49-F238E27FC236}">
                    <a16:creationId xmlns:a16="http://schemas.microsoft.com/office/drawing/2014/main" id="{00000000-0008-0000-0400-00009A010000}"/>
                  </a:ext>
                </a:extLst>
              </xdr:cNvPr>
              <xdr:cNvCxnSpPr/>
            </xdr:nvCxnSpPr>
            <xdr:spPr>
              <a:xfrm>
                <a:off x="8275133" y="20325715"/>
                <a:ext cx="622800" cy="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1" name="Connecteur droit avec flèche 410">
                <a:extLst>
                  <a:ext uri="{FF2B5EF4-FFF2-40B4-BE49-F238E27FC236}">
                    <a16:creationId xmlns:a16="http://schemas.microsoft.com/office/drawing/2014/main" id="{00000000-0008-0000-0400-00009B010000}"/>
                  </a:ext>
                </a:extLst>
              </xdr:cNvPr>
              <xdr:cNvCxnSpPr/>
            </xdr:nvCxnSpPr>
            <xdr:spPr>
              <a:xfrm>
                <a:off x="8162694" y="19021193"/>
                <a:ext cx="0" cy="1078880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12" name="ZoneTexte 411">
                <a:extLst>
                  <a:ext uri="{FF2B5EF4-FFF2-40B4-BE49-F238E27FC236}">
                    <a16:creationId xmlns:a16="http://schemas.microsoft.com/office/drawing/2014/main" id="{00000000-0008-0000-0400-00009C010000}"/>
                  </a:ext>
                </a:extLst>
              </xdr:cNvPr>
              <xdr:cNvSpPr txBox="1"/>
            </xdr:nvSpPr>
            <xdr:spPr>
              <a:xfrm>
                <a:off x="8447049" y="20160727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b</a:t>
                </a:r>
                <a:r>
                  <a:rPr lang="fr-FR" sz="900" baseline="-25000"/>
                  <a:t>fi</a:t>
                </a:r>
              </a:p>
            </xdr:txBody>
          </xdr:sp>
          <xdr:sp macro="" textlink="">
            <xdr:nvSpPr>
              <xdr:cNvPr id="413" name="ZoneTexte 412">
                <a:extLst>
                  <a:ext uri="{FF2B5EF4-FFF2-40B4-BE49-F238E27FC236}">
                    <a16:creationId xmlns:a16="http://schemas.microsoft.com/office/drawing/2014/main" id="{00000000-0008-0000-0400-00009D010000}"/>
                  </a:ext>
                </a:extLst>
              </xdr:cNvPr>
              <xdr:cNvSpPr txBox="1"/>
            </xdr:nvSpPr>
            <xdr:spPr>
              <a:xfrm>
                <a:off x="8266773" y="1960560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w</a:t>
                </a:r>
              </a:p>
            </xdr:txBody>
          </xdr:sp>
          <xdr:sp macro="" textlink="$O$329">
            <xdr:nvSpPr>
              <xdr:cNvPr id="414" name="ZoneTexte 413">
                <a:extLst>
                  <a:ext uri="{FF2B5EF4-FFF2-40B4-BE49-F238E27FC236}">
                    <a16:creationId xmlns:a16="http://schemas.microsoft.com/office/drawing/2014/main" id="{00000000-0008-0000-0400-00009E010000}"/>
                  </a:ext>
                </a:extLst>
              </xdr:cNvPr>
              <xdr:cNvSpPr txBox="1"/>
            </xdr:nvSpPr>
            <xdr:spPr>
              <a:xfrm rot="10800000">
                <a:off x="8461198" y="1899665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ctr"/>
              <a:lstStyle/>
              <a:p>
                <a:pPr algn="ctr"/>
                <a:fld id="{CAAAC724-36E5-4BA0-BD88-23CEEBB39342}" type="TxLink">
                  <a:rPr lang="en-US" sz="1100" b="0" i="0" u="none" strike="noStrike" baseline="-25000">
                    <a:solidFill>
                      <a:srgbClr val="000000"/>
                    </a:solidFill>
                    <a:latin typeface="Calibri"/>
                    <a:cs typeface="Calibri"/>
                  </a:rPr>
                  <a:pPr algn="ctr"/>
                  <a:t>◢  ◣</a:t>
                </a:fld>
                <a:endParaRPr lang="fr-FR" sz="900" baseline="-25000"/>
              </a:p>
            </xdr:txBody>
          </xdr:sp>
          <xdr:sp macro="" textlink="$N$329">
            <xdr:nvSpPr>
              <xdr:cNvPr id="415" name="ZoneTexte 414">
                <a:extLst>
                  <a:ext uri="{FF2B5EF4-FFF2-40B4-BE49-F238E27FC236}">
                    <a16:creationId xmlns:a16="http://schemas.microsoft.com/office/drawing/2014/main" id="{00000000-0008-0000-0400-00009F010000}"/>
                  </a:ext>
                </a:extLst>
              </xdr:cNvPr>
              <xdr:cNvSpPr txBox="1"/>
            </xdr:nvSpPr>
            <xdr:spPr>
              <a:xfrm>
                <a:off x="8462269" y="1993086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ctr"/>
              <a:lstStyle/>
              <a:p>
                <a:pPr algn="ctr"/>
                <a:fld id="{45A1FBD6-E14C-4654-BB64-3EA4707E3738}" type="TxLink">
                  <a:rPr lang="en-US" sz="1100" b="0" i="0" u="none" strike="noStrike" baseline="-25000">
                    <a:solidFill>
                      <a:srgbClr val="000000"/>
                    </a:solidFill>
                    <a:latin typeface="Calibri"/>
                    <a:cs typeface="Calibri"/>
                  </a:rPr>
                  <a:pPr algn="ctr"/>
                  <a:t>◢  ◣</a:t>
                </a:fld>
                <a:endParaRPr lang="fr-FR" sz="900" baseline="-25000"/>
              </a:p>
            </xdr:txBody>
          </xdr:sp>
          <xdr:cxnSp macro="">
            <xdr:nvCxnSpPr>
              <xdr:cNvPr id="416" name="Connecteur droit avec flèche 415">
                <a:extLst>
                  <a:ext uri="{FF2B5EF4-FFF2-40B4-BE49-F238E27FC236}">
                    <a16:creationId xmlns:a16="http://schemas.microsoft.com/office/drawing/2014/main" id="{00000000-0008-0000-0400-0000A0010000}"/>
                  </a:ext>
                </a:extLst>
              </xdr:cNvPr>
              <xdr:cNvCxnSpPr/>
            </xdr:nvCxnSpPr>
            <xdr:spPr>
              <a:xfrm>
                <a:off x="8161765" y="18850206"/>
                <a:ext cx="0" cy="110583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none" w="sm" len="med"/>
                <a:tailEnd type="triangl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7" name="Connecteur droit avec flèche 416">
                <a:extLst>
                  <a:ext uri="{FF2B5EF4-FFF2-40B4-BE49-F238E27FC236}">
                    <a16:creationId xmlns:a16="http://schemas.microsoft.com/office/drawing/2014/main" id="{00000000-0008-0000-0400-0000A1010000}"/>
                  </a:ext>
                </a:extLst>
              </xdr:cNvPr>
              <xdr:cNvCxnSpPr/>
            </xdr:nvCxnSpPr>
            <xdr:spPr>
              <a:xfrm>
                <a:off x="8165482" y="20164192"/>
                <a:ext cx="0" cy="110583"/>
              </a:xfrm>
              <a:prstGeom prst="straightConnector1">
                <a:avLst/>
              </a:prstGeom>
              <a:ln>
                <a:solidFill>
                  <a:srgbClr val="C00000"/>
                </a:solidFill>
                <a:headEnd type="triangle" w="sm" len="med"/>
                <a:tailEnd type="none" w="sm" len="med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18" name="ZoneTexte 417">
                <a:extLst>
                  <a:ext uri="{FF2B5EF4-FFF2-40B4-BE49-F238E27FC236}">
                    <a16:creationId xmlns:a16="http://schemas.microsoft.com/office/drawing/2014/main" id="{00000000-0008-0000-0400-0000A2010000}"/>
                  </a:ext>
                </a:extLst>
              </xdr:cNvPr>
              <xdr:cNvSpPr txBox="1"/>
            </xdr:nvSpPr>
            <xdr:spPr>
              <a:xfrm>
                <a:off x="7940598" y="1951928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h</a:t>
                </a:r>
                <a:r>
                  <a:rPr lang="fr-FR" sz="900" baseline="-25000"/>
                  <a:t>w</a:t>
                </a:r>
              </a:p>
            </xdr:txBody>
          </xdr:sp>
          <xdr:sp macro="" textlink="">
            <xdr:nvSpPr>
              <xdr:cNvPr id="419" name="ZoneTexte 418">
                <a:extLst>
                  <a:ext uri="{FF2B5EF4-FFF2-40B4-BE49-F238E27FC236}">
                    <a16:creationId xmlns:a16="http://schemas.microsoft.com/office/drawing/2014/main" id="{00000000-0008-0000-0400-0000A3010000}"/>
                  </a:ext>
                </a:extLst>
              </xdr:cNvPr>
              <xdr:cNvSpPr txBox="1"/>
            </xdr:nvSpPr>
            <xdr:spPr>
              <a:xfrm>
                <a:off x="7940598" y="18864146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fs</a:t>
                </a:r>
              </a:p>
            </xdr:txBody>
          </xdr:sp>
          <xdr:sp macro="" textlink="">
            <xdr:nvSpPr>
              <xdr:cNvPr id="420" name="ZoneTexte 419">
                <a:extLst>
                  <a:ext uri="{FF2B5EF4-FFF2-40B4-BE49-F238E27FC236}">
                    <a16:creationId xmlns:a16="http://schemas.microsoft.com/office/drawing/2014/main" id="{00000000-0008-0000-0400-0000A4010000}"/>
                  </a:ext>
                </a:extLst>
              </xdr:cNvPr>
              <xdr:cNvSpPr txBox="1"/>
            </xdr:nvSpPr>
            <xdr:spPr>
              <a:xfrm>
                <a:off x="7944315" y="20001571"/>
                <a:ext cx="251061" cy="212018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/>
                  <a:t>t</a:t>
                </a:r>
                <a:r>
                  <a:rPr lang="fr-FR" sz="900" baseline="-25000"/>
                  <a:t>fi</a:t>
                </a:r>
              </a:p>
            </xdr:txBody>
          </xdr:sp>
        </xdr:grpSp>
      </xdr:grpSp>
      <xdr:sp macro="" textlink="">
        <xdr:nvSpPr>
          <xdr:cNvPr id="438" name="Rectangle 437">
            <a:extLst>
              <a:ext uri="{FF2B5EF4-FFF2-40B4-BE49-F238E27FC236}">
                <a16:creationId xmlns:a16="http://schemas.microsoft.com/office/drawing/2014/main" id="{00000000-0008-0000-0400-0000B6010000}"/>
              </a:ext>
            </a:extLst>
          </xdr:cNvPr>
          <xdr:cNvSpPr/>
        </xdr:nvSpPr>
        <xdr:spPr>
          <a:xfrm>
            <a:off x="8899358" y="74064392"/>
            <a:ext cx="616619" cy="60157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39" name="Rectangle 438">
            <a:extLst>
              <a:ext uri="{FF2B5EF4-FFF2-40B4-BE49-F238E27FC236}">
                <a16:creationId xmlns:a16="http://schemas.microsoft.com/office/drawing/2014/main" id="{00000000-0008-0000-0400-0000B7010000}"/>
              </a:ext>
            </a:extLst>
          </xdr:cNvPr>
          <xdr:cNvSpPr/>
        </xdr:nvSpPr>
        <xdr:spPr>
          <a:xfrm>
            <a:off x="8899358" y="75234466"/>
            <a:ext cx="616619" cy="60157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440" name="Rectangle 439">
            <a:extLst>
              <a:ext uri="{FF2B5EF4-FFF2-40B4-BE49-F238E27FC236}">
                <a16:creationId xmlns:a16="http://schemas.microsoft.com/office/drawing/2014/main" id="{00000000-0008-0000-0400-0000B8010000}"/>
              </a:ext>
            </a:extLst>
          </xdr:cNvPr>
          <xdr:cNvSpPr/>
        </xdr:nvSpPr>
        <xdr:spPr>
          <a:xfrm>
            <a:off x="9184808" y="74124552"/>
            <a:ext cx="45719" cy="1107908"/>
          </a:xfrm>
          <a:prstGeom prst="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7</xdr:col>
      <xdr:colOff>151551</xdr:colOff>
      <xdr:row>373</xdr:row>
      <xdr:rowOff>111486</xdr:rowOff>
    </xdr:from>
    <xdr:to>
      <xdr:col>9</xdr:col>
      <xdr:colOff>80337</xdr:colOff>
      <xdr:row>378</xdr:row>
      <xdr:rowOff>74201</xdr:rowOff>
    </xdr:to>
    <xdr:grpSp>
      <xdr:nvGrpSpPr>
        <xdr:cNvPr id="299" name="Groupe 298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GrpSpPr/>
      </xdr:nvGrpSpPr>
      <xdr:grpSpPr>
        <a:xfrm>
          <a:off x="4618776" y="80750136"/>
          <a:ext cx="1357536" cy="1096190"/>
          <a:chOff x="7733451" y="83750511"/>
          <a:chExt cx="1357536" cy="1096190"/>
        </a:xfrm>
      </xdr:grpSpPr>
      <xdr:grpSp>
        <xdr:nvGrpSpPr>
          <xdr:cNvPr id="297" name="Groupe 296">
            <a:extLst>
              <a:ext uri="{FF2B5EF4-FFF2-40B4-BE49-F238E27FC236}">
                <a16:creationId xmlns:a16="http://schemas.microsoft.com/office/drawing/2014/main" id="{00000000-0008-0000-0400-000029010000}"/>
              </a:ext>
            </a:extLst>
          </xdr:cNvPr>
          <xdr:cNvGrpSpPr/>
        </xdr:nvGrpSpPr>
        <xdr:grpSpPr>
          <a:xfrm>
            <a:off x="7733451" y="83750511"/>
            <a:ext cx="1087222" cy="1096190"/>
            <a:chOff x="7612869" y="83093489"/>
            <a:chExt cx="1086208" cy="1089705"/>
          </a:xfrm>
        </xdr:grpSpPr>
        <xdr:grpSp>
          <xdr:nvGrpSpPr>
            <xdr:cNvPr id="293" name="Groupe 292">
              <a:extLst>
                <a:ext uri="{FF2B5EF4-FFF2-40B4-BE49-F238E27FC236}">
                  <a16:creationId xmlns:a16="http://schemas.microsoft.com/office/drawing/2014/main" id="{00000000-0008-0000-0400-000025010000}"/>
                </a:ext>
              </a:extLst>
            </xdr:cNvPr>
            <xdr:cNvGrpSpPr/>
          </xdr:nvGrpSpPr>
          <xdr:grpSpPr>
            <a:xfrm>
              <a:off x="7677720" y="83093489"/>
              <a:ext cx="1021357" cy="1089705"/>
              <a:chOff x="8087092" y="83138074"/>
              <a:chExt cx="1021357" cy="1089705"/>
            </a:xfrm>
          </xdr:grpSpPr>
          <xdr:grpSp>
            <xdr:nvGrpSpPr>
              <xdr:cNvPr id="66" name="Groupe 65">
                <a:extLst>
                  <a:ext uri="{FF2B5EF4-FFF2-40B4-BE49-F238E27FC236}">
                    <a16:creationId xmlns:a16="http://schemas.microsoft.com/office/drawing/2014/main" id="{00000000-0008-0000-0400-000042000000}"/>
                  </a:ext>
                </a:extLst>
              </xdr:cNvPr>
              <xdr:cNvGrpSpPr/>
            </xdr:nvGrpSpPr>
            <xdr:grpSpPr>
              <a:xfrm>
                <a:off x="8293968" y="83138074"/>
                <a:ext cx="814481" cy="1089705"/>
                <a:chOff x="7719704" y="26393444"/>
                <a:chExt cx="819813" cy="1081198"/>
              </a:xfrm>
            </xdr:grpSpPr>
            <xdr:cxnSp macro="">
              <xdr:nvCxnSpPr>
                <xdr:cNvPr id="140" name="Connecteur droit avec flèche 139">
                  <a:extLst>
                    <a:ext uri="{FF2B5EF4-FFF2-40B4-BE49-F238E27FC236}">
                      <a16:creationId xmlns:a16="http://schemas.microsoft.com/office/drawing/2014/main" id="{00000000-0008-0000-0400-00008C000000}"/>
                    </a:ext>
                  </a:extLst>
                </xdr:cNvPr>
                <xdr:cNvCxnSpPr/>
              </xdr:nvCxnSpPr>
              <xdr:spPr>
                <a:xfrm flipH="1">
                  <a:off x="8326443" y="26497533"/>
                  <a:ext cx="213074" cy="238754"/>
                </a:xfrm>
                <a:prstGeom prst="straightConnector1">
                  <a:avLst/>
                </a:prstGeom>
                <a:ln w="25400">
                  <a:solidFill>
                    <a:srgbClr val="0070C0"/>
                  </a:solidFill>
                  <a:headEnd type="triangle" w="med" len="lg"/>
                  <a:tailEnd type="none" w="med" len="lg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141" name="ZoneTexte 140">
                  <a:extLst>
                    <a:ext uri="{FF2B5EF4-FFF2-40B4-BE49-F238E27FC236}">
                      <a16:creationId xmlns:a16="http://schemas.microsoft.com/office/drawing/2014/main" id="{00000000-0008-0000-0400-00008D000000}"/>
                    </a:ext>
                  </a:extLst>
                </xdr:cNvPr>
                <xdr:cNvSpPr txBox="1"/>
              </xdr:nvSpPr>
              <xdr:spPr>
                <a:xfrm>
                  <a:off x="8162363" y="26393444"/>
                  <a:ext cx="368994" cy="256439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F</a:t>
                  </a:r>
                  <a:r>
                    <a:rPr lang="fr-FR" sz="900" b="1" baseline="-25000"/>
                    <a:t>Ed</a:t>
                  </a:r>
                </a:p>
              </xdr:txBody>
            </xdr:sp>
            <xdr:cxnSp macro="">
              <xdr:nvCxnSpPr>
                <xdr:cNvPr id="211" name="Connecteur droit avec flèche 210">
                  <a:extLst>
                    <a:ext uri="{FF2B5EF4-FFF2-40B4-BE49-F238E27FC236}">
                      <a16:creationId xmlns:a16="http://schemas.microsoft.com/office/drawing/2014/main" id="{00000000-0008-0000-0400-0000D3000000}"/>
                    </a:ext>
                  </a:extLst>
                </xdr:cNvPr>
                <xdr:cNvCxnSpPr/>
              </xdr:nvCxnSpPr>
              <xdr:spPr>
                <a:xfrm>
                  <a:off x="7836331" y="27435080"/>
                  <a:ext cx="518715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12" name="ZoneTexte 211">
                  <a:extLst>
                    <a:ext uri="{FF2B5EF4-FFF2-40B4-BE49-F238E27FC236}">
                      <a16:creationId xmlns:a16="http://schemas.microsoft.com/office/drawing/2014/main" id="{00000000-0008-0000-0400-0000D4000000}"/>
                    </a:ext>
                  </a:extLst>
                </xdr:cNvPr>
                <xdr:cNvSpPr txBox="1"/>
              </xdr:nvSpPr>
              <xdr:spPr>
                <a:xfrm>
                  <a:off x="8066008" y="27262719"/>
                  <a:ext cx="252298" cy="211923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aseline="0"/>
                    <a:t>L</a:t>
                  </a:r>
                  <a:r>
                    <a:rPr lang="fr-FR" sz="900" baseline="-25000"/>
                    <a:t>H</a:t>
                  </a:r>
                </a:p>
              </xdr:txBody>
            </xdr:sp>
            <xdr:sp macro="" textlink="">
              <xdr:nvSpPr>
                <xdr:cNvPr id="216" name="Rectangle 215">
                  <a:extLst>
                    <a:ext uri="{FF2B5EF4-FFF2-40B4-BE49-F238E27FC236}">
                      <a16:creationId xmlns:a16="http://schemas.microsoft.com/office/drawing/2014/main" id="{00000000-0008-0000-0400-0000D8000000}"/>
                    </a:ext>
                  </a:extLst>
                </xdr:cNvPr>
                <xdr:cNvSpPr/>
              </xdr:nvSpPr>
              <xdr:spPr>
                <a:xfrm>
                  <a:off x="7832408" y="27176367"/>
                  <a:ext cx="518400" cy="36000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0" name="Rectangle 219">
                  <a:extLst>
                    <a:ext uri="{FF2B5EF4-FFF2-40B4-BE49-F238E27FC236}">
                      <a16:creationId xmlns:a16="http://schemas.microsoft.com/office/drawing/2014/main" id="{00000000-0008-0000-0400-0000DC000000}"/>
                    </a:ext>
                  </a:extLst>
                </xdr:cNvPr>
                <xdr:cNvSpPr/>
              </xdr:nvSpPr>
              <xdr:spPr>
                <a:xfrm rot="5400000">
                  <a:off x="7595400" y="26943588"/>
                  <a:ext cx="511008" cy="36521"/>
                </a:xfrm>
                <a:prstGeom prst="rect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8" name="Forme libre : forme 227">
                  <a:extLst>
                    <a:ext uri="{FF2B5EF4-FFF2-40B4-BE49-F238E27FC236}">
                      <a16:creationId xmlns:a16="http://schemas.microsoft.com/office/drawing/2014/main" id="{00000000-0008-0000-0400-0000E4000000}"/>
                    </a:ext>
                  </a:extLst>
                </xdr:cNvPr>
                <xdr:cNvSpPr/>
              </xdr:nvSpPr>
              <xdr:spPr>
                <a:xfrm rot="5400000">
                  <a:off x="8100475" y="27158688"/>
                  <a:ext cx="36000" cy="265622"/>
                </a:xfrm>
                <a:custGeom>
                  <a:avLst/>
                  <a:gdLst>
                    <a:gd name="connsiteX0" fmla="*/ 0 w 66261"/>
                    <a:gd name="connsiteY0" fmla="*/ 0 h 579782"/>
                    <a:gd name="connsiteX1" fmla="*/ 0 w 66261"/>
                    <a:gd name="connsiteY1" fmla="*/ 579782 h 579782"/>
                    <a:gd name="connsiteX2" fmla="*/ 66261 w 66261"/>
                    <a:gd name="connsiteY2" fmla="*/ 331304 h 579782"/>
                    <a:gd name="connsiteX3" fmla="*/ 0 w 66261"/>
                    <a:gd name="connsiteY3" fmla="*/ 339587 h 579782"/>
                    <a:gd name="connsiteX4" fmla="*/ 0 w 66261"/>
                    <a:gd name="connsiteY4" fmla="*/ 339587 h 579782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66261" h="579782">
                      <a:moveTo>
                        <a:pt x="0" y="0"/>
                      </a:moveTo>
                      <a:lnTo>
                        <a:pt x="0" y="579782"/>
                      </a:lnTo>
                      <a:lnTo>
                        <a:pt x="66261" y="331304"/>
                      </a:lnTo>
                      <a:lnTo>
                        <a:pt x="0" y="339587"/>
                      </a:lnTo>
                      <a:lnTo>
                        <a:pt x="0" y="339587"/>
                      </a:lnTo>
                    </a:path>
                  </a:pathLst>
                </a:custGeom>
                <a:solidFill>
                  <a:srgbClr val="0070C0"/>
                </a:solidFill>
                <a:ln w="25400">
                  <a:solidFill>
                    <a:srgbClr val="0070C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29" name="Arc 228">
                  <a:extLst>
                    <a:ext uri="{FF2B5EF4-FFF2-40B4-BE49-F238E27FC236}">
                      <a16:creationId xmlns:a16="http://schemas.microsoft.com/office/drawing/2014/main" id="{00000000-0008-0000-0400-0000E50000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8126806" y="26626958"/>
                  <a:ext cx="360000" cy="360000"/>
                </a:xfrm>
                <a:prstGeom prst="arc">
                  <a:avLst>
                    <a:gd name="adj1" fmla="val 18157366"/>
                    <a:gd name="adj2" fmla="val 23592"/>
                  </a:avLst>
                </a:prstGeom>
                <a:ln w="6350">
                  <a:solidFill>
                    <a:srgbClr val="C00000"/>
                  </a:solidFill>
                  <a:headEnd type="triangle" w="sm" len="med"/>
                  <a:tailEnd type="triangl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34" name="ZoneTexte 233">
                  <a:extLst>
                    <a:ext uri="{FF2B5EF4-FFF2-40B4-BE49-F238E27FC236}">
                      <a16:creationId xmlns:a16="http://schemas.microsoft.com/office/drawing/2014/main" id="{00000000-0008-0000-0400-0000EA000000}"/>
                    </a:ext>
                  </a:extLst>
                </xdr:cNvPr>
                <xdr:cNvSpPr txBox="1"/>
              </xdr:nvSpPr>
              <xdr:spPr>
                <a:xfrm>
                  <a:off x="7719704" y="27167975"/>
                  <a:ext cx="368994" cy="256439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1" baseline="0"/>
                    <a:t>V</a:t>
                  </a:r>
                  <a:r>
                    <a:rPr lang="fr-FR" sz="900" b="1" baseline="-25000"/>
                    <a:t>H,Ed</a:t>
                  </a:r>
                </a:p>
              </xdr:txBody>
            </xdr:sp>
          </xdr:grpSp>
          <xdr:sp macro="" textlink="">
            <xdr:nvSpPr>
              <xdr:cNvPr id="272" name="Forme libre : forme 271">
                <a:extLst>
                  <a:ext uri="{FF2B5EF4-FFF2-40B4-BE49-F238E27FC236}">
                    <a16:creationId xmlns:a16="http://schemas.microsoft.com/office/drawing/2014/main" id="{00000000-0008-0000-0400-000010010000}"/>
                  </a:ext>
                </a:extLst>
              </xdr:cNvPr>
              <xdr:cNvSpPr/>
            </xdr:nvSpPr>
            <xdr:spPr>
              <a:xfrm rot="10800000" flipV="1">
                <a:off x="8313008" y="83528738"/>
                <a:ext cx="36000" cy="262800"/>
              </a:xfrm>
              <a:custGeom>
                <a:avLst/>
                <a:gdLst>
                  <a:gd name="connsiteX0" fmla="*/ 0 w 66261"/>
                  <a:gd name="connsiteY0" fmla="*/ 0 h 579782"/>
                  <a:gd name="connsiteX1" fmla="*/ 0 w 66261"/>
                  <a:gd name="connsiteY1" fmla="*/ 579782 h 579782"/>
                  <a:gd name="connsiteX2" fmla="*/ 66261 w 66261"/>
                  <a:gd name="connsiteY2" fmla="*/ 331304 h 579782"/>
                  <a:gd name="connsiteX3" fmla="*/ 0 w 66261"/>
                  <a:gd name="connsiteY3" fmla="*/ 339587 h 579782"/>
                  <a:gd name="connsiteX4" fmla="*/ 0 w 66261"/>
                  <a:gd name="connsiteY4" fmla="*/ 339587 h 579782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</a:cxnLst>
                <a:rect l="l" t="t" r="r" b="b"/>
                <a:pathLst>
                  <a:path w="66261" h="579782">
                    <a:moveTo>
                      <a:pt x="0" y="0"/>
                    </a:moveTo>
                    <a:lnTo>
                      <a:pt x="0" y="579782"/>
                    </a:lnTo>
                    <a:lnTo>
                      <a:pt x="66261" y="331304"/>
                    </a:lnTo>
                    <a:lnTo>
                      <a:pt x="0" y="339587"/>
                    </a:lnTo>
                    <a:lnTo>
                      <a:pt x="0" y="339587"/>
                    </a:lnTo>
                  </a:path>
                </a:pathLst>
              </a:custGeom>
              <a:solidFill>
                <a:srgbClr val="0070C0"/>
              </a:solidFill>
              <a:ln w="25400">
                <a:solidFill>
                  <a:srgbClr val="0070C0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  <xdr:sp macro="" textlink="">
            <xdr:nvSpPr>
              <xdr:cNvPr id="273" name="ZoneTexte 272">
                <a:extLst>
                  <a:ext uri="{FF2B5EF4-FFF2-40B4-BE49-F238E27FC236}">
                    <a16:creationId xmlns:a16="http://schemas.microsoft.com/office/drawing/2014/main" id="{00000000-0008-0000-0400-000011010000}"/>
                  </a:ext>
                </a:extLst>
              </xdr:cNvPr>
              <xdr:cNvSpPr txBox="1"/>
            </xdr:nvSpPr>
            <xdr:spPr>
              <a:xfrm>
                <a:off x="8087092" y="83733193"/>
                <a:ext cx="366594" cy="258456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="1" baseline="0"/>
                  <a:t>V</a:t>
                </a:r>
                <a:r>
                  <a:rPr lang="fr-FR" sz="900" b="1" baseline="-25000"/>
                  <a:t>V,Ed</a:t>
                </a:r>
              </a:p>
            </xdr:txBody>
          </xdr:sp>
          <xdr:sp macro="" textlink="">
            <xdr:nvSpPr>
              <xdr:cNvPr id="289" name="Forme libre : forme 288">
                <a:extLst>
                  <a:ext uri="{FF2B5EF4-FFF2-40B4-BE49-F238E27FC236}">
                    <a16:creationId xmlns:a16="http://schemas.microsoft.com/office/drawing/2014/main" id="{00000000-0008-0000-0400-000021010000}"/>
                  </a:ext>
                </a:extLst>
              </xdr:cNvPr>
              <xdr:cNvSpPr/>
            </xdr:nvSpPr>
            <xdr:spPr>
              <a:xfrm>
                <a:off x="8406320" y="83451160"/>
                <a:ext cx="514754" cy="510701"/>
              </a:xfrm>
              <a:custGeom>
                <a:avLst/>
                <a:gdLst>
                  <a:gd name="connsiteX0" fmla="*/ 0 w 478277"/>
                  <a:gd name="connsiteY0" fmla="*/ 567447 h 567447"/>
                  <a:gd name="connsiteX1" fmla="*/ 0 w 478277"/>
                  <a:gd name="connsiteY1" fmla="*/ 0 h 567447"/>
                  <a:gd name="connsiteX2" fmla="*/ 356681 w 478277"/>
                  <a:gd name="connsiteY2" fmla="*/ 0 h 567447"/>
                  <a:gd name="connsiteX3" fmla="*/ 478277 w 478277"/>
                  <a:gd name="connsiteY3" fmla="*/ 121596 h 567447"/>
                  <a:gd name="connsiteX4" fmla="*/ 474223 w 478277"/>
                  <a:gd name="connsiteY4" fmla="*/ 567447 h 567447"/>
                  <a:gd name="connsiteX5" fmla="*/ 0 w 478277"/>
                  <a:gd name="connsiteY5" fmla="*/ 567447 h 567447"/>
                </a:gdLst>
                <a:ahLst/>
                <a:cxnLst>
                  <a:cxn ang="0">
                    <a:pos x="connsiteX0" y="connsiteY0"/>
                  </a:cxn>
                  <a:cxn ang="0">
                    <a:pos x="connsiteX1" y="connsiteY1"/>
                  </a:cxn>
                  <a:cxn ang="0">
                    <a:pos x="connsiteX2" y="connsiteY2"/>
                  </a:cxn>
                  <a:cxn ang="0">
                    <a:pos x="connsiteX3" y="connsiteY3"/>
                  </a:cxn>
                  <a:cxn ang="0">
                    <a:pos x="connsiteX4" y="connsiteY4"/>
                  </a:cxn>
                  <a:cxn ang="0">
                    <a:pos x="connsiteX5" y="connsiteY5"/>
                  </a:cxn>
                </a:cxnLst>
                <a:rect l="l" t="t" r="r" b="b"/>
                <a:pathLst>
                  <a:path w="478277" h="567447">
                    <a:moveTo>
                      <a:pt x="0" y="567447"/>
                    </a:moveTo>
                    <a:lnTo>
                      <a:pt x="0" y="0"/>
                    </a:lnTo>
                    <a:lnTo>
                      <a:pt x="356681" y="0"/>
                    </a:lnTo>
                    <a:lnTo>
                      <a:pt x="478277" y="121596"/>
                    </a:lnTo>
                    <a:cubicBezTo>
                      <a:pt x="476926" y="270213"/>
                      <a:pt x="475574" y="418830"/>
                      <a:pt x="474223" y="567447"/>
                    </a:cubicBezTo>
                    <a:lnTo>
                      <a:pt x="0" y="567447"/>
                    </a:lnTo>
                    <a:close/>
                  </a:path>
                </a:pathLst>
              </a:custGeom>
              <a:noFill/>
              <a:ln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fr-FR" sz="1100"/>
              </a:p>
            </xdr:txBody>
          </xdr:sp>
        </xdr:grpSp>
        <xdr:cxnSp macro="">
          <xdr:nvCxnSpPr>
            <xdr:cNvPr id="295" name="Connecteur droit avec flèche 294">
              <a:extLst>
                <a:ext uri="{FF2B5EF4-FFF2-40B4-BE49-F238E27FC236}">
                  <a16:creationId xmlns:a16="http://schemas.microsoft.com/office/drawing/2014/main" id="{00000000-0008-0000-0400-000027010000}"/>
                </a:ext>
              </a:extLst>
            </xdr:cNvPr>
            <xdr:cNvCxnSpPr/>
          </xdr:nvCxnSpPr>
          <xdr:spPr>
            <a:xfrm>
              <a:off x="7685826" y="83401520"/>
              <a:ext cx="0" cy="51480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96" name="ZoneTexte 295">
              <a:extLst>
                <a:ext uri="{FF2B5EF4-FFF2-40B4-BE49-F238E27FC236}">
                  <a16:creationId xmlns:a16="http://schemas.microsoft.com/office/drawing/2014/main" id="{00000000-0008-0000-0400-000028010000}"/>
                </a:ext>
              </a:extLst>
            </xdr:cNvPr>
            <xdr:cNvSpPr txBox="1"/>
          </xdr:nvSpPr>
          <xdr:spPr>
            <a:xfrm>
              <a:off x="7612869" y="83442063"/>
              <a:ext cx="250657" cy="21359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/>
                <a:t>L</a:t>
              </a:r>
              <a:r>
                <a:rPr lang="fr-FR" sz="900" baseline="-25000"/>
                <a:t>V</a:t>
              </a:r>
            </a:p>
          </xdr:txBody>
        </xdr:sp>
      </xdr:grpSp>
      <xdr:sp macro="" textlink="">
        <xdr:nvSpPr>
          <xdr:cNvPr id="298" name="ZoneTexte 297">
            <a:extLst>
              <a:ext uri="{FF2B5EF4-FFF2-40B4-BE49-F238E27FC236}">
                <a16:creationId xmlns:a16="http://schemas.microsoft.com/office/drawing/2014/main" id="{00000000-0008-0000-0400-00002A010000}"/>
              </a:ext>
            </a:extLst>
          </xdr:cNvPr>
          <xdr:cNvSpPr txBox="1"/>
        </xdr:nvSpPr>
        <xdr:spPr>
          <a:xfrm>
            <a:off x="8724051" y="83921961"/>
            <a:ext cx="366936" cy="25999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el-GR" sz="900" b="0" baseline="0"/>
              <a:t>α</a:t>
            </a:r>
            <a:endParaRPr lang="fr-FR" sz="900" b="0" baseline="-25000"/>
          </a:p>
        </xdr:txBody>
      </xdr:sp>
    </xdr:grpSp>
    <xdr:clientData/>
  </xdr:twoCellAnchor>
  <xdr:twoCellAnchor>
    <xdr:from>
      <xdr:col>6</xdr:col>
      <xdr:colOff>693043</xdr:colOff>
      <xdr:row>406</xdr:row>
      <xdr:rowOff>6696</xdr:rowOff>
    </xdr:from>
    <xdr:to>
      <xdr:col>9</xdr:col>
      <xdr:colOff>31699</xdr:colOff>
      <xdr:row>408</xdr:row>
      <xdr:rowOff>214458</xdr:rowOff>
    </xdr:to>
    <xdr:grpSp>
      <xdr:nvGrpSpPr>
        <xdr:cNvPr id="373" name="Groupe 372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GrpSpPr/>
      </xdr:nvGrpSpPr>
      <xdr:grpSpPr>
        <a:xfrm>
          <a:off x="4445893" y="87589071"/>
          <a:ext cx="1481781" cy="664962"/>
          <a:chOff x="4139188" y="88827321"/>
          <a:chExt cx="1483686" cy="664962"/>
        </a:xfrm>
      </xdr:grpSpPr>
      <xdr:grpSp>
        <xdr:nvGrpSpPr>
          <xdr:cNvPr id="317" name="Groupe 316">
            <a:extLst>
              <a:ext uri="{FF2B5EF4-FFF2-40B4-BE49-F238E27FC236}">
                <a16:creationId xmlns:a16="http://schemas.microsoft.com/office/drawing/2014/main" id="{00000000-0008-0000-0400-00003D010000}"/>
              </a:ext>
            </a:extLst>
          </xdr:cNvPr>
          <xdr:cNvGrpSpPr/>
        </xdr:nvGrpSpPr>
        <xdr:grpSpPr>
          <a:xfrm>
            <a:off x="4434449" y="88827321"/>
            <a:ext cx="1188425" cy="664962"/>
            <a:chOff x="7712972" y="88112946"/>
            <a:chExt cx="1186505" cy="617337"/>
          </a:xfrm>
        </xdr:grpSpPr>
        <xdr:grpSp>
          <xdr:nvGrpSpPr>
            <xdr:cNvPr id="311" name="Groupe 310">
              <a:extLst>
                <a:ext uri="{FF2B5EF4-FFF2-40B4-BE49-F238E27FC236}">
                  <a16:creationId xmlns:a16="http://schemas.microsoft.com/office/drawing/2014/main" id="{00000000-0008-0000-0400-000037010000}"/>
                </a:ext>
              </a:extLst>
            </xdr:cNvPr>
            <xdr:cNvGrpSpPr/>
          </xdr:nvGrpSpPr>
          <xdr:grpSpPr>
            <a:xfrm>
              <a:off x="7712972" y="88112946"/>
              <a:ext cx="1186505" cy="617337"/>
              <a:chOff x="7711611" y="87957825"/>
              <a:chExt cx="1186505" cy="616656"/>
            </a:xfrm>
          </xdr:grpSpPr>
          <xdr:grpSp>
            <xdr:nvGrpSpPr>
              <xdr:cNvPr id="310" name="Groupe 309">
                <a:extLst>
                  <a:ext uri="{FF2B5EF4-FFF2-40B4-BE49-F238E27FC236}">
                    <a16:creationId xmlns:a16="http://schemas.microsoft.com/office/drawing/2014/main" id="{00000000-0008-0000-0400-000036010000}"/>
                  </a:ext>
                </a:extLst>
              </xdr:cNvPr>
              <xdr:cNvGrpSpPr/>
            </xdr:nvGrpSpPr>
            <xdr:grpSpPr>
              <a:xfrm>
                <a:off x="8165091" y="88245665"/>
                <a:ext cx="65942" cy="186389"/>
                <a:chOff x="8165091" y="88245665"/>
                <a:chExt cx="65942" cy="186389"/>
              </a:xfrm>
            </xdr:grpSpPr>
            <xdr:sp macro="" textlink="">
              <xdr:nvSpPr>
                <xdr:cNvPr id="290" name="Triangle rectangle 289">
                  <a:extLst>
                    <a:ext uri="{FF2B5EF4-FFF2-40B4-BE49-F238E27FC236}">
                      <a16:creationId xmlns:a16="http://schemas.microsoft.com/office/drawing/2014/main" id="{00000000-0008-0000-0400-000022010000}"/>
                    </a:ext>
                  </a:extLst>
                </xdr:cNvPr>
                <xdr:cNvSpPr/>
              </xdr:nvSpPr>
              <xdr:spPr>
                <a:xfrm>
                  <a:off x="8166434" y="88245665"/>
                  <a:ext cx="64599" cy="64851"/>
                </a:xfrm>
                <a:prstGeom prst="rtTriangle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291" name="Triangle rectangle 290">
                  <a:extLst>
                    <a:ext uri="{FF2B5EF4-FFF2-40B4-BE49-F238E27FC236}">
                      <a16:creationId xmlns:a16="http://schemas.microsoft.com/office/drawing/2014/main" id="{00000000-0008-0000-0400-000023010000}"/>
                    </a:ext>
                  </a:extLst>
                </xdr:cNvPr>
                <xdr:cNvSpPr/>
              </xdr:nvSpPr>
              <xdr:spPr>
                <a:xfrm rot="5400000">
                  <a:off x="8165217" y="88367329"/>
                  <a:ext cx="64599" cy="64851"/>
                </a:xfrm>
                <a:prstGeom prst="rtTriangle">
                  <a:avLst/>
                </a:prstGeom>
                <a:solidFill>
                  <a:schemeClr val="tx1"/>
                </a:solidFill>
                <a:ln>
                  <a:noFill/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  <xdr:grpSp>
            <xdr:nvGrpSpPr>
              <xdr:cNvPr id="304" name="Groupe 303">
                <a:extLst>
                  <a:ext uri="{FF2B5EF4-FFF2-40B4-BE49-F238E27FC236}">
                    <a16:creationId xmlns:a16="http://schemas.microsoft.com/office/drawing/2014/main" id="{00000000-0008-0000-0400-000030010000}"/>
                  </a:ext>
                </a:extLst>
              </xdr:cNvPr>
              <xdr:cNvGrpSpPr/>
            </xdr:nvGrpSpPr>
            <xdr:grpSpPr>
              <a:xfrm>
                <a:off x="7711611" y="87957825"/>
                <a:ext cx="1186505" cy="616656"/>
                <a:chOff x="8068798" y="88270789"/>
                <a:chExt cx="1186505" cy="616656"/>
              </a:xfrm>
            </xdr:grpSpPr>
            <xdr:grpSp>
              <xdr:nvGrpSpPr>
                <xdr:cNvPr id="94" name="Groupe 93">
                  <a:extLst>
                    <a:ext uri="{FF2B5EF4-FFF2-40B4-BE49-F238E27FC236}">
                      <a16:creationId xmlns:a16="http://schemas.microsoft.com/office/drawing/2014/main" id="{00000000-0008-0000-0400-00005E000000}"/>
                    </a:ext>
                  </a:extLst>
                </xdr:cNvPr>
                <xdr:cNvGrpSpPr/>
              </xdr:nvGrpSpPr>
              <xdr:grpSpPr>
                <a:xfrm>
                  <a:off x="8068798" y="88410625"/>
                  <a:ext cx="1186505" cy="449156"/>
                  <a:chOff x="7545381" y="26819458"/>
                  <a:chExt cx="1196119" cy="420743"/>
                </a:xfrm>
              </xdr:grpSpPr>
              <xdr:sp macro="" textlink="">
                <xdr:nvSpPr>
                  <xdr:cNvPr id="95" name="Rectangle 94">
                    <a:extLst>
                      <a:ext uri="{FF2B5EF4-FFF2-40B4-BE49-F238E27FC236}">
                        <a16:creationId xmlns:a16="http://schemas.microsoft.com/office/drawing/2014/main" id="{00000000-0008-0000-0400-00005F000000}"/>
                      </a:ext>
                    </a:extLst>
                  </xdr:cNvPr>
                  <xdr:cNvSpPr/>
                </xdr:nvSpPr>
                <xdr:spPr>
                  <a:xfrm>
                    <a:off x="7545381" y="26883275"/>
                    <a:ext cx="403464" cy="326040"/>
                  </a:xfrm>
                  <a:prstGeom prst="rect">
                    <a:avLst/>
                  </a:prstGeom>
                  <a:solidFill>
                    <a:schemeClr val="bg1">
                      <a:alpha val="50000"/>
                    </a:schemeClr>
                  </a:solidFill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96" name="Rectangle 95">
                    <a:extLst>
                      <a:ext uri="{FF2B5EF4-FFF2-40B4-BE49-F238E27FC236}">
                        <a16:creationId xmlns:a16="http://schemas.microsoft.com/office/drawing/2014/main" id="{00000000-0008-0000-0400-000060000000}"/>
                      </a:ext>
                    </a:extLst>
                  </xdr:cNvPr>
                  <xdr:cNvSpPr/>
                </xdr:nvSpPr>
                <xdr:spPr>
                  <a:xfrm>
                    <a:off x="8004531" y="27021002"/>
                    <a:ext cx="361376" cy="50584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cxnSp macro="">
                <xdr:nvCxnSpPr>
                  <xdr:cNvPr id="215" name="Connecteur droit avec flèche 214">
                    <a:extLst>
                      <a:ext uri="{FF2B5EF4-FFF2-40B4-BE49-F238E27FC236}">
                        <a16:creationId xmlns:a16="http://schemas.microsoft.com/office/drawing/2014/main" id="{00000000-0008-0000-0400-0000D7000000}"/>
                      </a:ext>
                    </a:extLst>
                  </xdr:cNvPr>
                  <xdr:cNvCxnSpPr/>
                </xdr:nvCxnSpPr>
                <xdr:spPr>
                  <a:xfrm>
                    <a:off x="8402835" y="27046294"/>
                    <a:ext cx="253009" cy="0"/>
                  </a:xfrm>
                  <a:prstGeom prst="straightConnector1">
                    <a:avLst/>
                  </a:prstGeom>
                  <a:ln w="25400">
                    <a:solidFill>
                      <a:srgbClr val="0070C0"/>
                    </a:solidFill>
                    <a:headEnd type="none" w="med" len="lg"/>
                    <a:tailEnd type="triangle" w="med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25" name="ZoneTexte 224">
                    <a:extLst>
                      <a:ext uri="{FF2B5EF4-FFF2-40B4-BE49-F238E27FC236}">
                        <a16:creationId xmlns:a16="http://schemas.microsoft.com/office/drawing/2014/main" id="{00000000-0008-0000-0400-0000E1000000}"/>
                      </a:ext>
                    </a:extLst>
                  </xdr:cNvPr>
                  <xdr:cNvSpPr txBox="1"/>
                </xdr:nvSpPr>
                <xdr:spPr>
                  <a:xfrm>
                    <a:off x="8465371" y="26819458"/>
                    <a:ext cx="276129" cy="256439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="1" baseline="0"/>
                      <a:t>F</a:t>
                    </a:r>
                    <a:r>
                      <a:rPr lang="fr-FR" sz="900" b="1" baseline="-25000"/>
                      <a:t>Ed</a:t>
                    </a:r>
                  </a:p>
                </xdr:txBody>
              </xdr:sp>
              <xdr:cxnSp macro="">
                <xdr:nvCxnSpPr>
                  <xdr:cNvPr id="231" name="Connecteur droit avec flèche 230">
                    <a:extLst>
                      <a:ext uri="{FF2B5EF4-FFF2-40B4-BE49-F238E27FC236}">
                        <a16:creationId xmlns:a16="http://schemas.microsoft.com/office/drawing/2014/main" id="{00000000-0008-0000-0400-0000E7000000}"/>
                      </a:ext>
                    </a:extLst>
                  </xdr:cNvPr>
                  <xdr:cNvCxnSpPr/>
                </xdr:nvCxnSpPr>
                <xdr:spPr>
                  <a:xfrm>
                    <a:off x="7834122" y="26928265"/>
                    <a:ext cx="0" cy="236059"/>
                  </a:xfrm>
                  <a:prstGeom prst="straightConnector1">
                    <a:avLst/>
                  </a:prstGeom>
                  <a:ln>
                    <a:solidFill>
                      <a:srgbClr val="C00000"/>
                    </a:solidFill>
                    <a:headEnd type="triangle" w="sm" len="med"/>
                    <a:tailEnd type="triangle" w="sm" len="med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sp macro="" textlink="">
                <xdr:nvSpPr>
                  <xdr:cNvPr id="235" name="ZoneTexte 234">
                    <a:extLst>
                      <a:ext uri="{FF2B5EF4-FFF2-40B4-BE49-F238E27FC236}">
                        <a16:creationId xmlns:a16="http://schemas.microsoft.com/office/drawing/2014/main" id="{00000000-0008-0000-0400-0000EB000000}"/>
                      </a:ext>
                    </a:extLst>
                  </xdr:cNvPr>
                  <xdr:cNvSpPr txBox="1"/>
                </xdr:nvSpPr>
                <xdr:spPr>
                  <a:xfrm>
                    <a:off x="7560436" y="26913347"/>
                    <a:ext cx="252298" cy="211923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overflow" horzOverflow="overflow" wrap="none" rtlCol="0" anchor="b"/>
                  <a:lstStyle/>
                  <a:p>
                    <a:pPr algn="l"/>
                    <a:r>
                      <a:rPr lang="fr-FR" sz="900" baseline="0"/>
                      <a:t>b</a:t>
                    </a:r>
                    <a:r>
                      <a:rPr lang="fr-FR" sz="900" baseline="-25000"/>
                      <a:t>eff</a:t>
                    </a:r>
                  </a:p>
                </xdr:txBody>
              </xdr:sp>
              <xdr:sp macro="" textlink="">
                <xdr:nvSpPr>
                  <xdr:cNvPr id="236" name="Rectangle 235">
                    <a:extLst>
                      <a:ext uri="{FF2B5EF4-FFF2-40B4-BE49-F238E27FC236}">
                        <a16:creationId xmlns:a16="http://schemas.microsoft.com/office/drawing/2014/main" id="{00000000-0008-0000-0400-0000EC000000}"/>
                      </a:ext>
                    </a:extLst>
                  </xdr:cNvPr>
                  <xdr:cNvSpPr/>
                </xdr:nvSpPr>
                <xdr:spPr>
                  <a:xfrm>
                    <a:off x="7955425" y="26852389"/>
                    <a:ext cx="43365" cy="387812"/>
                  </a:xfrm>
                  <a:prstGeom prst="rect">
                    <a:avLst/>
                  </a:prstGeom>
                  <a:noFill/>
                  <a:ln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  <xdr:sp macro="" textlink="">
                <xdr:nvSpPr>
                  <xdr:cNvPr id="238" name="Rectangle 237">
                    <a:extLst>
                      <a:ext uri="{FF2B5EF4-FFF2-40B4-BE49-F238E27FC236}">
                        <a16:creationId xmlns:a16="http://schemas.microsoft.com/office/drawing/2014/main" id="{00000000-0008-0000-0400-0000EE000000}"/>
                      </a:ext>
                    </a:extLst>
                  </xdr:cNvPr>
                  <xdr:cNvSpPr/>
                </xdr:nvSpPr>
                <xdr:spPr>
                  <a:xfrm rot="16200000">
                    <a:off x="7826887" y="27027006"/>
                    <a:ext cx="236059" cy="38578"/>
                  </a:xfrm>
                  <a:prstGeom prst="rect">
                    <a:avLst/>
                  </a:prstGeom>
                  <a:solidFill>
                    <a:schemeClr val="tx1"/>
                  </a:solidFill>
                  <a:ln>
                    <a:noFill/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vertOverflow="clip" horzOverflow="clip" rtlCol="0" anchor="t"/>
                  <a:lstStyle/>
                  <a:p>
                    <a:pPr algn="l"/>
                    <a:endParaRPr lang="fr-FR" sz="1100"/>
                  </a:p>
                </xdr:txBody>
              </xdr:sp>
            </xdr:grpSp>
            <xdr:cxnSp macro="">
              <xdr:nvCxnSpPr>
                <xdr:cNvPr id="265" name="Connecteur droit avec flèche 264">
                  <a:extLst>
                    <a:ext uri="{FF2B5EF4-FFF2-40B4-BE49-F238E27FC236}">
                      <a16:creationId xmlns:a16="http://schemas.microsoft.com/office/drawing/2014/main" id="{00000000-0008-0000-0400-000009010000}"/>
                    </a:ext>
                  </a:extLst>
                </xdr:cNvPr>
                <xdr:cNvCxnSpPr/>
              </xdr:nvCxnSpPr>
              <xdr:spPr>
                <a:xfrm>
                  <a:off x="8421747" y="88511421"/>
                  <a:ext cx="252000" cy="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cxnSp macro="">
              <xdr:nvCxnSpPr>
                <xdr:cNvPr id="266" name="Connecteur droit avec flèche 265">
                  <a:extLst>
                    <a:ext uri="{FF2B5EF4-FFF2-40B4-BE49-F238E27FC236}">
                      <a16:creationId xmlns:a16="http://schemas.microsoft.com/office/drawing/2014/main" id="{00000000-0008-0000-0400-00000A010000}"/>
                    </a:ext>
                  </a:extLst>
                </xdr:cNvPr>
                <xdr:cNvCxnSpPr/>
              </xdr:nvCxnSpPr>
              <xdr:spPr>
                <a:xfrm>
                  <a:off x="8777682" y="88586618"/>
                  <a:ext cx="0" cy="252000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  <xdr:sp macro="" textlink="">
              <xdr:nvSpPr>
                <xdr:cNvPr id="279" name="ZoneTexte 278">
                  <a:extLst>
                    <a:ext uri="{FF2B5EF4-FFF2-40B4-BE49-F238E27FC236}">
                      <a16:creationId xmlns:a16="http://schemas.microsoft.com/office/drawing/2014/main" id="{00000000-0008-0000-0400-000017010000}"/>
                    </a:ext>
                  </a:extLst>
                </xdr:cNvPr>
                <xdr:cNvSpPr txBox="1"/>
              </xdr:nvSpPr>
              <xdr:spPr>
                <a:xfrm>
                  <a:off x="8466866" y="88270789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t</a:t>
                  </a:r>
                  <a:r>
                    <a:rPr lang="fr-FR" sz="900" b="0" baseline="-25000"/>
                    <a:t>f</a:t>
                  </a:r>
                </a:p>
              </xdr:txBody>
            </xdr:sp>
            <xdr:sp macro="" textlink="">
              <xdr:nvSpPr>
                <xdr:cNvPr id="288" name="ZoneTexte 287">
                  <a:extLst>
                    <a:ext uri="{FF2B5EF4-FFF2-40B4-BE49-F238E27FC236}">
                      <a16:creationId xmlns:a16="http://schemas.microsoft.com/office/drawing/2014/main" id="{00000000-0008-0000-0400-000020010000}"/>
                    </a:ext>
                  </a:extLst>
                </xdr:cNvPr>
                <xdr:cNvSpPr txBox="1"/>
              </xdr:nvSpPr>
              <xdr:spPr>
                <a:xfrm>
                  <a:off x="8699477" y="88613689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t</a:t>
                  </a:r>
                  <a:r>
                    <a:rPr lang="fr-FR" sz="900" b="0" baseline="-25000"/>
                    <a:t>w</a:t>
                  </a:r>
                </a:p>
              </xdr:txBody>
            </xdr:sp>
            <xdr:sp macro="" textlink="">
              <xdr:nvSpPr>
                <xdr:cNvPr id="292" name="ZoneTexte 291">
                  <a:extLst>
                    <a:ext uri="{FF2B5EF4-FFF2-40B4-BE49-F238E27FC236}">
                      <a16:creationId xmlns:a16="http://schemas.microsoft.com/office/drawing/2014/main" id="{00000000-0008-0000-0400-000024010000}"/>
                    </a:ext>
                  </a:extLst>
                </xdr:cNvPr>
                <xdr:cNvSpPr txBox="1"/>
              </xdr:nvSpPr>
              <xdr:spPr>
                <a:xfrm>
                  <a:off x="8522190" y="88584290"/>
                  <a:ext cx="275077" cy="273756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overflow" horzOverflow="overflow" wrap="none" rtlCol="0" anchor="b"/>
                <a:lstStyle/>
                <a:p>
                  <a:pPr algn="l"/>
                  <a:r>
                    <a:rPr lang="fr-FR" sz="900" b="0" baseline="0"/>
                    <a:t>a</a:t>
                  </a:r>
                  <a:endParaRPr lang="fr-FR" sz="900" b="0" baseline="-25000"/>
                </a:p>
              </xdr:txBody>
            </xdr:sp>
            <xdr:cxnSp macro="">
              <xdr:nvCxnSpPr>
                <xdr:cNvPr id="294" name="Connecteur droit avec flèche 293">
                  <a:extLst>
                    <a:ext uri="{FF2B5EF4-FFF2-40B4-BE49-F238E27FC236}">
                      <a16:creationId xmlns:a16="http://schemas.microsoft.com/office/drawing/2014/main" id="{00000000-0008-0000-0400-000026010000}"/>
                    </a:ext>
                  </a:extLst>
                </xdr:cNvPr>
                <xdr:cNvCxnSpPr/>
              </xdr:nvCxnSpPr>
              <xdr:spPr>
                <a:xfrm>
                  <a:off x="8542457" y="88702136"/>
                  <a:ext cx="60336" cy="48125"/>
                </a:xfrm>
                <a:prstGeom prst="straightConnector1">
                  <a:avLst/>
                </a:prstGeom>
                <a:ln>
                  <a:solidFill>
                    <a:srgbClr val="C00000"/>
                  </a:solidFill>
                  <a:headEnd type="none" w="sm" len="med"/>
                  <a:tailEnd type="none" w="sm" len="med"/>
                </a:ln>
              </xdr:spPr>
              <xdr:style>
                <a:lnRef idx="1">
                  <a:schemeClr val="accent1"/>
                </a:lnRef>
                <a:fillRef idx="0">
                  <a:schemeClr val="accent1"/>
                </a:fillRef>
                <a:effectRef idx="0">
                  <a:schemeClr val="accent1"/>
                </a:effectRef>
                <a:fontRef idx="minor">
                  <a:schemeClr val="tx1"/>
                </a:fontRef>
              </xdr:style>
            </xdr:cxnSp>
          </xdr:grpSp>
        </xdr:grpSp>
        <xdr:cxnSp macro="">
          <xdr:nvCxnSpPr>
            <xdr:cNvPr id="314" name="Connecteur droit avec flèche 313">
              <a:extLst>
                <a:ext uri="{FF2B5EF4-FFF2-40B4-BE49-F238E27FC236}">
                  <a16:creationId xmlns:a16="http://schemas.microsoft.com/office/drawing/2014/main" id="{00000000-0008-0000-0400-00003A010000}"/>
                </a:ext>
              </a:extLst>
            </xdr:cNvPr>
            <xdr:cNvCxnSpPr/>
          </xdr:nvCxnSpPr>
          <xdr:spPr>
            <a:xfrm flipV="1">
              <a:off x="8110846" y="88587456"/>
              <a:ext cx="126000" cy="212"/>
            </a:xfrm>
            <a:prstGeom prst="straightConnector1">
              <a:avLst/>
            </a:prstGeom>
            <a:ln>
              <a:solidFill>
                <a:srgbClr val="C00000"/>
              </a:solidFill>
              <a:headEnd type="none" w="sm" len="med"/>
              <a:tailEnd type="non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367" name="Connecteur droit avec flèche 366">
            <a:extLst>
              <a:ext uri="{FF2B5EF4-FFF2-40B4-BE49-F238E27FC236}">
                <a16:creationId xmlns:a16="http://schemas.microsoft.com/office/drawing/2014/main" id="{00000000-0008-0000-0400-00006F010000}"/>
              </a:ext>
            </a:extLst>
          </xdr:cNvPr>
          <xdr:cNvCxnSpPr/>
        </xdr:nvCxnSpPr>
        <xdr:spPr>
          <a:xfrm>
            <a:off x="4357773" y="89061663"/>
            <a:ext cx="0" cy="360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med"/>
            <a:tailEnd type="triangl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71" name="ZoneTexte 370">
            <a:extLst>
              <a:ext uri="{FF2B5EF4-FFF2-40B4-BE49-F238E27FC236}">
                <a16:creationId xmlns:a16="http://schemas.microsoft.com/office/drawing/2014/main" id="{00000000-0008-0000-0400-000073010000}"/>
              </a:ext>
            </a:extLst>
          </xdr:cNvPr>
          <xdr:cNvSpPr txBox="1"/>
        </xdr:nvSpPr>
        <xdr:spPr>
          <a:xfrm>
            <a:off x="4139188" y="89071161"/>
            <a:ext cx="250675" cy="24395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900" baseline="0"/>
              <a:t>b</a:t>
            </a:r>
            <a:r>
              <a:rPr lang="fr-FR" sz="900" baseline="-25000"/>
              <a:t>p</a:t>
            </a:r>
          </a:p>
        </xdr:txBody>
      </xdr:sp>
    </xdr:grpSp>
    <xdr:clientData/>
  </xdr:twoCellAnchor>
  <xdr:twoCellAnchor>
    <xdr:from>
      <xdr:col>7</xdr:col>
      <xdr:colOff>314693</xdr:colOff>
      <xdr:row>393</xdr:row>
      <xdr:rowOff>175869</xdr:rowOff>
    </xdr:from>
    <xdr:to>
      <xdr:col>8</xdr:col>
      <xdr:colOff>285517</xdr:colOff>
      <xdr:row>396</xdr:row>
      <xdr:rowOff>164366</xdr:rowOff>
    </xdr:to>
    <xdr:grpSp>
      <xdr:nvGrpSpPr>
        <xdr:cNvPr id="386" name="Groupe 385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GrpSpPr/>
      </xdr:nvGrpSpPr>
      <xdr:grpSpPr>
        <a:xfrm>
          <a:off x="4781918" y="85034094"/>
          <a:ext cx="1018574" cy="655247"/>
          <a:chOff x="4791443" y="86201859"/>
          <a:chExt cx="1018574" cy="659057"/>
        </a:xfrm>
      </xdr:grpSpPr>
      <xdr:grpSp>
        <xdr:nvGrpSpPr>
          <xdr:cNvPr id="302" name="Groupe 301">
            <a:extLst>
              <a:ext uri="{FF2B5EF4-FFF2-40B4-BE49-F238E27FC236}">
                <a16:creationId xmlns:a16="http://schemas.microsoft.com/office/drawing/2014/main" id="{00000000-0008-0000-0400-00002E010000}"/>
              </a:ext>
            </a:extLst>
          </xdr:cNvPr>
          <xdr:cNvGrpSpPr/>
        </xdr:nvGrpSpPr>
        <xdr:grpSpPr>
          <a:xfrm>
            <a:off x="4791443" y="86201859"/>
            <a:ext cx="1018574" cy="659057"/>
            <a:chOff x="7832251" y="26816715"/>
            <a:chExt cx="1024984" cy="613798"/>
          </a:xfrm>
        </xdr:grpSpPr>
        <xdr:sp macro="" textlink="">
          <xdr:nvSpPr>
            <xdr:cNvPr id="303" name="Rectangle 302">
              <a:extLst>
                <a:ext uri="{FF2B5EF4-FFF2-40B4-BE49-F238E27FC236}">
                  <a16:creationId xmlns:a16="http://schemas.microsoft.com/office/drawing/2014/main" id="{00000000-0008-0000-0400-00002F010000}"/>
                </a:ext>
              </a:extLst>
            </xdr:cNvPr>
            <xdr:cNvSpPr/>
          </xdr:nvSpPr>
          <xdr:spPr>
            <a:xfrm>
              <a:off x="7832251" y="26886689"/>
              <a:ext cx="518715" cy="326040"/>
            </a:xfrm>
            <a:prstGeom prst="rect">
              <a:avLst/>
            </a:prstGeom>
            <a:solidFill>
              <a:schemeClr val="bg1">
                <a:alpha val="50000"/>
              </a:schemeClr>
            </a:solidFill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05" name="Rectangle 304">
              <a:extLst>
                <a:ext uri="{FF2B5EF4-FFF2-40B4-BE49-F238E27FC236}">
                  <a16:creationId xmlns:a16="http://schemas.microsoft.com/office/drawing/2014/main" id="{00000000-0008-0000-0400-000031010000}"/>
                </a:ext>
              </a:extLst>
            </xdr:cNvPr>
            <xdr:cNvSpPr/>
          </xdr:nvSpPr>
          <xdr:spPr>
            <a:xfrm>
              <a:off x="7994466" y="26977638"/>
              <a:ext cx="510971" cy="144142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306" name="Connecteur droit avec flèche 305">
              <a:extLst>
                <a:ext uri="{FF2B5EF4-FFF2-40B4-BE49-F238E27FC236}">
                  <a16:creationId xmlns:a16="http://schemas.microsoft.com/office/drawing/2014/main" id="{00000000-0008-0000-0400-000032010000}"/>
                </a:ext>
              </a:extLst>
            </xdr:cNvPr>
            <xdr:cNvCxnSpPr/>
          </xdr:nvCxnSpPr>
          <xdr:spPr>
            <a:xfrm>
              <a:off x="8548772" y="27049709"/>
              <a:ext cx="253009" cy="0"/>
            </a:xfrm>
            <a:prstGeom prst="straightConnector1">
              <a:avLst/>
            </a:prstGeom>
            <a:ln w="25400">
              <a:solidFill>
                <a:srgbClr val="0070C0"/>
              </a:solidFill>
              <a:headEnd type="none" w="med" len="lg"/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07" name="ZoneTexte 306">
              <a:extLst>
                <a:ext uri="{FF2B5EF4-FFF2-40B4-BE49-F238E27FC236}">
                  <a16:creationId xmlns:a16="http://schemas.microsoft.com/office/drawing/2014/main" id="{00000000-0008-0000-0400-000033010000}"/>
                </a:ext>
              </a:extLst>
            </xdr:cNvPr>
            <xdr:cNvSpPr txBox="1"/>
          </xdr:nvSpPr>
          <xdr:spPr>
            <a:xfrm>
              <a:off x="8581106" y="26816715"/>
              <a:ext cx="276129" cy="25643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="1" baseline="0"/>
                <a:t>F</a:t>
              </a:r>
              <a:r>
                <a:rPr lang="fr-FR" sz="900" b="1" baseline="-25000"/>
                <a:t>Ed</a:t>
              </a:r>
            </a:p>
          </xdr:txBody>
        </xdr:sp>
        <xdr:cxnSp macro="">
          <xdr:nvCxnSpPr>
            <xdr:cNvPr id="308" name="Connecteur droit avec flèche 307">
              <a:extLst>
                <a:ext uri="{FF2B5EF4-FFF2-40B4-BE49-F238E27FC236}">
                  <a16:creationId xmlns:a16="http://schemas.microsoft.com/office/drawing/2014/main" id="{00000000-0008-0000-0400-000034010000}"/>
                </a:ext>
              </a:extLst>
            </xdr:cNvPr>
            <xdr:cNvCxnSpPr/>
          </xdr:nvCxnSpPr>
          <xdr:spPr>
            <a:xfrm>
              <a:off x="8000189" y="27368382"/>
              <a:ext cx="361441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med"/>
              <a:tailEnd type="triangle" w="sm" len="med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09" name="ZoneTexte 308">
              <a:extLst>
                <a:ext uri="{FF2B5EF4-FFF2-40B4-BE49-F238E27FC236}">
                  <a16:creationId xmlns:a16="http://schemas.microsoft.com/office/drawing/2014/main" id="{00000000-0008-0000-0400-000035010000}"/>
                </a:ext>
              </a:extLst>
            </xdr:cNvPr>
            <xdr:cNvSpPr txBox="1"/>
          </xdr:nvSpPr>
          <xdr:spPr>
            <a:xfrm>
              <a:off x="8048571" y="27218590"/>
              <a:ext cx="252298" cy="21192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b"/>
            <a:lstStyle/>
            <a:p>
              <a:pPr algn="l"/>
              <a:r>
                <a:rPr lang="fr-FR" sz="900" baseline="0"/>
                <a:t>L</a:t>
              </a:r>
              <a:endParaRPr lang="fr-FR" sz="900" baseline="-25000"/>
            </a:p>
          </xdr:txBody>
        </xdr:sp>
        <xdr:sp macro="" textlink="">
          <xdr:nvSpPr>
            <xdr:cNvPr id="312" name="Rectangle 311">
              <a:extLst>
                <a:ext uri="{FF2B5EF4-FFF2-40B4-BE49-F238E27FC236}">
                  <a16:creationId xmlns:a16="http://schemas.microsoft.com/office/drawing/2014/main" id="{00000000-0008-0000-0400-000038010000}"/>
                </a:ext>
              </a:extLst>
            </xdr:cNvPr>
            <xdr:cNvSpPr/>
          </xdr:nvSpPr>
          <xdr:spPr>
            <a:xfrm>
              <a:off x="7995682" y="27122866"/>
              <a:ext cx="361441" cy="360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313" name="Rectangle 312">
              <a:extLst>
                <a:ext uri="{FF2B5EF4-FFF2-40B4-BE49-F238E27FC236}">
                  <a16:creationId xmlns:a16="http://schemas.microsoft.com/office/drawing/2014/main" id="{00000000-0008-0000-0400-000039010000}"/>
                </a:ext>
              </a:extLst>
            </xdr:cNvPr>
            <xdr:cNvSpPr/>
          </xdr:nvSpPr>
          <xdr:spPr>
            <a:xfrm>
              <a:off x="7995682" y="26947864"/>
              <a:ext cx="361441" cy="360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cxnSp macro="">
        <xdr:nvCxnSpPr>
          <xdr:cNvPr id="374" name="Connecteur droit avec flèche 373">
            <a:extLst>
              <a:ext uri="{FF2B5EF4-FFF2-40B4-BE49-F238E27FC236}">
                <a16:creationId xmlns:a16="http://schemas.microsoft.com/office/drawing/2014/main" id="{00000000-0008-0000-0400-000076010000}"/>
              </a:ext>
            </a:extLst>
          </xdr:cNvPr>
          <xdr:cNvCxnSpPr/>
        </xdr:nvCxnSpPr>
        <xdr:spPr>
          <a:xfrm>
            <a:off x="5305793" y="86375159"/>
            <a:ext cx="0" cy="152079"/>
          </a:xfrm>
          <a:prstGeom prst="straightConnector1">
            <a:avLst/>
          </a:prstGeom>
          <a:ln w="15875">
            <a:solidFill>
              <a:schemeClr val="bg1"/>
            </a:solidFill>
            <a:prstDash val="solid"/>
            <a:headEnd type="none" w="sm" len="med"/>
            <a:tailEnd type="none" w="sm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95932</xdr:colOff>
      <xdr:row>427</xdr:row>
      <xdr:rowOff>41274</xdr:rowOff>
    </xdr:from>
    <xdr:to>
      <xdr:col>8</xdr:col>
      <xdr:colOff>260335</xdr:colOff>
      <xdr:row>435</xdr:row>
      <xdr:rowOff>118390</xdr:rowOff>
    </xdr:to>
    <xdr:grpSp>
      <xdr:nvGrpSpPr>
        <xdr:cNvPr id="429" name="Groupe 428">
          <a:extLst>
            <a:ext uri="{FF2B5EF4-FFF2-40B4-BE49-F238E27FC236}">
              <a16:creationId xmlns:a16="http://schemas.microsoft.com/office/drawing/2014/main" id="{DD3E5AAC-7BE5-BE45-904C-C4A461E6EB52}"/>
            </a:ext>
          </a:extLst>
        </xdr:cNvPr>
        <xdr:cNvGrpSpPr/>
      </xdr:nvGrpSpPr>
      <xdr:grpSpPr>
        <a:xfrm>
          <a:off x="3848782" y="92081349"/>
          <a:ext cx="1926528" cy="1877341"/>
          <a:chOff x="3828541" y="92612368"/>
          <a:chExt cx="1926535" cy="1874960"/>
        </a:xfrm>
      </xdr:grpSpPr>
      <xdr:sp macro="" textlink="">
        <xdr:nvSpPr>
          <xdr:cNvPr id="428" name="Forme libre : forme 427">
            <a:extLst>
              <a:ext uri="{FF2B5EF4-FFF2-40B4-BE49-F238E27FC236}">
                <a16:creationId xmlns:a16="http://schemas.microsoft.com/office/drawing/2014/main" id="{64E7D07F-F85C-4B37-BCF6-CDD8E59DB611}"/>
              </a:ext>
            </a:extLst>
          </xdr:cNvPr>
          <xdr:cNvSpPr/>
        </xdr:nvSpPr>
        <xdr:spPr>
          <a:xfrm rot="10800000">
            <a:off x="5150644" y="92983050"/>
            <a:ext cx="320278" cy="1207294"/>
          </a:xfrm>
          <a:custGeom>
            <a:avLst/>
            <a:gdLst/>
            <a:ahLst/>
            <a:cxnLst/>
            <a:rect l="0" t="0" r="0" b="0"/>
            <a:pathLst>
              <a:path w="635001" h="2222501">
                <a:moveTo>
                  <a:pt x="0" y="0"/>
                </a:moveTo>
                <a:lnTo>
                  <a:pt x="635000" y="0"/>
                </a:lnTo>
                <a:lnTo>
                  <a:pt x="635000" y="101600"/>
                </a:lnTo>
                <a:lnTo>
                  <a:pt x="190500" y="101600"/>
                </a:lnTo>
                <a:lnTo>
                  <a:pt x="139700" y="115212"/>
                </a:lnTo>
                <a:lnTo>
                  <a:pt x="102512" y="152400"/>
                </a:lnTo>
                <a:lnTo>
                  <a:pt x="88900" y="203200"/>
                </a:lnTo>
                <a:lnTo>
                  <a:pt x="88900" y="2019300"/>
                </a:lnTo>
                <a:lnTo>
                  <a:pt x="102512" y="2070100"/>
                </a:lnTo>
                <a:lnTo>
                  <a:pt x="139700" y="2107288"/>
                </a:lnTo>
                <a:lnTo>
                  <a:pt x="190500" y="2120900"/>
                </a:lnTo>
                <a:lnTo>
                  <a:pt x="635000" y="2120900"/>
                </a:lnTo>
                <a:lnTo>
                  <a:pt x="635000" y="2222500"/>
                </a:lnTo>
                <a:lnTo>
                  <a:pt x="0" y="2222500"/>
                </a:lnTo>
                <a:close/>
              </a:path>
            </a:pathLst>
          </a:custGeom>
          <a:noFill/>
          <a:ln w="12700" cap="flat" cmpd="sng" algn="ctr">
            <a:solidFill>
              <a:schemeClr val="tx1"/>
            </a:solidFill>
            <a:prstDash val="solid"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grpSp>
        <xdr:nvGrpSpPr>
          <xdr:cNvPr id="300" name="Groupe 299">
            <a:extLst>
              <a:ext uri="{FF2B5EF4-FFF2-40B4-BE49-F238E27FC236}">
                <a16:creationId xmlns:a16="http://schemas.microsoft.com/office/drawing/2014/main" id="{98D52DBD-E32B-4E50-BD58-E5779854417E}"/>
              </a:ext>
            </a:extLst>
          </xdr:cNvPr>
          <xdr:cNvGrpSpPr/>
        </xdr:nvGrpSpPr>
        <xdr:grpSpPr>
          <a:xfrm>
            <a:off x="3828541" y="92612368"/>
            <a:ext cx="1926535" cy="1874960"/>
            <a:chOff x="3837753" y="16413491"/>
            <a:chExt cx="1929211" cy="1877880"/>
          </a:xfrm>
        </xdr:grpSpPr>
        <xdr:grpSp>
          <xdr:nvGrpSpPr>
            <xdr:cNvPr id="301" name="Groupe 300">
              <a:extLst>
                <a:ext uri="{FF2B5EF4-FFF2-40B4-BE49-F238E27FC236}">
                  <a16:creationId xmlns:a16="http://schemas.microsoft.com/office/drawing/2014/main" id="{FDF23DA0-0B3D-F375-F112-A67307F307B5}"/>
                </a:ext>
              </a:extLst>
            </xdr:cNvPr>
            <xdr:cNvGrpSpPr/>
          </xdr:nvGrpSpPr>
          <xdr:grpSpPr>
            <a:xfrm>
              <a:off x="3837753" y="16413491"/>
              <a:ext cx="1929211" cy="1877880"/>
              <a:chOff x="6955123" y="18608519"/>
              <a:chExt cx="1928841" cy="1870836"/>
            </a:xfrm>
          </xdr:grpSpPr>
          <xdr:sp macro="" textlink="">
            <xdr:nvSpPr>
              <xdr:cNvPr id="316" name="ZoneTexte 315">
                <a:extLst>
                  <a:ext uri="{FF2B5EF4-FFF2-40B4-BE49-F238E27FC236}">
                    <a16:creationId xmlns:a16="http://schemas.microsoft.com/office/drawing/2014/main" id="{5A046FCF-6328-2FBF-34DB-8E22CBFD16FF}"/>
                  </a:ext>
                </a:extLst>
              </xdr:cNvPr>
              <xdr:cNvSpPr txBox="1"/>
            </xdr:nvSpPr>
            <xdr:spPr>
              <a:xfrm>
                <a:off x="8552371" y="20183843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B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sp macro="" textlink="">
            <xdr:nvSpPr>
              <xdr:cNvPr id="318" name="ZoneTexte 317">
                <a:extLst>
                  <a:ext uri="{FF2B5EF4-FFF2-40B4-BE49-F238E27FC236}">
                    <a16:creationId xmlns:a16="http://schemas.microsoft.com/office/drawing/2014/main" id="{4265873E-61B3-C4F2-3EB4-9AFBCEF46EAA}"/>
                  </a:ext>
                </a:extLst>
              </xdr:cNvPr>
              <xdr:cNvSpPr txBox="1"/>
            </xdr:nvSpPr>
            <xdr:spPr>
              <a:xfrm>
                <a:off x="8534168" y="18784999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A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sp macro="" textlink="">
            <xdr:nvSpPr>
              <xdr:cNvPr id="319" name="ZoneTexte 318">
                <a:extLst>
                  <a:ext uri="{FF2B5EF4-FFF2-40B4-BE49-F238E27FC236}">
                    <a16:creationId xmlns:a16="http://schemas.microsoft.com/office/drawing/2014/main" id="{A820FFA2-10A5-AA28-BA37-C9F49C32DD0D}"/>
                  </a:ext>
                </a:extLst>
              </xdr:cNvPr>
              <xdr:cNvSpPr txBox="1"/>
            </xdr:nvSpPr>
            <xdr:spPr>
              <a:xfrm>
                <a:off x="8344924" y="19433761"/>
                <a:ext cx="251061" cy="212017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overflow" horzOverflow="overflow" wrap="none" rtlCol="0" anchor="b"/>
              <a:lstStyle/>
              <a:p>
                <a:pPr algn="l"/>
                <a:r>
                  <a:rPr lang="fr-FR" sz="900" baseline="0">
                    <a:solidFill>
                      <a:srgbClr val="C00000"/>
                    </a:solidFill>
                  </a:rPr>
                  <a:t>C</a:t>
                </a:r>
                <a:endParaRPr lang="fr-FR" sz="900" baseline="-25000">
                  <a:solidFill>
                    <a:srgbClr val="C00000"/>
                  </a:solidFill>
                </a:endParaRPr>
              </a:p>
            </xdr:txBody>
          </xdr:sp>
          <xdr:grpSp>
            <xdr:nvGrpSpPr>
              <xdr:cNvPr id="320" name="Groupe 319">
                <a:extLst>
                  <a:ext uri="{FF2B5EF4-FFF2-40B4-BE49-F238E27FC236}">
                    <a16:creationId xmlns:a16="http://schemas.microsoft.com/office/drawing/2014/main" id="{8966E005-7F38-DCAE-9544-78F5A60A33C8}"/>
                  </a:ext>
                </a:extLst>
              </xdr:cNvPr>
              <xdr:cNvGrpSpPr/>
            </xdr:nvGrpSpPr>
            <xdr:grpSpPr>
              <a:xfrm>
                <a:off x="6955123" y="18608519"/>
                <a:ext cx="1928841" cy="1870836"/>
                <a:chOff x="6955123" y="18608519"/>
                <a:chExt cx="1928841" cy="1870836"/>
              </a:xfrm>
            </xdr:grpSpPr>
            <xdr:grpSp>
              <xdr:nvGrpSpPr>
                <xdr:cNvPr id="321" name="Groupe 320">
                  <a:extLst>
                    <a:ext uri="{FF2B5EF4-FFF2-40B4-BE49-F238E27FC236}">
                      <a16:creationId xmlns:a16="http://schemas.microsoft.com/office/drawing/2014/main" id="{3DD565E6-097B-B46B-4F70-8ED803B987B9}"/>
                    </a:ext>
                  </a:extLst>
                </xdr:cNvPr>
                <xdr:cNvGrpSpPr/>
              </xdr:nvGrpSpPr>
              <xdr:grpSpPr>
                <a:xfrm>
                  <a:off x="6955123" y="18608519"/>
                  <a:ext cx="1928841" cy="1870836"/>
                  <a:chOff x="6955123" y="18599227"/>
                  <a:chExt cx="1928841" cy="1870836"/>
                </a:xfrm>
              </xdr:grpSpPr>
              <xdr:grpSp>
                <xdr:nvGrpSpPr>
                  <xdr:cNvPr id="325" name="Groupe 324">
                    <a:extLst>
                      <a:ext uri="{FF2B5EF4-FFF2-40B4-BE49-F238E27FC236}">
                        <a16:creationId xmlns:a16="http://schemas.microsoft.com/office/drawing/2014/main" id="{59E3638F-2832-DCA0-5B84-684C3C8F32C7}"/>
                      </a:ext>
                    </a:extLst>
                  </xdr:cNvPr>
                  <xdr:cNvGrpSpPr/>
                </xdr:nvGrpSpPr>
                <xdr:grpSpPr>
                  <a:xfrm>
                    <a:off x="6955123" y="18961720"/>
                    <a:ext cx="1137314" cy="1197826"/>
                    <a:chOff x="6955123" y="18961720"/>
                    <a:chExt cx="1137314" cy="1197826"/>
                  </a:xfrm>
                </xdr:grpSpPr>
                <xdr:cxnSp macro="">
                  <xdr:nvCxnSpPr>
                    <xdr:cNvPr id="409" name="Connecteur droit avec flèche 408">
                      <a:extLst>
                        <a:ext uri="{FF2B5EF4-FFF2-40B4-BE49-F238E27FC236}">
                          <a16:creationId xmlns:a16="http://schemas.microsoft.com/office/drawing/2014/main" id="{50F44822-06B5-5286-B312-C7CFE7FE3159}"/>
                        </a:ext>
                      </a:extLst>
                    </xdr:cNvPr>
                    <xdr:cNvCxnSpPr/>
                  </xdr:nvCxnSpPr>
                  <xdr:spPr>
                    <a:xfrm>
                      <a:off x="7226354" y="19548118"/>
                      <a:ext cx="252000" cy="0"/>
                    </a:xfrm>
                    <a:prstGeom prst="straightConnector1">
                      <a:avLst/>
                    </a:prstGeom>
                    <a:ln w="25400">
                      <a:solidFill>
                        <a:srgbClr val="0070C0"/>
                      </a:solidFill>
                      <a:headEnd type="triangle" w="med" len="lg"/>
                      <a:tailEnd type="none" w="med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sp macro="" textlink="">
                  <xdr:nvSpPr>
                    <xdr:cNvPr id="421" name="ZoneTexte 420">
                      <a:extLst>
                        <a:ext uri="{FF2B5EF4-FFF2-40B4-BE49-F238E27FC236}">
                          <a16:creationId xmlns:a16="http://schemas.microsoft.com/office/drawing/2014/main" id="{DAB9FB66-5FAD-5029-C08B-8B6038A31382}"/>
                        </a:ext>
                      </a:extLst>
                    </xdr:cNvPr>
                    <xdr:cNvSpPr txBox="1"/>
                  </xdr:nvSpPr>
                  <xdr:spPr>
                    <a:xfrm>
                      <a:off x="7040227" y="19289053"/>
                      <a:ext cx="368345" cy="256749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N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2" name="Forme libre : forme 421">
                      <a:extLst>
                        <a:ext uri="{FF2B5EF4-FFF2-40B4-BE49-F238E27FC236}">
                          <a16:creationId xmlns:a16="http://schemas.microsoft.com/office/drawing/2014/main" id="{FAE18897-01B0-DD41-5775-BDEA4B5CC787}"/>
                        </a:ext>
                      </a:extLst>
                    </xdr:cNvPr>
                    <xdr:cNvSpPr/>
                  </xdr:nvSpPr>
                  <xdr:spPr>
                    <a:xfrm flipV="1">
                      <a:off x="7797257" y="19445164"/>
                      <a:ext cx="36174" cy="264319"/>
                    </a:xfrm>
                    <a:custGeom>
                      <a:avLst/>
                      <a:gdLst>
                        <a:gd name="connsiteX0" fmla="*/ 0 w 66261"/>
                        <a:gd name="connsiteY0" fmla="*/ 0 h 579782"/>
                        <a:gd name="connsiteX1" fmla="*/ 0 w 66261"/>
                        <a:gd name="connsiteY1" fmla="*/ 579782 h 579782"/>
                        <a:gd name="connsiteX2" fmla="*/ 66261 w 66261"/>
                        <a:gd name="connsiteY2" fmla="*/ 331304 h 579782"/>
                        <a:gd name="connsiteX3" fmla="*/ 0 w 66261"/>
                        <a:gd name="connsiteY3" fmla="*/ 339587 h 579782"/>
                        <a:gd name="connsiteX4" fmla="*/ 0 w 66261"/>
                        <a:gd name="connsiteY4" fmla="*/ 339587 h 579782"/>
                      </a:gdLst>
                      <a:ahLst/>
                      <a:cxnLst>
                        <a:cxn ang="0">
                          <a:pos x="connsiteX0" y="connsiteY0"/>
                        </a:cxn>
                        <a:cxn ang="0">
                          <a:pos x="connsiteX1" y="connsiteY1"/>
                        </a:cxn>
                        <a:cxn ang="0">
                          <a:pos x="connsiteX2" y="connsiteY2"/>
                        </a:cxn>
                        <a:cxn ang="0">
                          <a:pos x="connsiteX3" y="connsiteY3"/>
                        </a:cxn>
                        <a:cxn ang="0">
                          <a:pos x="connsiteX4" y="connsiteY4"/>
                        </a:cxn>
                      </a:cxnLst>
                      <a:rect l="l" t="t" r="r" b="b"/>
                      <a:pathLst>
                        <a:path w="66261" h="579782">
                          <a:moveTo>
                            <a:pt x="0" y="0"/>
                          </a:moveTo>
                          <a:lnTo>
                            <a:pt x="0" y="579782"/>
                          </a:lnTo>
                          <a:lnTo>
                            <a:pt x="66261" y="331304"/>
                          </a:lnTo>
                          <a:lnTo>
                            <a:pt x="0" y="339587"/>
                          </a:lnTo>
                          <a:lnTo>
                            <a:pt x="0" y="339587"/>
                          </a:lnTo>
                        </a:path>
                      </a:pathLst>
                    </a:custGeom>
                    <a:solidFill>
                      <a:srgbClr val="0070C0"/>
                    </a:solidFill>
                    <a:ln w="25400">
                      <a:solidFill>
                        <a:srgbClr val="0070C0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3" name="Arc 422">
                      <a:extLst>
                        <a:ext uri="{FF2B5EF4-FFF2-40B4-BE49-F238E27FC236}">
                          <a16:creationId xmlns:a16="http://schemas.microsoft.com/office/drawing/2014/main" id="{05E4B66C-F640-BFEE-3F50-D72E5CF06C86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 rot="16200000">
                      <a:off x="7412103" y="19365004"/>
                      <a:ext cx="359396" cy="359882"/>
                    </a:xfrm>
                    <a:prstGeom prst="arc">
                      <a:avLst>
                        <a:gd name="adj1" fmla="val 10687710"/>
                        <a:gd name="adj2" fmla="val 573424"/>
                      </a:avLst>
                    </a:prstGeom>
                    <a:ln w="25400">
                      <a:headEnd type="none"/>
                      <a:tailEnd type="triangle" w="med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4" name="ZoneTexte 423">
                      <a:extLst>
                        <a:ext uri="{FF2B5EF4-FFF2-40B4-BE49-F238E27FC236}">
                          <a16:creationId xmlns:a16="http://schemas.microsoft.com/office/drawing/2014/main" id="{88780DE8-BF8B-5A65-D9D1-1468D913F391}"/>
                        </a:ext>
                      </a:extLst>
                    </xdr:cNvPr>
                    <xdr:cNvSpPr txBox="1"/>
                  </xdr:nvSpPr>
                  <xdr:spPr>
                    <a:xfrm>
                      <a:off x="7404155" y="19142180"/>
                      <a:ext cx="368345" cy="255820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M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5" name="ZoneTexte 424">
                      <a:extLst>
                        <a:ext uri="{FF2B5EF4-FFF2-40B4-BE49-F238E27FC236}">
                          <a16:creationId xmlns:a16="http://schemas.microsoft.com/office/drawing/2014/main" id="{2C8E3136-D4DA-438A-BC77-B8B88FFD5352}"/>
                        </a:ext>
                      </a:extLst>
                    </xdr:cNvPr>
                    <xdr:cNvSpPr txBox="1"/>
                  </xdr:nvSpPr>
                  <xdr:spPr>
                    <a:xfrm>
                      <a:off x="7725253" y="19254927"/>
                      <a:ext cx="367184" cy="256749"/>
                    </a:xfrm>
                    <a:prstGeom prst="rect">
                      <a:avLst/>
                    </a:prstGeom>
                    <a:noFill/>
                    <a:ln w="9525" cmpd="sng">
                      <a:noFill/>
                    </a:ln>
                  </xdr:spPr>
                  <xdr:style>
                    <a:lnRef idx="0">
                      <a:scrgbClr r="0" g="0" b="0"/>
                    </a:lnRef>
                    <a:fillRef idx="0">
                      <a:scrgbClr r="0" g="0" b="0"/>
                    </a:fillRef>
                    <a:effectRef idx="0">
                      <a:scrgbClr r="0" g="0" b="0"/>
                    </a:effectRef>
                    <a:fontRef idx="minor">
                      <a:schemeClr val="dk1"/>
                    </a:fontRef>
                  </xdr:style>
                  <xdr:txBody>
                    <a:bodyPr vertOverflow="overflow" horzOverflow="overflow" wrap="none" rtlCol="0" anchor="b"/>
                    <a:lstStyle/>
                    <a:p>
                      <a:pPr algn="l"/>
                      <a:r>
                        <a:rPr lang="fr-FR" sz="900" b="1" baseline="0"/>
                        <a:t>V</a:t>
                      </a:r>
                      <a:r>
                        <a:rPr lang="fr-FR" sz="900" b="1" baseline="-25000"/>
                        <a:t>Ed</a:t>
                      </a:r>
                    </a:p>
                  </xdr:txBody>
                </xdr:sp>
                <xdr:sp macro="" textlink="">
                  <xdr:nvSpPr>
                    <xdr:cNvPr id="426" name="Rectangle 425">
                      <a:extLst>
                        <a:ext uri="{FF2B5EF4-FFF2-40B4-BE49-F238E27FC236}">
                          <a16:creationId xmlns:a16="http://schemas.microsoft.com/office/drawing/2014/main" id="{FC378B70-17F8-98AD-1700-AFD26DB53C15}"/>
                        </a:ext>
                      </a:extLst>
                    </xdr:cNvPr>
                    <xdr:cNvSpPr/>
                  </xdr:nvSpPr>
                  <xdr:spPr>
                    <a:xfrm>
                      <a:off x="6955123" y="18961720"/>
                      <a:ext cx="780585" cy="1143000"/>
                    </a:xfrm>
                    <a:prstGeom prst="rect">
                      <a:avLst/>
                    </a:prstGeom>
                    <a:noFill/>
                    <a:ln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  <xdr:sp macro="" textlink="">
                  <xdr:nvSpPr>
                    <xdr:cNvPr id="427" name="Rectangle 426">
                      <a:extLst>
                        <a:ext uri="{FF2B5EF4-FFF2-40B4-BE49-F238E27FC236}">
                          <a16:creationId xmlns:a16="http://schemas.microsoft.com/office/drawing/2014/main" id="{20E8439C-DF84-5D5F-E209-B49629BD73D9}"/>
                        </a:ext>
                      </a:extLst>
                    </xdr:cNvPr>
                    <xdr:cNvSpPr/>
                  </xdr:nvSpPr>
                  <xdr:spPr>
                    <a:xfrm>
                      <a:off x="6955123" y="19016546"/>
                      <a:ext cx="780585" cy="1143000"/>
                    </a:xfrm>
                    <a:prstGeom prst="rect">
                      <a:avLst/>
                    </a:prstGeom>
                    <a:noFill/>
                    <a:ln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vertOverflow="clip" horzOverflow="clip" rtlCol="0" anchor="t"/>
                    <a:lstStyle/>
                    <a:p>
                      <a:pPr algn="l"/>
                      <a:endParaRPr lang="fr-FR" sz="1100"/>
                    </a:p>
                  </xdr:txBody>
                </xdr:sp>
              </xdr:grpSp>
              <xdr:grpSp>
                <xdr:nvGrpSpPr>
                  <xdr:cNvPr id="326" name="Groupe 325">
                    <a:extLst>
                      <a:ext uri="{FF2B5EF4-FFF2-40B4-BE49-F238E27FC236}">
                        <a16:creationId xmlns:a16="http://schemas.microsoft.com/office/drawing/2014/main" id="{860E72ED-724D-9456-4B10-EF369B6F2C87}"/>
                      </a:ext>
                    </a:extLst>
                  </xdr:cNvPr>
                  <xdr:cNvGrpSpPr/>
                </xdr:nvGrpSpPr>
                <xdr:grpSpPr>
                  <a:xfrm>
                    <a:off x="7940598" y="18599227"/>
                    <a:ext cx="943366" cy="1870836"/>
                    <a:chOff x="7940598" y="18599227"/>
                    <a:chExt cx="943366" cy="1870836"/>
                  </a:xfrm>
                </xdr:grpSpPr>
                <xdr:grpSp>
                  <xdr:nvGrpSpPr>
                    <xdr:cNvPr id="327" name="Groupe 326">
                      <a:extLst>
                        <a:ext uri="{FF2B5EF4-FFF2-40B4-BE49-F238E27FC236}">
                          <a16:creationId xmlns:a16="http://schemas.microsoft.com/office/drawing/2014/main" id="{B1A436F0-9E1A-16ED-6D43-BB950C4FC8CA}"/>
                        </a:ext>
                      </a:extLst>
                    </xdr:cNvPr>
                    <xdr:cNvGrpSpPr/>
                  </xdr:nvGrpSpPr>
                  <xdr:grpSpPr>
                    <a:xfrm>
                      <a:off x="8274360" y="18926711"/>
                      <a:ext cx="369534" cy="1298345"/>
                      <a:chOff x="8274360" y="18926711"/>
                      <a:chExt cx="369534" cy="1298345"/>
                    </a:xfrm>
                  </xdr:grpSpPr>
                  <xdr:sp macro="" textlink="">
                    <xdr:nvSpPr>
                      <xdr:cNvPr id="395" name="Rectangle 394">
                        <a:extLst>
                          <a:ext uri="{FF2B5EF4-FFF2-40B4-BE49-F238E27FC236}">
                            <a16:creationId xmlns:a16="http://schemas.microsoft.com/office/drawing/2014/main" id="{5BA87EDE-A2A8-9EC6-E75C-A435F2561EB1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7369" y="18926711"/>
                        <a:ext cx="334020" cy="45618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6" name="Rectangle 395">
                        <a:extLst>
                          <a:ext uri="{FF2B5EF4-FFF2-40B4-BE49-F238E27FC236}">
                            <a16:creationId xmlns:a16="http://schemas.microsoft.com/office/drawing/2014/main" id="{5020B305-6E83-B8BF-7559-029A43CEAAD0}"/>
                          </a:ext>
                        </a:extLst>
                      </xdr:cNvPr>
                      <xdr:cNvSpPr/>
                    </xdr:nvSpPr>
                    <xdr:spPr>
                      <a:xfrm>
                        <a:off x="8530691" y="19087203"/>
                        <a:ext cx="36000" cy="960261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8" name="Rectangle 397">
                        <a:extLst>
                          <a:ext uri="{FF2B5EF4-FFF2-40B4-BE49-F238E27FC236}">
                            <a16:creationId xmlns:a16="http://schemas.microsoft.com/office/drawing/2014/main" id="{B8720E82-2A9C-FBFC-49BC-AC1E23511D9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6366" y="19028718"/>
                        <a:ext cx="214655" cy="36174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399" name="Rectangle 398">
                        <a:extLst>
                          <a:ext uri="{FF2B5EF4-FFF2-40B4-BE49-F238E27FC236}">
                            <a16:creationId xmlns:a16="http://schemas.microsoft.com/office/drawing/2014/main" id="{967CB378-3FC0-F40F-458B-954630E2177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4360" y="20179438"/>
                        <a:ext cx="334020" cy="45618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402" name="Rectangle 401">
                        <a:extLst>
                          <a:ext uri="{FF2B5EF4-FFF2-40B4-BE49-F238E27FC236}">
                            <a16:creationId xmlns:a16="http://schemas.microsoft.com/office/drawing/2014/main" id="{4179244A-CA53-CE07-5DE5-4C795AB888AB}"/>
                          </a:ext>
                        </a:extLst>
                      </xdr:cNvPr>
                      <xdr:cNvSpPr/>
                    </xdr:nvSpPr>
                    <xdr:spPr>
                      <a:xfrm>
                        <a:off x="8275364" y="20079636"/>
                        <a:ext cx="214655" cy="33240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  <xdr:sp macro="" textlink="">
                    <xdr:nvSpPr>
                      <xdr:cNvPr id="408" name="Rectangle 407">
                        <a:extLst>
                          <a:ext uri="{FF2B5EF4-FFF2-40B4-BE49-F238E27FC236}">
                            <a16:creationId xmlns:a16="http://schemas.microsoft.com/office/drawing/2014/main" id="{88F79943-91B5-DD7A-3486-8F09F7EB2B56}"/>
                          </a:ext>
                        </a:extLst>
                      </xdr:cNvPr>
                      <xdr:cNvSpPr/>
                    </xdr:nvSpPr>
                    <xdr:spPr>
                      <a:xfrm>
                        <a:off x="8607894" y="19084195"/>
                        <a:ext cx="36000" cy="960261"/>
                      </a:xfrm>
                      <a:prstGeom prst="rect">
                        <a:avLst/>
                      </a:prstGeom>
                      <a:solidFill>
                        <a:schemeClr val="tx1"/>
                      </a:solidFill>
                      <a:ln>
                        <a:noFill/>
                      </a:ln>
                    </xdr:spPr>
                    <xdr:style>
                      <a:lnRef idx="2">
                        <a:schemeClr val="accent1">
                          <a:shade val="50000"/>
                        </a:schemeClr>
                      </a:lnRef>
                      <a:fillRef idx="1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lt1"/>
                      </a:fontRef>
                    </xdr:style>
                    <xdr:txBody>
                      <a:bodyPr vertOverflow="clip" horzOverflow="clip" rtlCol="0" anchor="t"/>
                      <a:lstStyle/>
                      <a:p>
                        <a:pPr algn="l"/>
                        <a:endParaRPr lang="fr-FR" sz="1100"/>
                      </a:p>
                    </xdr:txBody>
                  </xdr:sp>
                </xdr:grpSp>
                <xdr:grpSp>
                  <xdr:nvGrpSpPr>
                    <xdr:cNvPr id="328" name="Groupe 327">
                      <a:extLst>
                        <a:ext uri="{FF2B5EF4-FFF2-40B4-BE49-F238E27FC236}">
                          <a16:creationId xmlns:a16="http://schemas.microsoft.com/office/drawing/2014/main" id="{1DA89DD5-F2E9-2513-4199-67A79823C992}"/>
                        </a:ext>
                      </a:extLst>
                    </xdr:cNvPr>
                    <xdr:cNvGrpSpPr/>
                  </xdr:nvGrpSpPr>
                  <xdr:grpSpPr>
                    <a:xfrm>
                      <a:off x="7940598" y="18599227"/>
                      <a:ext cx="943366" cy="1870836"/>
                      <a:chOff x="7940598" y="18599227"/>
                      <a:chExt cx="943366" cy="1870836"/>
                    </a:xfrm>
                  </xdr:grpSpPr>
                  <xdr:cxnSp macro="">
                    <xdr:nvCxnSpPr>
                      <xdr:cNvPr id="329" name="Connecteur droit avec flèche 328">
                        <a:extLst>
                          <a:ext uri="{FF2B5EF4-FFF2-40B4-BE49-F238E27FC236}">
                            <a16:creationId xmlns:a16="http://schemas.microsoft.com/office/drawing/2014/main" id="{FC1BBE63-5902-2E54-04A3-B65A14A0AECD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70464" y="18776743"/>
                        <a:ext cx="335026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30" name="ZoneTexte 329">
                        <a:extLst>
                          <a:ext uri="{FF2B5EF4-FFF2-40B4-BE49-F238E27FC236}">
                            <a16:creationId xmlns:a16="http://schemas.microsoft.com/office/drawing/2014/main" id="{49357C5D-29D8-6C2B-E448-92FEEC4F818F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75693" y="1859922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fs</a:t>
                        </a:r>
                      </a:p>
                    </xdr:txBody>
                  </xdr:sp>
                  <xdr:cxnSp macro="">
                    <xdr:nvCxnSpPr>
                      <xdr:cNvPr id="331" name="Connecteur droit avec flèche 330">
                        <a:extLst>
                          <a:ext uri="{FF2B5EF4-FFF2-40B4-BE49-F238E27FC236}">
                            <a16:creationId xmlns:a16="http://schemas.microsoft.com/office/drawing/2014/main" id="{50C3D603-FF71-CAAE-B046-0C1A8E0A3550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64889" y="19314787"/>
                        <a:ext cx="216000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32" name="Connecteur droit avec flèche 331">
                        <a:extLst>
                          <a:ext uri="{FF2B5EF4-FFF2-40B4-BE49-F238E27FC236}">
                            <a16:creationId xmlns:a16="http://schemas.microsoft.com/office/drawing/2014/main" id="{09322069-6DAA-944E-09B5-B9FEFA829859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63959" y="19992225"/>
                        <a:ext cx="216000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33" name="Connecteur droit avec flèche 332">
                        <a:extLst>
                          <a:ext uri="{FF2B5EF4-FFF2-40B4-BE49-F238E27FC236}">
                            <a16:creationId xmlns:a16="http://schemas.microsoft.com/office/drawing/2014/main" id="{CF89E6EF-7DEB-0682-8FEE-E89378FCDAB5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702598" y="19087171"/>
                        <a:ext cx="0" cy="96120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54" name="Connecteur droit avec flèche 353">
                        <a:extLst>
                          <a:ext uri="{FF2B5EF4-FFF2-40B4-BE49-F238E27FC236}">
                            <a16:creationId xmlns:a16="http://schemas.microsoft.com/office/drawing/2014/main" id="{A30A31FB-1CA7-E1AC-6B29-799BED034E1E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275134" y="20439253"/>
                        <a:ext cx="335026" cy="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56" name="Connecteur droit avec flèche 355">
                        <a:extLst>
                          <a:ext uri="{FF2B5EF4-FFF2-40B4-BE49-F238E27FC236}">
                            <a16:creationId xmlns:a16="http://schemas.microsoft.com/office/drawing/2014/main" id="{9BEBD827-5B0D-B35B-8E31-2439856F243D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2694" y="19021193"/>
                        <a:ext cx="0" cy="1078880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58" name="ZoneTexte 357">
                        <a:extLst>
                          <a:ext uri="{FF2B5EF4-FFF2-40B4-BE49-F238E27FC236}">
                            <a16:creationId xmlns:a16="http://schemas.microsoft.com/office/drawing/2014/main" id="{7FA143C2-A075-3A4A-2B93-F3ABFF54BD63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315927" y="20258045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fi</a:t>
                        </a:r>
                      </a:p>
                    </xdr:txBody>
                  </xdr:sp>
                  <xdr:sp macro="" textlink="">
                    <xdr:nvSpPr>
                      <xdr:cNvPr id="359" name="ZoneTexte 358">
                        <a:extLst>
                          <a:ext uri="{FF2B5EF4-FFF2-40B4-BE49-F238E27FC236}">
                            <a16:creationId xmlns:a16="http://schemas.microsoft.com/office/drawing/2014/main" id="{0A9B6AD4-C00D-D7C4-84A1-0C6D85267A07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41681" y="1978783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ni</a:t>
                        </a:r>
                      </a:p>
                    </xdr:txBody>
                  </xdr:sp>
                  <xdr:sp macro="" textlink="">
                    <xdr:nvSpPr>
                      <xdr:cNvPr id="363" name="ZoneTexte 362">
                        <a:extLst>
                          <a:ext uri="{FF2B5EF4-FFF2-40B4-BE49-F238E27FC236}">
                            <a16:creationId xmlns:a16="http://schemas.microsoft.com/office/drawing/2014/main" id="{8BEF6357-384C-AA30-FBA7-8FEA2773A001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245397" y="19085310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ns</a:t>
                        </a:r>
                      </a:p>
                    </xdr:txBody>
                  </xdr:sp>
                  <xdr:sp macro="" textlink="">
                    <xdr:nvSpPr>
                      <xdr:cNvPr id="366" name="ZoneTexte 365">
                        <a:extLst>
                          <a:ext uri="{FF2B5EF4-FFF2-40B4-BE49-F238E27FC236}">
                            <a16:creationId xmlns:a16="http://schemas.microsoft.com/office/drawing/2014/main" id="{2368D312-831D-2F93-4C9E-546302CAA956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8632903" y="19472817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L</a:t>
                        </a:r>
                        <a:r>
                          <a:rPr lang="fr-FR" sz="900" baseline="-25000"/>
                          <a:t>w</a:t>
                        </a:r>
                      </a:p>
                    </xdr:txBody>
                  </xdr:sp>
                  <xdr:cxnSp macro="">
                    <xdr:nvCxnSpPr>
                      <xdr:cNvPr id="387" name="Connecteur droit avec flèche 386">
                        <a:extLst>
                          <a:ext uri="{FF2B5EF4-FFF2-40B4-BE49-F238E27FC236}">
                            <a16:creationId xmlns:a16="http://schemas.microsoft.com/office/drawing/2014/main" id="{0EF4AF2E-DA62-B3E0-7BA0-D78697BED80A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1765" y="18850206"/>
                        <a:ext cx="0" cy="110583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none" w="sm" len="med"/>
                        <a:tailEnd type="triangl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cxnSp macro="">
                    <xdr:nvCxnSpPr>
                      <xdr:cNvPr id="390" name="Connecteur droit avec flèche 389">
                        <a:extLst>
                          <a:ext uri="{FF2B5EF4-FFF2-40B4-BE49-F238E27FC236}">
                            <a16:creationId xmlns:a16="http://schemas.microsoft.com/office/drawing/2014/main" id="{B5EA2104-BA36-A833-3044-D79F6769F434}"/>
                          </a:ext>
                        </a:extLst>
                      </xdr:cNvPr>
                      <xdr:cNvCxnSpPr/>
                    </xdr:nvCxnSpPr>
                    <xdr:spPr>
                      <a:xfrm>
                        <a:off x="8165482" y="20164192"/>
                        <a:ext cx="0" cy="110583"/>
                      </a:xfrm>
                      <a:prstGeom prst="straightConnector1">
                        <a:avLst/>
                      </a:prstGeom>
                      <a:ln>
                        <a:solidFill>
                          <a:srgbClr val="C00000"/>
                        </a:solidFill>
                        <a:headEnd type="triangle" w="sm" len="med"/>
                        <a:tailEnd type="none" w="sm" len="med"/>
                      </a:ln>
                    </xdr:spPr>
                    <xdr:style>
                      <a:lnRef idx="1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tx1"/>
                      </a:fontRef>
                    </xdr:style>
                  </xdr:cxnSp>
                  <xdr:sp macro="" textlink="">
                    <xdr:nvSpPr>
                      <xdr:cNvPr id="391" name="ZoneTexte 390">
                        <a:extLst>
                          <a:ext uri="{FF2B5EF4-FFF2-40B4-BE49-F238E27FC236}">
                            <a16:creationId xmlns:a16="http://schemas.microsoft.com/office/drawing/2014/main" id="{6E7A57C2-544C-7101-F6CA-1300C0130E5E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0598" y="19519281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h</a:t>
                        </a:r>
                        <a:r>
                          <a:rPr lang="fr-FR" sz="900" baseline="-25000"/>
                          <a:t>w</a:t>
                        </a:r>
                      </a:p>
                    </xdr:txBody>
                  </xdr:sp>
                  <xdr:sp macro="" textlink="">
                    <xdr:nvSpPr>
                      <xdr:cNvPr id="392" name="ZoneTexte 391">
                        <a:extLst>
                          <a:ext uri="{FF2B5EF4-FFF2-40B4-BE49-F238E27FC236}">
                            <a16:creationId xmlns:a16="http://schemas.microsoft.com/office/drawing/2014/main" id="{7292B8CE-1CE1-E53A-E7B6-BE94C220976E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0598" y="18864146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t</a:t>
                        </a:r>
                        <a:r>
                          <a:rPr lang="fr-FR" sz="900" baseline="-25000"/>
                          <a:t>fs</a:t>
                        </a:r>
                      </a:p>
                    </xdr:txBody>
                  </xdr:sp>
                  <xdr:sp macro="" textlink="">
                    <xdr:nvSpPr>
                      <xdr:cNvPr id="393" name="ZoneTexte 392">
                        <a:extLst>
                          <a:ext uri="{FF2B5EF4-FFF2-40B4-BE49-F238E27FC236}">
                            <a16:creationId xmlns:a16="http://schemas.microsoft.com/office/drawing/2014/main" id="{3D167F7E-C343-8C1F-16B1-88FBD9197403}"/>
                          </a:ext>
                        </a:extLst>
                      </xdr:cNvPr>
                      <xdr:cNvSpPr txBox="1"/>
                    </xdr:nvSpPr>
                    <xdr:spPr>
                      <a:xfrm>
                        <a:off x="7944315" y="20001571"/>
                        <a:ext cx="251061" cy="212018"/>
                      </a:xfrm>
                      <a:prstGeom prst="rect">
                        <a:avLst/>
                      </a:prstGeom>
                      <a:noFill/>
                      <a:ln w="9525" cmpd="sng">
                        <a:noFill/>
                      </a:ln>
                    </xdr:spPr>
                    <xdr:style>
                      <a:lnRef idx="0">
                        <a:scrgbClr r="0" g="0" b="0"/>
                      </a:lnRef>
                      <a:fillRef idx="0">
                        <a:scrgbClr r="0" g="0" b="0"/>
                      </a:fillRef>
                      <a:effectRef idx="0">
                        <a:scrgbClr r="0" g="0" b="0"/>
                      </a:effectRef>
                      <a:fontRef idx="minor">
                        <a:schemeClr val="dk1"/>
                      </a:fontRef>
                    </xdr:style>
                    <xdr:txBody>
                      <a:bodyPr vertOverflow="overflow" horzOverflow="overflow" wrap="none" rtlCol="0" anchor="b"/>
                      <a:lstStyle/>
                      <a:p>
                        <a:pPr algn="l"/>
                        <a:r>
                          <a:rPr lang="fr-FR" sz="900" baseline="0"/>
                          <a:t>t</a:t>
                        </a:r>
                        <a:r>
                          <a:rPr lang="fr-FR" sz="900" baseline="-25000"/>
                          <a:t>fi</a:t>
                        </a:r>
                      </a:p>
                    </xdr:txBody>
                  </xdr:sp>
                </xdr:grpSp>
              </xdr:grpSp>
            </xdr:grpSp>
            <xdr:sp macro="" textlink="">
              <xdr:nvSpPr>
                <xdr:cNvPr id="322" name="Ellipse 321">
                  <a:extLst>
                    <a:ext uri="{FF2B5EF4-FFF2-40B4-BE49-F238E27FC236}">
                      <a16:creationId xmlns:a16="http://schemas.microsoft.com/office/drawing/2014/main" id="{3E16A607-C345-EB2D-3A5C-9A4EF546A07D}"/>
                    </a:ext>
                  </a:extLst>
                </xdr:cNvPr>
                <xdr:cNvSpPr/>
              </xdr:nvSpPr>
              <xdr:spPr>
                <a:xfrm>
                  <a:off x="8569077" y="20151290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23" name="Ellipse 322">
                  <a:extLst>
                    <a:ext uri="{FF2B5EF4-FFF2-40B4-BE49-F238E27FC236}">
                      <a16:creationId xmlns:a16="http://schemas.microsoft.com/office/drawing/2014/main" id="{2C3E7E18-3C94-077C-83FB-E6312DC69F11}"/>
                    </a:ext>
                  </a:extLst>
                </xdr:cNvPr>
                <xdr:cNvSpPr/>
              </xdr:nvSpPr>
              <xdr:spPr>
                <a:xfrm>
                  <a:off x="8568583" y="19579790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324" name="Ellipse 323">
                  <a:extLst>
                    <a:ext uri="{FF2B5EF4-FFF2-40B4-BE49-F238E27FC236}">
                      <a16:creationId xmlns:a16="http://schemas.microsoft.com/office/drawing/2014/main" id="{FB16924F-59F7-A46C-743E-FC1BF2D7CAC2}"/>
                    </a:ext>
                  </a:extLst>
                </xdr:cNvPr>
                <xdr:cNvSpPr/>
              </xdr:nvSpPr>
              <xdr:spPr>
                <a:xfrm>
                  <a:off x="8568917" y="18961826"/>
                  <a:ext cx="35823" cy="36174"/>
                </a:xfrm>
                <a:prstGeom prst="ellipse">
                  <a:avLst/>
                </a:prstGeom>
                <a:solidFill>
                  <a:srgbClr val="C00000"/>
                </a:solidFill>
                <a:ln w="6350">
                  <a:solidFill>
                    <a:srgbClr val="C00000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</xdr:grpSp>
        <xdr:sp macro="" textlink="">
          <xdr:nvSpPr>
            <xdr:cNvPr id="315" name="Rectangle 314">
              <a:extLst>
                <a:ext uri="{FF2B5EF4-FFF2-40B4-BE49-F238E27FC236}">
                  <a16:creationId xmlns:a16="http://schemas.microsoft.com/office/drawing/2014/main" id="{70C9CD2E-1F75-7789-A728-ED724F65405B}"/>
                </a:ext>
              </a:extLst>
            </xdr:cNvPr>
            <xdr:cNvSpPr/>
          </xdr:nvSpPr>
          <xdr:spPr>
            <a:xfrm>
              <a:off x="4602695" y="16771600"/>
              <a:ext cx="36003" cy="1213200"/>
            </a:xfrm>
            <a:prstGeom prst="rect">
              <a:avLst/>
            </a:prstGeom>
            <a:solidFill>
              <a:schemeClr val="tx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104775</xdr:colOff>
      <xdr:row>4</xdr:row>
      <xdr:rowOff>35381</xdr:rowOff>
    </xdr:from>
    <xdr:to>
      <xdr:col>9</xdr:col>
      <xdr:colOff>676522</xdr:colOff>
      <xdr:row>9</xdr:row>
      <xdr:rowOff>16384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pSpPr>
          <a:grpSpLocks noChangeAspect="1"/>
        </xdr:cNvGrpSpPr>
      </xdr:nvGrpSpPr>
      <xdr:grpSpPr>
        <a:xfrm>
          <a:off x="4238625" y="797381"/>
          <a:ext cx="2000497" cy="933503"/>
          <a:chOff x="11623612" y="1189381"/>
          <a:chExt cx="3401753" cy="1577627"/>
        </a:xfrm>
      </xdr:grpSpPr>
      <xdr:cxnSp macro="">
        <xdr:nvCxnSpPr>
          <xdr:cNvPr id="3" name="Connecteur droit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CxnSpPr/>
        </xdr:nvCxnSpPr>
        <xdr:spPr>
          <a:xfrm>
            <a:off x="14751641" y="1309236"/>
            <a:ext cx="0" cy="1430082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500-000004000000}"/>
              </a:ext>
            </a:extLst>
          </xdr:cNvPr>
          <xdr:cNvSpPr/>
        </xdr:nvSpPr>
        <xdr:spPr>
          <a:xfrm>
            <a:off x="12980920" y="1954273"/>
            <a:ext cx="2044445" cy="117979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00000000-0008-0000-0500-000005000000}"/>
              </a:ext>
            </a:extLst>
          </xdr:cNvPr>
          <xdr:cNvSpPr/>
        </xdr:nvSpPr>
        <xdr:spPr>
          <a:xfrm>
            <a:off x="13169451" y="1620001"/>
            <a:ext cx="142876" cy="786522"/>
          </a:xfrm>
          <a:prstGeom prst="rect">
            <a:avLst/>
          </a:prstGeom>
          <a:solidFill>
            <a:schemeClr val="tx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6" name="Connecteur droit avec flèche 5">
            <a:extLst>
              <a:ext uri="{FF2B5EF4-FFF2-40B4-BE49-F238E27FC236}">
                <a16:creationId xmlns:a16="http://schemas.microsoft.com/office/drawing/2014/main" id="{00000000-0008-0000-0500-000006000000}"/>
              </a:ext>
            </a:extLst>
          </xdr:cNvPr>
          <xdr:cNvCxnSpPr/>
        </xdr:nvCxnSpPr>
        <xdr:spPr>
          <a:xfrm>
            <a:off x="13313104" y="2681985"/>
            <a:ext cx="144000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Connecteur droit 6">
            <a:extLst>
              <a:ext uri="{FF2B5EF4-FFF2-40B4-BE49-F238E27FC236}">
                <a16:creationId xmlns:a16="http://schemas.microsoft.com/office/drawing/2014/main" id="{00000000-0008-0000-0500-000007000000}"/>
              </a:ext>
            </a:extLst>
          </xdr:cNvPr>
          <xdr:cNvCxnSpPr/>
        </xdr:nvCxnSpPr>
        <xdr:spPr>
          <a:xfrm>
            <a:off x="13313107" y="2484091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00000000-0008-0000-0500-000008000000}"/>
              </a:ext>
            </a:extLst>
          </xdr:cNvPr>
          <xdr:cNvSpPr/>
        </xdr:nvSpPr>
        <xdr:spPr>
          <a:xfrm>
            <a:off x="12033297" y="1620002"/>
            <a:ext cx="792000" cy="786522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9" name="Ellipse 8">
            <a:extLst>
              <a:ext uri="{FF2B5EF4-FFF2-40B4-BE49-F238E27FC236}">
                <a16:creationId xmlns:a16="http://schemas.microsoft.com/office/drawing/2014/main" id="{00000000-0008-0000-0500-000009000000}"/>
              </a:ext>
            </a:extLst>
          </xdr:cNvPr>
          <xdr:cNvSpPr/>
        </xdr:nvSpPr>
        <xdr:spPr>
          <a:xfrm>
            <a:off x="12377397" y="1954273"/>
            <a:ext cx="118800" cy="117978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" name="Connecteur droit 9">
            <a:extLst>
              <a:ext uri="{FF2B5EF4-FFF2-40B4-BE49-F238E27FC236}">
                <a16:creationId xmlns:a16="http://schemas.microsoft.com/office/drawing/2014/main" id="{00000000-0008-0000-0500-00000A000000}"/>
              </a:ext>
            </a:extLst>
          </xdr:cNvPr>
          <xdr:cNvCxnSpPr/>
        </xdr:nvCxnSpPr>
        <xdr:spPr>
          <a:xfrm>
            <a:off x="12037275" y="2493226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Connecteur droit 10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CxnSpPr/>
        </xdr:nvCxnSpPr>
        <xdr:spPr>
          <a:xfrm>
            <a:off x="12818326" y="2482060"/>
            <a:ext cx="0" cy="273782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Connecteur droit avec flèche 11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CxnSpPr/>
        </xdr:nvCxnSpPr>
        <xdr:spPr>
          <a:xfrm>
            <a:off x="12027751" y="2686046"/>
            <a:ext cx="792000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Connecteur droit avec flèche 12">
            <a:extLst>
              <a:ext uri="{FF2B5EF4-FFF2-40B4-BE49-F238E27FC236}">
                <a16:creationId xmlns:a16="http://schemas.microsoft.com/office/drawing/2014/main" id="{00000000-0008-0000-0500-00000D000000}"/>
              </a:ext>
            </a:extLst>
          </xdr:cNvPr>
          <xdr:cNvCxnSpPr/>
        </xdr:nvCxnSpPr>
        <xdr:spPr>
          <a:xfrm>
            <a:off x="11880697" y="1619644"/>
            <a:ext cx="0" cy="786522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Connecteur droit 13">
            <a:extLst>
              <a:ext uri="{FF2B5EF4-FFF2-40B4-BE49-F238E27FC236}">
                <a16:creationId xmlns:a16="http://schemas.microsoft.com/office/drawing/2014/main" id="{00000000-0008-0000-0500-00000E000000}"/>
              </a:ext>
            </a:extLst>
          </xdr:cNvPr>
          <xdr:cNvCxnSpPr/>
        </xdr:nvCxnSpPr>
        <xdr:spPr>
          <a:xfrm>
            <a:off x="11780613" y="1619204"/>
            <a:ext cx="193094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Connecteur droit 14">
            <a:extLst>
              <a:ext uri="{FF2B5EF4-FFF2-40B4-BE49-F238E27FC236}">
                <a16:creationId xmlns:a16="http://schemas.microsoft.com/office/drawing/2014/main" id="{00000000-0008-0000-0500-00000F000000}"/>
              </a:ext>
            </a:extLst>
          </xdr:cNvPr>
          <xdr:cNvCxnSpPr/>
        </xdr:nvCxnSpPr>
        <xdr:spPr>
          <a:xfrm>
            <a:off x="11779683" y="2409987"/>
            <a:ext cx="193094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ZoneTexte 15">
            <a:extLst>
              <a:ext uri="{FF2B5EF4-FFF2-40B4-BE49-F238E27FC236}">
                <a16:creationId xmlns:a16="http://schemas.microsoft.com/office/drawing/2014/main" id="{00000000-0008-0000-0500-000010000000}"/>
              </a:ext>
            </a:extLst>
          </xdr:cNvPr>
          <xdr:cNvSpPr txBox="1"/>
        </xdr:nvSpPr>
        <xdr:spPr>
          <a:xfrm>
            <a:off x="13869463" y="2442708"/>
            <a:ext cx="437915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 </a:t>
            </a:r>
          </a:p>
        </xdr:txBody>
      </xdr:sp>
      <xdr:sp macro="" textlink="">
        <xdr:nvSpPr>
          <xdr:cNvPr id="17" name="ZoneTexte 16">
            <a:extLst>
              <a:ext uri="{FF2B5EF4-FFF2-40B4-BE49-F238E27FC236}">
                <a16:creationId xmlns:a16="http://schemas.microsoft.com/office/drawing/2014/main" id="{00000000-0008-0000-0500-000011000000}"/>
              </a:ext>
            </a:extLst>
          </xdr:cNvPr>
          <xdr:cNvSpPr txBox="1"/>
        </xdr:nvSpPr>
        <xdr:spPr>
          <a:xfrm>
            <a:off x="12183680" y="2430381"/>
            <a:ext cx="463811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r</a:t>
            </a:r>
          </a:p>
        </xdr:txBody>
      </xdr:sp>
      <xdr:sp macro="" textlink="">
        <xdr:nvSpPr>
          <xdr:cNvPr id="18" name="ZoneTexte 17">
            <a:extLst>
              <a:ext uri="{FF2B5EF4-FFF2-40B4-BE49-F238E27FC236}">
                <a16:creationId xmlns:a16="http://schemas.microsoft.com/office/drawing/2014/main" id="{00000000-0008-0000-0500-000012000000}"/>
              </a:ext>
            </a:extLst>
          </xdr:cNvPr>
          <xdr:cNvSpPr txBox="1"/>
        </xdr:nvSpPr>
        <xdr:spPr>
          <a:xfrm rot="16200000">
            <a:off x="11514725" y="1950892"/>
            <a:ext cx="445445" cy="2276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r</a:t>
            </a:r>
          </a:p>
        </xdr:txBody>
      </xdr:sp>
      <xdr:sp macro="" textlink="">
        <xdr:nvSpPr>
          <xdr:cNvPr id="19" name="ZoneTexte 18">
            <a:extLst>
              <a:ext uri="{FF2B5EF4-FFF2-40B4-BE49-F238E27FC236}">
                <a16:creationId xmlns:a16="http://schemas.microsoft.com/office/drawing/2014/main" id="{00000000-0008-0000-0500-000013000000}"/>
              </a:ext>
            </a:extLst>
          </xdr:cNvPr>
          <xdr:cNvSpPr txBox="1"/>
        </xdr:nvSpPr>
        <xdr:spPr>
          <a:xfrm>
            <a:off x="13286008" y="1189381"/>
            <a:ext cx="404125" cy="24870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t</a:t>
            </a:r>
            <a:r>
              <a:rPr lang="fr-FR" sz="1000" baseline="-25000"/>
              <a:t>pl</a:t>
            </a:r>
            <a:r>
              <a:rPr lang="fr-FR" sz="1000"/>
              <a:t> </a:t>
            </a:r>
          </a:p>
        </xdr:txBody>
      </xdr:sp>
      <xdr:cxnSp macro="">
        <xdr:nvCxnSpPr>
          <xdr:cNvPr id="20" name="Connecteur droit 19">
            <a:extLst>
              <a:ext uri="{FF2B5EF4-FFF2-40B4-BE49-F238E27FC236}">
                <a16:creationId xmlns:a16="http://schemas.microsoft.com/office/drawing/2014/main" id="{00000000-0008-0000-0500-000014000000}"/>
              </a:ext>
            </a:extLst>
          </xdr:cNvPr>
          <xdr:cNvCxnSpPr/>
        </xdr:nvCxnSpPr>
        <xdr:spPr>
          <a:xfrm>
            <a:off x="13162916" y="1415115"/>
            <a:ext cx="0" cy="164269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Connecteur droit 20">
            <a:extLst>
              <a:ext uri="{FF2B5EF4-FFF2-40B4-BE49-F238E27FC236}">
                <a16:creationId xmlns:a16="http://schemas.microsoft.com/office/drawing/2014/main" id="{00000000-0008-0000-0500-000015000000}"/>
              </a:ext>
            </a:extLst>
          </xdr:cNvPr>
          <xdr:cNvCxnSpPr/>
        </xdr:nvCxnSpPr>
        <xdr:spPr>
          <a:xfrm>
            <a:off x="13317175" y="1416130"/>
            <a:ext cx="0" cy="164269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" name="Connecteur droit 21">
            <a:extLst>
              <a:ext uri="{FF2B5EF4-FFF2-40B4-BE49-F238E27FC236}">
                <a16:creationId xmlns:a16="http://schemas.microsoft.com/office/drawing/2014/main" id="{00000000-0008-0000-0500-000016000000}"/>
              </a:ext>
            </a:extLst>
          </xdr:cNvPr>
          <xdr:cNvCxnSpPr/>
        </xdr:nvCxnSpPr>
        <xdr:spPr>
          <a:xfrm>
            <a:off x="13110876" y="1475553"/>
            <a:ext cx="540000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ZoneTexte 22">
            <a:extLst>
              <a:ext uri="{FF2B5EF4-FFF2-40B4-BE49-F238E27FC236}">
                <a16:creationId xmlns:a16="http://schemas.microsoft.com/office/drawing/2014/main" id="{00000000-0008-0000-0500-000017000000}"/>
              </a:ext>
            </a:extLst>
          </xdr:cNvPr>
          <xdr:cNvSpPr txBox="1"/>
        </xdr:nvSpPr>
        <xdr:spPr>
          <a:xfrm>
            <a:off x="12297250" y="1630799"/>
            <a:ext cx="433651" cy="2487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0</a:t>
            </a:r>
          </a:p>
        </xdr:txBody>
      </xdr:sp>
      <xdr:cxnSp macro="">
        <xdr:nvCxnSpPr>
          <xdr:cNvPr id="24" name="Connecteur droit 23">
            <a:extLst>
              <a:ext uri="{FF2B5EF4-FFF2-40B4-BE49-F238E27FC236}">
                <a16:creationId xmlns:a16="http://schemas.microsoft.com/office/drawing/2014/main" id="{00000000-0008-0000-0500-000018000000}"/>
              </a:ext>
            </a:extLst>
          </xdr:cNvPr>
          <xdr:cNvCxnSpPr/>
        </xdr:nvCxnSpPr>
        <xdr:spPr>
          <a:xfrm flipV="1">
            <a:off x="12309348" y="1857375"/>
            <a:ext cx="406527" cy="21780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174185</xdr:colOff>
      <xdr:row>3</xdr:row>
      <xdr:rowOff>122462</xdr:rowOff>
    </xdr:from>
    <xdr:to>
      <xdr:col>6</xdr:col>
      <xdr:colOff>589578</xdr:colOff>
      <xdr:row>8</xdr:row>
      <xdr:rowOff>182558</xdr:rowOff>
    </xdr:to>
    <xdr:grpSp>
      <xdr:nvGrpSpPr>
        <xdr:cNvPr id="25" name="Groupe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GrpSpPr>
          <a:grpSpLocks noChangeAspect="1"/>
        </xdr:cNvGrpSpPr>
      </xdr:nvGrpSpPr>
      <xdr:grpSpPr>
        <a:xfrm>
          <a:off x="2879285" y="693962"/>
          <a:ext cx="1129768" cy="1012596"/>
          <a:chOff x="12512636" y="6042219"/>
          <a:chExt cx="1847308" cy="1654565"/>
        </a:xfrm>
      </xdr:grpSpPr>
      <xdr:sp macro="" textlink="">
        <xdr:nvSpPr>
          <xdr:cNvPr id="26" name="Parenthèse fermante 25">
            <a:extLst>
              <a:ext uri="{FF2B5EF4-FFF2-40B4-BE49-F238E27FC236}">
                <a16:creationId xmlns:a16="http://schemas.microsoft.com/office/drawing/2014/main" id="{00000000-0008-0000-0500-00001A000000}"/>
              </a:ext>
            </a:extLst>
          </xdr:cNvPr>
          <xdr:cNvSpPr/>
        </xdr:nvSpPr>
        <xdr:spPr>
          <a:xfrm rot="16200000">
            <a:off x="13288837" y="6571995"/>
            <a:ext cx="869955" cy="908427"/>
          </a:xfrm>
          <a:prstGeom prst="rightBracket">
            <a:avLst>
              <a:gd name="adj" fmla="val 0"/>
            </a:avLst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7" name="Forme libre : forme 26">
            <a:extLst>
              <a:ext uri="{FF2B5EF4-FFF2-40B4-BE49-F238E27FC236}">
                <a16:creationId xmlns:a16="http://schemas.microsoft.com/office/drawing/2014/main" id="{00000000-0008-0000-0500-00001B000000}"/>
              </a:ext>
            </a:extLst>
          </xdr:cNvPr>
          <xdr:cNvSpPr/>
        </xdr:nvSpPr>
        <xdr:spPr>
          <a:xfrm>
            <a:off x="13274068" y="7462779"/>
            <a:ext cx="911973" cy="102460"/>
          </a:xfrm>
          <a:custGeom>
            <a:avLst/>
            <a:gdLst>
              <a:gd name="connsiteX0" fmla="*/ 0 w 726908"/>
              <a:gd name="connsiteY0" fmla="*/ 0 h 65180"/>
              <a:gd name="connsiteX1" fmla="*/ 300789 w 726908"/>
              <a:gd name="connsiteY1" fmla="*/ 65171 h 65180"/>
              <a:gd name="connsiteX2" fmla="*/ 536408 w 726908"/>
              <a:gd name="connsiteY2" fmla="*/ 5013 h 65180"/>
              <a:gd name="connsiteX3" fmla="*/ 726908 w 726908"/>
              <a:gd name="connsiteY3" fmla="*/ 10026 h 65180"/>
              <a:gd name="connsiteX4" fmla="*/ 726908 w 726908"/>
              <a:gd name="connsiteY4" fmla="*/ 10026 h 651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726908" h="65180">
                <a:moveTo>
                  <a:pt x="0" y="0"/>
                </a:moveTo>
                <a:cubicBezTo>
                  <a:pt x="105694" y="32168"/>
                  <a:pt x="211388" y="64336"/>
                  <a:pt x="300789" y="65171"/>
                </a:cubicBezTo>
                <a:cubicBezTo>
                  <a:pt x="390190" y="66006"/>
                  <a:pt x="465388" y="14204"/>
                  <a:pt x="536408" y="5013"/>
                </a:cubicBezTo>
                <a:cubicBezTo>
                  <a:pt x="607428" y="-4178"/>
                  <a:pt x="726908" y="10026"/>
                  <a:pt x="726908" y="10026"/>
                </a:cubicBezTo>
                <a:lnTo>
                  <a:pt x="726908" y="10026"/>
                </a:lnTo>
              </a:path>
            </a:pathLst>
          </a:custGeom>
          <a:noFill/>
          <a:ln w="9525">
            <a:solidFill>
              <a:schemeClr val="tx1"/>
            </a:solidFill>
            <a:prstDash val="lg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8" name="Demi-cadre 27">
            <a:extLst>
              <a:ext uri="{FF2B5EF4-FFF2-40B4-BE49-F238E27FC236}">
                <a16:creationId xmlns:a16="http://schemas.microsoft.com/office/drawing/2014/main" id="{00000000-0008-0000-0500-00001C000000}"/>
              </a:ext>
            </a:extLst>
          </xdr:cNvPr>
          <xdr:cNvSpPr/>
        </xdr:nvSpPr>
        <xdr:spPr>
          <a:xfrm>
            <a:off x="13056056" y="6447592"/>
            <a:ext cx="1274297" cy="1197700"/>
          </a:xfrm>
          <a:prstGeom prst="halfFrame">
            <a:avLst>
              <a:gd name="adj1" fmla="val 0"/>
              <a:gd name="adj2" fmla="val 0"/>
            </a:avLst>
          </a:prstGeom>
          <a:ln w="28575">
            <a:solidFill>
              <a:schemeClr val="accent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>
              <a:solidFill>
                <a:schemeClr val="tx1"/>
              </a:solidFill>
            </a:endParaRPr>
          </a:p>
        </xdr:txBody>
      </xdr:sp>
      <xdr:sp macro="" textlink="">
        <xdr:nvSpPr>
          <xdr:cNvPr id="29" name="Ellipse 28">
            <a:extLst>
              <a:ext uri="{FF2B5EF4-FFF2-40B4-BE49-F238E27FC236}">
                <a16:creationId xmlns:a16="http://schemas.microsoft.com/office/drawing/2014/main" id="{00000000-0008-0000-0500-00001D000000}"/>
              </a:ext>
            </a:extLst>
          </xdr:cNvPr>
          <xdr:cNvSpPr/>
        </xdr:nvSpPr>
        <xdr:spPr>
          <a:xfrm>
            <a:off x="13440234" y="6776418"/>
            <a:ext cx="108000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0" name="Ellipse 29">
            <a:extLst>
              <a:ext uri="{FF2B5EF4-FFF2-40B4-BE49-F238E27FC236}">
                <a16:creationId xmlns:a16="http://schemas.microsoft.com/office/drawing/2014/main" id="{00000000-0008-0000-0500-00001E000000}"/>
              </a:ext>
            </a:extLst>
          </xdr:cNvPr>
          <xdr:cNvSpPr/>
        </xdr:nvSpPr>
        <xdr:spPr>
          <a:xfrm>
            <a:off x="13440234" y="7242523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1" name="Ellipse 30">
            <a:extLst>
              <a:ext uri="{FF2B5EF4-FFF2-40B4-BE49-F238E27FC236}">
                <a16:creationId xmlns:a16="http://schemas.microsoft.com/office/drawing/2014/main" id="{00000000-0008-0000-0500-00001F000000}"/>
              </a:ext>
            </a:extLst>
          </xdr:cNvPr>
          <xdr:cNvSpPr/>
        </xdr:nvSpPr>
        <xdr:spPr>
          <a:xfrm>
            <a:off x="13897782" y="6776418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2" name="Ellipse 31">
            <a:extLst>
              <a:ext uri="{FF2B5EF4-FFF2-40B4-BE49-F238E27FC236}">
                <a16:creationId xmlns:a16="http://schemas.microsoft.com/office/drawing/2014/main" id="{00000000-0008-0000-0500-000020000000}"/>
              </a:ext>
            </a:extLst>
          </xdr:cNvPr>
          <xdr:cNvSpPr/>
        </xdr:nvSpPr>
        <xdr:spPr>
          <a:xfrm>
            <a:off x="13897782" y="7242523"/>
            <a:ext cx="108001" cy="108263"/>
          </a:xfrm>
          <a:prstGeom prst="ellipse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3" name="Forme libre : forme 32">
            <a:extLst>
              <a:ext uri="{FF2B5EF4-FFF2-40B4-BE49-F238E27FC236}">
                <a16:creationId xmlns:a16="http://schemas.microsoft.com/office/drawing/2014/main" id="{00000000-0008-0000-0500-000021000000}"/>
              </a:ext>
            </a:extLst>
          </xdr:cNvPr>
          <xdr:cNvSpPr/>
        </xdr:nvSpPr>
        <xdr:spPr>
          <a:xfrm>
            <a:off x="14341944" y="6444421"/>
            <a:ext cx="18000" cy="360877"/>
          </a:xfrm>
          <a:custGeom>
            <a:avLst/>
            <a:gdLst>
              <a:gd name="connsiteX0" fmla="*/ 4242 w 40738"/>
              <a:gd name="connsiteY0" fmla="*/ 0 h 543128"/>
              <a:gd name="connsiteX1" fmla="*/ 40721 w 40738"/>
              <a:gd name="connsiteY1" fmla="*/ 190500 h 543128"/>
              <a:gd name="connsiteX2" fmla="*/ 189 w 40738"/>
              <a:gd name="connsiteY2" fmla="*/ 368841 h 543128"/>
              <a:gd name="connsiteX3" fmla="*/ 24508 w 40738"/>
              <a:gd name="connsiteY3" fmla="*/ 543128 h 543128"/>
              <a:gd name="connsiteX4" fmla="*/ 24508 w 40738"/>
              <a:gd name="connsiteY4" fmla="*/ 543128 h 54312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40738" h="543128">
                <a:moveTo>
                  <a:pt x="4242" y="0"/>
                </a:moveTo>
                <a:cubicBezTo>
                  <a:pt x="22819" y="64513"/>
                  <a:pt x="41396" y="129027"/>
                  <a:pt x="40721" y="190500"/>
                </a:cubicBezTo>
                <a:cubicBezTo>
                  <a:pt x="40046" y="251973"/>
                  <a:pt x="2891" y="310070"/>
                  <a:pt x="189" y="368841"/>
                </a:cubicBezTo>
                <a:cubicBezTo>
                  <a:pt x="-2513" y="427612"/>
                  <a:pt x="24508" y="543128"/>
                  <a:pt x="24508" y="543128"/>
                </a:cubicBezTo>
                <a:lnTo>
                  <a:pt x="24508" y="543128"/>
                </a:lnTo>
              </a:path>
            </a:pathLst>
          </a:custGeom>
          <a:noFill/>
          <a:ln>
            <a:solidFill>
              <a:schemeClr val="accent1"/>
            </a:solidFill>
            <a:prstDash val="lg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34" name="Forme libre : forme 33">
            <a:extLst>
              <a:ext uri="{FF2B5EF4-FFF2-40B4-BE49-F238E27FC236}">
                <a16:creationId xmlns:a16="http://schemas.microsoft.com/office/drawing/2014/main" id="{00000000-0008-0000-0500-000022000000}"/>
              </a:ext>
            </a:extLst>
          </xdr:cNvPr>
          <xdr:cNvSpPr/>
        </xdr:nvSpPr>
        <xdr:spPr>
          <a:xfrm>
            <a:off x="13067548" y="7667913"/>
            <a:ext cx="396000" cy="28871"/>
          </a:xfrm>
          <a:custGeom>
            <a:avLst/>
            <a:gdLst>
              <a:gd name="connsiteX0" fmla="*/ 0 w 583660"/>
              <a:gd name="connsiteY0" fmla="*/ 0 h 44762"/>
              <a:gd name="connsiteX1" fmla="*/ 202660 w 583660"/>
              <a:gd name="connsiteY1" fmla="*/ 44585 h 44762"/>
              <a:gd name="connsiteX2" fmla="*/ 409372 w 583660"/>
              <a:gd name="connsiteY2" fmla="*/ 16213 h 44762"/>
              <a:gd name="connsiteX3" fmla="*/ 583660 w 583660"/>
              <a:gd name="connsiteY3" fmla="*/ 32426 h 44762"/>
              <a:gd name="connsiteX4" fmla="*/ 583660 w 583660"/>
              <a:gd name="connsiteY4" fmla="*/ 32426 h 447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83660" h="44762">
                <a:moveTo>
                  <a:pt x="0" y="0"/>
                </a:moveTo>
                <a:cubicBezTo>
                  <a:pt x="67215" y="20941"/>
                  <a:pt x="134431" y="41883"/>
                  <a:pt x="202660" y="44585"/>
                </a:cubicBezTo>
                <a:cubicBezTo>
                  <a:pt x="270889" y="47287"/>
                  <a:pt x="345872" y="18240"/>
                  <a:pt x="409372" y="16213"/>
                </a:cubicBezTo>
                <a:cubicBezTo>
                  <a:pt x="472872" y="14187"/>
                  <a:pt x="583660" y="32426"/>
                  <a:pt x="583660" y="32426"/>
                </a:cubicBezTo>
                <a:lnTo>
                  <a:pt x="583660" y="32426"/>
                </a:lnTo>
              </a:path>
            </a:pathLst>
          </a:custGeom>
          <a:noFill/>
          <a:ln>
            <a:solidFill>
              <a:schemeClr val="accent1"/>
            </a:solidFill>
            <a:prstDash val="dashDot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35" name="Connecteur droit avec flèche 34">
            <a:extLst>
              <a:ext uri="{FF2B5EF4-FFF2-40B4-BE49-F238E27FC236}">
                <a16:creationId xmlns:a16="http://schemas.microsoft.com/office/drawing/2014/main" id="{00000000-0008-0000-0500-000023000000}"/>
              </a:ext>
            </a:extLst>
          </xdr:cNvPr>
          <xdr:cNvCxnSpPr/>
        </xdr:nvCxnSpPr>
        <xdr:spPr>
          <a:xfrm>
            <a:off x="13485556" y="6261767"/>
            <a:ext cx="475962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Connecteur droit 35">
            <a:extLst>
              <a:ext uri="{FF2B5EF4-FFF2-40B4-BE49-F238E27FC236}">
                <a16:creationId xmlns:a16="http://schemas.microsoft.com/office/drawing/2014/main" id="{00000000-0008-0000-0500-000024000000}"/>
              </a:ext>
            </a:extLst>
          </xdr:cNvPr>
          <xdr:cNvCxnSpPr/>
        </xdr:nvCxnSpPr>
        <xdr:spPr>
          <a:xfrm>
            <a:off x="13053938" y="6191217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Connecteur droit 36">
            <a:extLst>
              <a:ext uri="{FF2B5EF4-FFF2-40B4-BE49-F238E27FC236}">
                <a16:creationId xmlns:a16="http://schemas.microsoft.com/office/drawing/2014/main" id="{00000000-0008-0000-0500-000025000000}"/>
              </a:ext>
            </a:extLst>
          </xdr:cNvPr>
          <xdr:cNvCxnSpPr/>
        </xdr:nvCxnSpPr>
        <xdr:spPr>
          <a:xfrm>
            <a:off x="13483814" y="6191217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Connecteur droit 37">
            <a:extLst>
              <a:ext uri="{FF2B5EF4-FFF2-40B4-BE49-F238E27FC236}">
                <a16:creationId xmlns:a16="http://schemas.microsoft.com/office/drawing/2014/main" id="{00000000-0008-0000-0500-000026000000}"/>
              </a:ext>
            </a:extLst>
          </xdr:cNvPr>
          <xdr:cNvCxnSpPr/>
        </xdr:nvCxnSpPr>
        <xdr:spPr>
          <a:xfrm>
            <a:off x="13970360" y="6189514"/>
            <a:ext cx="0" cy="17647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Connecteur droit avec flèche 38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CxnSpPr/>
        </xdr:nvCxnSpPr>
        <xdr:spPr>
          <a:xfrm>
            <a:off x="12868377" y="6438994"/>
            <a:ext cx="0" cy="384565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0" name="Connecteur droit 39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CxnSpPr/>
        </xdr:nvCxnSpPr>
        <xdr:spPr>
          <a:xfrm>
            <a:off x="12796997" y="6438587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1" name="Connecteur droit 40">
            <a:extLst>
              <a:ext uri="{FF2B5EF4-FFF2-40B4-BE49-F238E27FC236}">
                <a16:creationId xmlns:a16="http://schemas.microsoft.com/office/drawing/2014/main" id="{00000000-0008-0000-0500-000029000000}"/>
              </a:ext>
            </a:extLst>
          </xdr:cNvPr>
          <xdr:cNvCxnSpPr/>
        </xdr:nvCxnSpPr>
        <xdr:spPr>
          <a:xfrm>
            <a:off x="12796997" y="6824258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2" name="Connecteur droit avec flèche 41">
            <a:extLst>
              <a:ext uri="{FF2B5EF4-FFF2-40B4-BE49-F238E27FC236}">
                <a16:creationId xmlns:a16="http://schemas.microsoft.com/office/drawing/2014/main" id="{00000000-0008-0000-0500-00002A000000}"/>
              </a:ext>
            </a:extLst>
          </xdr:cNvPr>
          <xdr:cNvCxnSpPr/>
        </xdr:nvCxnSpPr>
        <xdr:spPr>
          <a:xfrm>
            <a:off x="12870221" y="6810631"/>
            <a:ext cx="8110" cy="498487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Connecteur droit 42">
            <a:extLst>
              <a:ext uri="{FF2B5EF4-FFF2-40B4-BE49-F238E27FC236}">
                <a16:creationId xmlns:a16="http://schemas.microsoft.com/office/drawing/2014/main" id="{00000000-0008-0000-0500-00002B000000}"/>
              </a:ext>
            </a:extLst>
          </xdr:cNvPr>
          <xdr:cNvCxnSpPr/>
        </xdr:nvCxnSpPr>
        <xdr:spPr>
          <a:xfrm>
            <a:off x="12798840" y="7304126"/>
            <a:ext cx="17680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4" name="Connecteur droit avec flèche 43">
            <a:extLst>
              <a:ext uri="{FF2B5EF4-FFF2-40B4-BE49-F238E27FC236}">
                <a16:creationId xmlns:a16="http://schemas.microsoft.com/office/drawing/2014/main" id="{00000000-0008-0000-0500-00002C000000}"/>
              </a:ext>
            </a:extLst>
          </xdr:cNvPr>
          <xdr:cNvCxnSpPr/>
        </xdr:nvCxnSpPr>
        <xdr:spPr>
          <a:xfrm>
            <a:off x="13047455" y="6261765"/>
            <a:ext cx="437006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5" name="ZoneTexte 44">
            <a:extLst>
              <a:ext uri="{FF2B5EF4-FFF2-40B4-BE49-F238E27FC236}">
                <a16:creationId xmlns:a16="http://schemas.microsoft.com/office/drawing/2014/main" id="{00000000-0008-0000-0500-00002D000000}"/>
              </a:ext>
            </a:extLst>
          </xdr:cNvPr>
          <xdr:cNvSpPr txBox="1"/>
        </xdr:nvSpPr>
        <xdr:spPr>
          <a:xfrm>
            <a:off x="13575870" y="6042222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1000"/>
              <a:t>p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46" name="ZoneTexte 45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 txBox="1"/>
        </xdr:nvSpPr>
        <xdr:spPr>
          <a:xfrm>
            <a:off x="12512636" y="6892647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p</a:t>
            </a:r>
            <a:r>
              <a:rPr lang="fr-FR" sz="1000" baseline="-25000"/>
              <a:t>1</a:t>
            </a:r>
          </a:p>
        </xdr:txBody>
      </xdr:sp>
      <xdr:sp macro="" textlink="">
        <xdr:nvSpPr>
          <xdr:cNvPr id="47" name="ZoneTexte 46">
            <a:extLst>
              <a:ext uri="{FF2B5EF4-FFF2-40B4-BE49-F238E27FC236}">
                <a16:creationId xmlns:a16="http://schemas.microsoft.com/office/drawing/2014/main" id="{00000000-0008-0000-0500-00002F000000}"/>
              </a:ext>
            </a:extLst>
          </xdr:cNvPr>
          <xdr:cNvSpPr txBox="1"/>
        </xdr:nvSpPr>
        <xdr:spPr>
          <a:xfrm>
            <a:off x="13056217" y="6042219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b"/>
          <a:lstStyle/>
          <a:p>
            <a:pPr algn="l"/>
            <a:r>
              <a:rPr lang="fr-FR" sz="1000"/>
              <a:t>C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48" name="ZoneTexte 47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SpPr txBox="1"/>
        </xdr:nvSpPr>
        <xdr:spPr>
          <a:xfrm>
            <a:off x="12512636" y="6491636"/>
            <a:ext cx="267157" cy="24356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C</a:t>
            </a:r>
            <a:r>
              <a:rPr lang="fr-FR" sz="1000" baseline="-25000"/>
              <a:t>1</a:t>
            </a:r>
          </a:p>
        </xdr:txBody>
      </xdr:sp>
    </xdr:grpSp>
    <xdr:clientData/>
  </xdr:twoCellAnchor>
  <xdr:twoCellAnchor>
    <xdr:from>
      <xdr:col>7</xdr:col>
      <xdr:colOff>257180</xdr:colOff>
      <xdr:row>90</xdr:row>
      <xdr:rowOff>111581</xdr:rowOff>
    </xdr:from>
    <xdr:to>
      <xdr:col>8</xdr:col>
      <xdr:colOff>634910</xdr:colOff>
      <xdr:row>94</xdr:row>
      <xdr:rowOff>114300</xdr:rowOff>
    </xdr:to>
    <xdr:grpSp>
      <xdr:nvGrpSpPr>
        <xdr:cNvPr id="51" name="Groupe 50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GrpSpPr>
          <a:grpSpLocks noChangeAspect="1"/>
        </xdr:cNvGrpSpPr>
      </xdr:nvGrpSpPr>
      <xdr:grpSpPr>
        <a:xfrm>
          <a:off x="4391030" y="16494581"/>
          <a:ext cx="1092105" cy="764719"/>
          <a:chOff x="2791280" y="1553688"/>
          <a:chExt cx="1606035" cy="1020265"/>
        </a:xfrm>
      </xdr:grpSpPr>
      <xdr:sp macro="" textlink="">
        <xdr:nvSpPr>
          <xdr:cNvPr id="52" name="Rectangle 51">
            <a:extLst>
              <a:ext uri="{FF2B5EF4-FFF2-40B4-BE49-F238E27FC236}">
                <a16:creationId xmlns:a16="http://schemas.microsoft.com/office/drawing/2014/main" id="{00000000-0008-0000-0500-000034000000}"/>
              </a:ext>
            </a:extLst>
          </xdr:cNvPr>
          <xdr:cNvSpPr/>
        </xdr:nvSpPr>
        <xdr:spPr>
          <a:xfrm>
            <a:off x="3509978" y="1989338"/>
            <a:ext cx="875090" cy="164776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53" name="Rectangle 52">
            <a:extLst>
              <a:ext uri="{FF2B5EF4-FFF2-40B4-BE49-F238E27FC236}">
                <a16:creationId xmlns:a16="http://schemas.microsoft.com/office/drawing/2014/main" id="{00000000-0008-0000-0500-000035000000}"/>
              </a:ext>
            </a:extLst>
          </xdr:cNvPr>
          <xdr:cNvSpPr/>
        </xdr:nvSpPr>
        <xdr:spPr>
          <a:xfrm>
            <a:off x="3398454" y="1906950"/>
            <a:ext cx="108000" cy="329552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54" name="Connecteur droit avec flèche 53">
            <a:extLst>
              <a:ext uri="{FF2B5EF4-FFF2-40B4-BE49-F238E27FC236}">
                <a16:creationId xmlns:a16="http://schemas.microsoft.com/office/drawing/2014/main" id="{00000000-0008-0000-0500-000036000000}"/>
              </a:ext>
            </a:extLst>
          </xdr:cNvPr>
          <xdr:cNvCxnSpPr/>
        </xdr:nvCxnSpPr>
        <xdr:spPr>
          <a:xfrm flipV="1">
            <a:off x="3389027" y="2471860"/>
            <a:ext cx="1008288" cy="345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Connecteur droit 54">
            <a:extLst>
              <a:ext uri="{FF2B5EF4-FFF2-40B4-BE49-F238E27FC236}">
                <a16:creationId xmlns:a16="http://schemas.microsoft.com/office/drawing/2014/main" id="{00000000-0008-0000-0500-000037000000}"/>
              </a:ext>
            </a:extLst>
          </xdr:cNvPr>
          <xdr:cNvCxnSpPr/>
        </xdr:nvCxnSpPr>
        <xdr:spPr>
          <a:xfrm>
            <a:off x="3389028" y="2271487"/>
            <a:ext cx="0" cy="29809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6" name="Connecteur droit 55">
            <a:extLst>
              <a:ext uri="{FF2B5EF4-FFF2-40B4-BE49-F238E27FC236}">
                <a16:creationId xmlns:a16="http://schemas.microsoft.com/office/drawing/2014/main" id="{00000000-0008-0000-0500-000038000000}"/>
              </a:ext>
            </a:extLst>
          </xdr:cNvPr>
          <xdr:cNvCxnSpPr/>
        </xdr:nvCxnSpPr>
        <xdr:spPr>
          <a:xfrm>
            <a:off x="4059247" y="1834712"/>
            <a:ext cx="0" cy="36000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7" name="Connecteur droit 56">
            <a:extLst>
              <a:ext uri="{FF2B5EF4-FFF2-40B4-BE49-F238E27FC236}">
                <a16:creationId xmlns:a16="http://schemas.microsoft.com/office/drawing/2014/main" id="{00000000-0008-0000-0500-000039000000}"/>
              </a:ext>
            </a:extLst>
          </xdr:cNvPr>
          <xdr:cNvCxnSpPr/>
        </xdr:nvCxnSpPr>
        <xdr:spPr>
          <a:xfrm>
            <a:off x="4395343" y="2275858"/>
            <a:ext cx="0" cy="29809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8" name="Connecteur droit avec flèche 57">
            <a:extLst>
              <a:ext uri="{FF2B5EF4-FFF2-40B4-BE49-F238E27FC236}">
                <a16:creationId xmlns:a16="http://schemas.microsoft.com/office/drawing/2014/main" id="{00000000-0008-0000-0500-00003A000000}"/>
              </a:ext>
            </a:extLst>
          </xdr:cNvPr>
          <xdr:cNvCxnSpPr/>
        </xdr:nvCxnSpPr>
        <xdr:spPr>
          <a:xfrm>
            <a:off x="3150215" y="1903510"/>
            <a:ext cx="0" cy="3432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Connecteur droit 58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CxnSpPr/>
        </xdr:nvCxnSpPr>
        <xdr:spPr>
          <a:xfrm>
            <a:off x="3077036" y="1899994"/>
            <a:ext cx="288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0" name="Connecteur droit 59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CxnSpPr/>
        </xdr:nvCxnSpPr>
        <xdr:spPr>
          <a:xfrm>
            <a:off x="3076106" y="2244119"/>
            <a:ext cx="288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ZoneTexte 60">
            <a:extLst>
              <a:ext uri="{FF2B5EF4-FFF2-40B4-BE49-F238E27FC236}">
                <a16:creationId xmlns:a16="http://schemas.microsoft.com/office/drawing/2014/main" id="{00000000-0008-0000-0500-00003D000000}"/>
              </a:ext>
            </a:extLst>
          </xdr:cNvPr>
          <xdr:cNvSpPr txBox="1"/>
        </xdr:nvSpPr>
        <xdr:spPr>
          <a:xfrm>
            <a:off x="3689170" y="2243031"/>
            <a:ext cx="271114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62" name="ZoneTexte 61">
            <a:extLst>
              <a:ext uri="{FF2B5EF4-FFF2-40B4-BE49-F238E27FC236}">
                <a16:creationId xmlns:a16="http://schemas.microsoft.com/office/drawing/2014/main" id="{00000000-0008-0000-0500-00003E000000}"/>
              </a:ext>
            </a:extLst>
          </xdr:cNvPr>
          <xdr:cNvSpPr txBox="1"/>
        </xdr:nvSpPr>
        <xdr:spPr>
          <a:xfrm>
            <a:off x="3992964" y="1689516"/>
            <a:ext cx="298096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1</a:t>
            </a:r>
            <a:endParaRPr lang="fr-FR" sz="1000"/>
          </a:p>
        </xdr:txBody>
      </xdr:sp>
      <xdr:sp macro="" textlink="">
        <xdr:nvSpPr>
          <xdr:cNvPr id="63" name="ZoneTexte 62">
            <a:extLst>
              <a:ext uri="{FF2B5EF4-FFF2-40B4-BE49-F238E27FC236}">
                <a16:creationId xmlns:a16="http://schemas.microsoft.com/office/drawing/2014/main" id="{00000000-0008-0000-0500-00003F000000}"/>
              </a:ext>
            </a:extLst>
          </xdr:cNvPr>
          <xdr:cNvSpPr txBox="1"/>
        </xdr:nvSpPr>
        <xdr:spPr>
          <a:xfrm>
            <a:off x="2791280" y="1932332"/>
            <a:ext cx="297748" cy="20833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5</a:t>
            </a:r>
          </a:p>
        </xdr:txBody>
      </xdr:sp>
      <xdr:sp macro="" textlink="">
        <xdr:nvSpPr>
          <xdr:cNvPr id="64" name="ZoneTexte 63">
            <a:extLst>
              <a:ext uri="{FF2B5EF4-FFF2-40B4-BE49-F238E27FC236}">
                <a16:creationId xmlns:a16="http://schemas.microsoft.com/office/drawing/2014/main" id="{00000000-0008-0000-0500-000040000000}"/>
              </a:ext>
            </a:extLst>
          </xdr:cNvPr>
          <xdr:cNvSpPr txBox="1"/>
        </xdr:nvSpPr>
        <xdr:spPr>
          <a:xfrm>
            <a:off x="3424259" y="1553688"/>
            <a:ext cx="293648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k</a:t>
            </a:r>
          </a:p>
        </xdr:txBody>
      </xdr:sp>
      <xdr:cxnSp macro="">
        <xdr:nvCxnSpPr>
          <xdr:cNvPr id="65" name="Connecteur droit 64">
            <a:extLst>
              <a:ext uri="{FF2B5EF4-FFF2-40B4-BE49-F238E27FC236}">
                <a16:creationId xmlns:a16="http://schemas.microsoft.com/office/drawing/2014/main" id="{00000000-0008-0000-0500-000041000000}"/>
              </a:ext>
            </a:extLst>
          </xdr:cNvPr>
          <xdr:cNvCxnSpPr/>
        </xdr:nvCxnSpPr>
        <xdr:spPr>
          <a:xfrm>
            <a:off x="3391920" y="1731045"/>
            <a:ext cx="0" cy="131771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6" name="Connecteur droit 65">
            <a:extLst>
              <a:ext uri="{FF2B5EF4-FFF2-40B4-BE49-F238E27FC236}">
                <a16:creationId xmlns:a16="http://schemas.microsoft.com/office/drawing/2014/main" id="{00000000-0008-0000-0500-000042000000}"/>
              </a:ext>
            </a:extLst>
          </xdr:cNvPr>
          <xdr:cNvCxnSpPr/>
        </xdr:nvCxnSpPr>
        <xdr:spPr>
          <a:xfrm>
            <a:off x="3515561" y="1731983"/>
            <a:ext cx="0" cy="131771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7" name="Connecteur droit 66">
            <a:extLst>
              <a:ext uri="{FF2B5EF4-FFF2-40B4-BE49-F238E27FC236}">
                <a16:creationId xmlns:a16="http://schemas.microsoft.com/office/drawing/2014/main" id="{00000000-0008-0000-0500-000043000000}"/>
              </a:ext>
            </a:extLst>
          </xdr:cNvPr>
          <xdr:cNvCxnSpPr/>
        </xdr:nvCxnSpPr>
        <xdr:spPr>
          <a:xfrm>
            <a:off x="3339879" y="1765523"/>
            <a:ext cx="265036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 editAs="oneCell">
    <xdr:from>
      <xdr:col>2</xdr:col>
      <xdr:colOff>238125</xdr:colOff>
      <xdr:row>11</xdr:row>
      <xdr:rowOff>0</xdr:rowOff>
    </xdr:from>
    <xdr:to>
      <xdr:col>4</xdr:col>
      <xdr:colOff>0</xdr:colOff>
      <xdr:row>12</xdr:row>
      <xdr:rowOff>85686</xdr:rowOff>
    </xdr:to>
    <xdr:pic>
      <xdr:nvPicPr>
        <xdr:cNvPr id="82" name="Image 81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0955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552450</xdr:colOff>
      <xdr:row>11</xdr:row>
      <xdr:rowOff>19050</xdr:rowOff>
    </xdr:from>
    <xdr:to>
      <xdr:col>7</xdr:col>
      <xdr:colOff>381000</xdr:colOff>
      <xdr:row>11</xdr:row>
      <xdr:rowOff>171450</xdr:rowOff>
    </xdr:to>
    <xdr:pic>
      <xdr:nvPicPr>
        <xdr:cNvPr id="83" name="Image 82">
          <a:extLst>
            <a:ext uri="{FF2B5EF4-FFF2-40B4-BE49-F238E27FC236}">
              <a16:creationId xmlns:a16="http://schemas.microsoft.com/office/drawing/2014/main" id="{00000000-0008-0000-05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114550"/>
          <a:ext cx="5429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685938</xdr:colOff>
      <xdr:row>13</xdr:row>
      <xdr:rowOff>180975</xdr:rowOff>
    </xdr:from>
    <xdr:to>
      <xdr:col>6</xdr:col>
      <xdr:colOff>9387</xdr:colOff>
      <xdr:row>15</xdr:row>
      <xdr:rowOff>142832</xdr:rowOff>
    </xdr:to>
    <xdr:pic>
      <xdr:nvPicPr>
        <xdr:cNvPr id="86" name="Image 85">
          <a:extLst>
            <a:ext uri="{FF2B5EF4-FFF2-40B4-BE49-F238E27FC236}">
              <a16:creationId xmlns:a16="http://schemas.microsoft.com/office/drawing/2014/main" id="{00000000-0008-0000-0500-00005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47913" y="2657475"/>
          <a:ext cx="2180949" cy="3428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16</xdr:row>
      <xdr:rowOff>38100</xdr:rowOff>
    </xdr:from>
    <xdr:to>
      <xdr:col>5</xdr:col>
      <xdr:colOff>685800</xdr:colOff>
      <xdr:row>17</xdr:row>
      <xdr:rowOff>0</xdr:rowOff>
    </xdr:to>
    <xdr:pic>
      <xdr:nvPicPr>
        <xdr:cNvPr id="87" name="Image 86">
          <a:extLst>
            <a:ext uri="{FF2B5EF4-FFF2-40B4-BE49-F238E27FC236}">
              <a16:creationId xmlns:a16="http://schemas.microsoft.com/office/drawing/2014/main" id="{00000000-0008-0000-05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3086100"/>
          <a:ext cx="16002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21</xdr:row>
      <xdr:rowOff>171450</xdr:rowOff>
    </xdr:from>
    <xdr:to>
      <xdr:col>4</xdr:col>
      <xdr:colOff>19050</xdr:colOff>
      <xdr:row>23</xdr:row>
      <xdr:rowOff>104736</xdr:rowOff>
    </xdr:to>
    <xdr:pic>
      <xdr:nvPicPr>
        <xdr:cNvPr id="88" name="Image 87">
          <a:extLst>
            <a:ext uri="{FF2B5EF4-FFF2-40B4-BE49-F238E27FC236}">
              <a16:creationId xmlns:a16="http://schemas.microsoft.com/office/drawing/2014/main" id="{00000000-0008-0000-05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4171950"/>
          <a:ext cx="1114425" cy="314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24</xdr:row>
      <xdr:rowOff>28575</xdr:rowOff>
    </xdr:from>
    <xdr:to>
      <xdr:col>6</xdr:col>
      <xdr:colOff>0</xdr:colOff>
      <xdr:row>25</xdr:row>
      <xdr:rowOff>0</xdr:rowOff>
    </xdr:to>
    <xdr:pic>
      <xdr:nvPicPr>
        <xdr:cNvPr id="89" name="Image 88">
          <a:extLst>
            <a:ext uri="{FF2B5EF4-FFF2-40B4-BE49-F238E27FC236}">
              <a16:creationId xmlns:a16="http://schemas.microsoft.com/office/drawing/2014/main" id="{00000000-0008-0000-05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4600575"/>
          <a:ext cx="1628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27</xdr:row>
      <xdr:rowOff>140392</xdr:rowOff>
    </xdr:from>
    <xdr:to>
      <xdr:col>3</xdr:col>
      <xdr:colOff>704850</xdr:colOff>
      <xdr:row>29</xdr:row>
      <xdr:rowOff>57980</xdr:rowOff>
    </xdr:to>
    <xdr:pic>
      <xdr:nvPicPr>
        <xdr:cNvPr id="90" name="Image 89">
          <a:extLst>
            <a:ext uri="{FF2B5EF4-FFF2-40B4-BE49-F238E27FC236}">
              <a16:creationId xmlns:a16="http://schemas.microsoft.com/office/drawing/2014/main" id="{00000000-0008-0000-05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5283892"/>
          <a:ext cx="855180" cy="29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30</xdr:row>
      <xdr:rowOff>171450</xdr:rowOff>
    </xdr:from>
    <xdr:to>
      <xdr:col>5</xdr:col>
      <xdr:colOff>704850</xdr:colOff>
      <xdr:row>32</xdr:row>
      <xdr:rowOff>47625</xdr:rowOff>
    </xdr:to>
    <xdr:pic>
      <xdr:nvPicPr>
        <xdr:cNvPr id="94" name="Image 93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5886450"/>
          <a:ext cx="2171700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588587</xdr:colOff>
      <xdr:row>35</xdr:row>
      <xdr:rowOff>14699</xdr:rowOff>
    </xdr:from>
    <xdr:to>
      <xdr:col>8</xdr:col>
      <xdr:colOff>679976</xdr:colOff>
      <xdr:row>38</xdr:row>
      <xdr:rowOff>182066</xdr:rowOff>
    </xdr:to>
    <xdr:grpSp>
      <xdr:nvGrpSpPr>
        <xdr:cNvPr id="80" name="Groupe 79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GrpSpPr>
          <a:grpSpLocks noChangeAspect="1"/>
        </xdr:cNvGrpSpPr>
      </xdr:nvGrpSpPr>
      <xdr:grpSpPr>
        <a:xfrm>
          <a:off x="4008062" y="6682199"/>
          <a:ext cx="1520139" cy="738867"/>
          <a:chOff x="9635409" y="6043607"/>
          <a:chExt cx="1692609" cy="820962"/>
        </a:xfrm>
      </xdr:grpSpPr>
      <xdr:sp macro="" textlink="">
        <xdr:nvSpPr>
          <xdr:cNvPr id="189" name="Arc plein 188">
            <a:extLst>
              <a:ext uri="{FF2B5EF4-FFF2-40B4-BE49-F238E27FC236}">
                <a16:creationId xmlns:a16="http://schemas.microsoft.com/office/drawing/2014/main" id="{00000000-0008-0000-0500-0000BD000000}"/>
              </a:ext>
            </a:extLst>
          </xdr:cNvPr>
          <xdr:cNvSpPr/>
        </xdr:nvSpPr>
        <xdr:spPr>
          <a:xfrm rot="16200000">
            <a:off x="9754046" y="6333654"/>
            <a:ext cx="504000" cy="504000"/>
          </a:xfrm>
          <a:prstGeom prst="blockArc">
            <a:avLst>
              <a:gd name="adj1" fmla="val 10800000"/>
              <a:gd name="adj2" fmla="val 21403156"/>
              <a:gd name="adj3" fmla="val 14287"/>
            </a:avLst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fr-FR"/>
          </a:p>
        </xdr:txBody>
      </xdr:sp>
      <xdr:cxnSp macro="">
        <xdr:nvCxnSpPr>
          <xdr:cNvPr id="85" name="Connecteur droit 84">
            <a:extLst>
              <a:ext uri="{FF2B5EF4-FFF2-40B4-BE49-F238E27FC236}">
                <a16:creationId xmlns:a16="http://schemas.microsoft.com/office/drawing/2014/main" id="{00000000-0008-0000-0500-000055000000}"/>
              </a:ext>
            </a:extLst>
          </xdr:cNvPr>
          <xdr:cNvCxnSpPr/>
        </xdr:nvCxnSpPr>
        <xdr:spPr>
          <a:xfrm>
            <a:off x="11148982" y="6086475"/>
            <a:ext cx="0" cy="778094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1" name="Rectangle 90">
            <a:extLst>
              <a:ext uri="{FF2B5EF4-FFF2-40B4-BE49-F238E27FC236}">
                <a16:creationId xmlns:a16="http://schemas.microsoft.com/office/drawing/2014/main" id="{00000000-0008-0000-0500-00005B000000}"/>
              </a:ext>
            </a:extLst>
          </xdr:cNvPr>
          <xdr:cNvSpPr/>
        </xdr:nvSpPr>
        <xdr:spPr>
          <a:xfrm>
            <a:off x="9988290" y="6330374"/>
            <a:ext cx="1339728" cy="77566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92" name="Rectangle 91">
            <a:extLst>
              <a:ext uri="{FF2B5EF4-FFF2-40B4-BE49-F238E27FC236}">
                <a16:creationId xmlns:a16="http://schemas.microsoft.com/office/drawing/2014/main" id="{00000000-0008-0000-0500-00005C000000}"/>
              </a:ext>
            </a:extLst>
          </xdr:cNvPr>
          <xdr:cNvSpPr/>
        </xdr:nvSpPr>
        <xdr:spPr>
          <a:xfrm>
            <a:off x="9950180" y="6344217"/>
            <a:ext cx="54000" cy="54000"/>
          </a:xfrm>
          <a:prstGeom prst="rect">
            <a:avLst/>
          </a:prstGeom>
          <a:solidFill>
            <a:schemeClr val="bg1"/>
          </a:solidFill>
          <a:ln w="190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93" name="Connecteur droit avec flèche 92">
            <a:extLst>
              <a:ext uri="{FF2B5EF4-FFF2-40B4-BE49-F238E27FC236}">
                <a16:creationId xmlns:a16="http://schemas.microsoft.com/office/drawing/2014/main" id="{00000000-0008-0000-0500-00005D000000}"/>
              </a:ext>
            </a:extLst>
          </xdr:cNvPr>
          <xdr:cNvCxnSpPr/>
        </xdr:nvCxnSpPr>
        <xdr:spPr>
          <a:xfrm>
            <a:off x="9986211" y="6212072"/>
            <a:ext cx="116372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5" name="Connecteur droit 94">
            <a:extLst>
              <a:ext uri="{FF2B5EF4-FFF2-40B4-BE49-F238E27FC236}">
                <a16:creationId xmlns:a16="http://schemas.microsoft.com/office/drawing/2014/main" id="{00000000-0008-0000-0500-00005F000000}"/>
              </a:ext>
            </a:extLst>
          </xdr:cNvPr>
          <xdr:cNvCxnSpPr/>
        </xdr:nvCxnSpPr>
        <xdr:spPr>
          <a:xfrm>
            <a:off x="9986490" y="6116732"/>
            <a:ext cx="0" cy="63000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6" name="Rectangle 95">
            <a:extLst>
              <a:ext uri="{FF2B5EF4-FFF2-40B4-BE49-F238E27FC236}">
                <a16:creationId xmlns:a16="http://schemas.microsoft.com/office/drawing/2014/main" id="{00000000-0008-0000-0500-000060000000}"/>
              </a:ext>
            </a:extLst>
          </xdr:cNvPr>
          <xdr:cNvSpPr/>
        </xdr:nvSpPr>
        <xdr:spPr>
          <a:xfrm>
            <a:off x="10006649" y="6762887"/>
            <a:ext cx="180000" cy="76000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98" name="Connecteur droit 97">
            <a:extLst>
              <a:ext uri="{FF2B5EF4-FFF2-40B4-BE49-F238E27FC236}">
                <a16:creationId xmlns:a16="http://schemas.microsoft.com/office/drawing/2014/main" id="{00000000-0008-0000-0500-000062000000}"/>
              </a:ext>
            </a:extLst>
          </xdr:cNvPr>
          <xdr:cNvCxnSpPr/>
        </xdr:nvCxnSpPr>
        <xdr:spPr>
          <a:xfrm>
            <a:off x="10637901" y="6294188"/>
            <a:ext cx="0" cy="258552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0" name="Connecteur droit avec flèche 99">
            <a:extLst>
              <a:ext uri="{FF2B5EF4-FFF2-40B4-BE49-F238E27FC236}">
                <a16:creationId xmlns:a16="http://schemas.microsoft.com/office/drawing/2014/main" id="{00000000-0008-0000-0500-000064000000}"/>
              </a:ext>
            </a:extLst>
          </xdr:cNvPr>
          <xdr:cNvCxnSpPr/>
        </xdr:nvCxnSpPr>
        <xdr:spPr>
          <a:xfrm>
            <a:off x="10193521" y="6631543"/>
            <a:ext cx="0" cy="108000"/>
          </a:xfrm>
          <a:prstGeom prst="straightConnector1">
            <a:avLst/>
          </a:prstGeom>
          <a:ln w="9525">
            <a:solidFill>
              <a:srgbClr val="C00000"/>
            </a:solidFill>
            <a:headEnd type="none" w="sm" len="lg"/>
            <a:tailEnd type="non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1" name="Connecteur droit avec flèche 100">
            <a:extLst>
              <a:ext uri="{FF2B5EF4-FFF2-40B4-BE49-F238E27FC236}">
                <a16:creationId xmlns:a16="http://schemas.microsoft.com/office/drawing/2014/main" id="{00000000-0008-0000-0500-000065000000}"/>
              </a:ext>
            </a:extLst>
          </xdr:cNvPr>
          <xdr:cNvCxnSpPr/>
        </xdr:nvCxnSpPr>
        <xdr:spPr>
          <a:xfrm>
            <a:off x="9801971" y="6462795"/>
            <a:ext cx="180000" cy="12600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2" name="Connecteur droit 101">
            <a:extLst>
              <a:ext uri="{FF2B5EF4-FFF2-40B4-BE49-F238E27FC236}">
                <a16:creationId xmlns:a16="http://schemas.microsoft.com/office/drawing/2014/main" id="{00000000-0008-0000-0500-000066000000}"/>
              </a:ext>
            </a:extLst>
          </xdr:cNvPr>
          <xdr:cNvCxnSpPr/>
        </xdr:nvCxnSpPr>
        <xdr:spPr>
          <a:xfrm>
            <a:off x="9685421" y="6382939"/>
            <a:ext cx="305841" cy="214089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3" name="Connecteur droit 102">
            <a:extLst>
              <a:ext uri="{FF2B5EF4-FFF2-40B4-BE49-F238E27FC236}">
                <a16:creationId xmlns:a16="http://schemas.microsoft.com/office/drawing/2014/main" id="{00000000-0008-0000-0500-000067000000}"/>
              </a:ext>
            </a:extLst>
          </xdr:cNvPr>
          <xdr:cNvCxnSpPr/>
        </xdr:nvCxnSpPr>
        <xdr:spPr>
          <a:xfrm>
            <a:off x="9959044" y="6684838"/>
            <a:ext cx="459804" cy="0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" name="ZoneTexte 103">
            <a:extLst>
              <a:ext uri="{FF2B5EF4-FFF2-40B4-BE49-F238E27FC236}">
                <a16:creationId xmlns:a16="http://schemas.microsoft.com/office/drawing/2014/main" id="{00000000-0008-0000-0500-000068000000}"/>
              </a:ext>
            </a:extLst>
          </xdr:cNvPr>
          <xdr:cNvSpPr txBox="1"/>
        </xdr:nvSpPr>
        <xdr:spPr>
          <a:xfrm>
            <a:off x="10282804" y="6043607"/>
            <a:ext cx="625514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1</a:t>
            </a:r>
          </a:p>
        </xdr:txBody>
      </xdr:sp>
      <xdr:sp macro="" textlink="">
        <xdr:nvSpPr>
          <xdr:cNvPr id="105" name="ZoneTexte 104">
            <a:extLst>
              <a:ext uri="{FF2B5EF4-FFF2-40B4-BE49-F238E27FC236}">
                <a16:creationId xmlns:a16="http://schemas.microsoft.com/office/drawing/2014/main" id="{00000000-0008-0000-0500-000069000000}"/>
              </a:ext>
            </a:extLst>
          </xdr:cNvPr>
          <xdr:cNvSpPr txBox="1"/>
        </xdr:nvSpPr>
        <xdr:spPr>
          <a:xfrm>
            <a:off x="10184367" y="6509265"/>
            <a:ext cx="625514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r>
              <a:rPr lang="fr-FR" sz="1000" baseline="-25000"/>
              <a:t>2</a:t>
            </a:r>
          </a:p>
        </xdr:txBody>
      </xdr:sp>
      <xdr:sp macro="" textlink="">
        <xdr:nvSpPr>
          <xdr:cNvPr id="106" name="ZoneTexte 105">
            <a:extLst>
              <a:ext uri="{FF2B5EF4-FFF2-40B4-BE49-F238E27FC236}">
                <a16:creationId xmlns:a16="http://schemas.microsoft.com/office/drawing/2014/main" id="{00000000-0008-0000-0500-00006A000000}"/>
              </a:ext>
            </a:extLst>
          </xdr:cNvPr>
          <xdr:cNvSpPr txBox="1"/>
        </xdr:nvSpPr>
        <xdr:spPr>
          <a:xfrm>
            <a:off x="9635409" y="6219008"/>
            <a:ext cx="219961" cy="21888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r</a:t>
            </a:r>
            <a:endParaRPr lang="fr-FR" sz="1000" baseline="-25000"/>
          </a:p>
        </xdr:txBody>
      </xdr:sp>
      <xdr:sp macro="" textlink="">
        <xdr:nvSpPr>
          <xdr:cNvPr id="111" name="ZoneTexte 110">
            <a:extLst>
              <a:ext uri="{FF2B5EF4-FFF2-40B4-BE49-F238E27FC236}">
                <a16:creationId xmlns:a16="http://schemas.microsoft.com/office/drawing/2014/main" id="{00000000-0008-0000-0500-00006F000000}"/>
              </a:ext>
            </a:extLst>
          </xdr:cNvPr>
          <xdr:cNvSpPr txBox="1"/>
        </xdr:nvSpPr>
        <xdr:spPr>
          <a:xfrm>
            <a:off x="10588869" y="6423864"/>
            <a:ext cx="625512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r>
              <a:rPr lang="fr-FR" sz="1000" baseline="-25000"/>
              <a:t>0</a:t>
            </a:r>
          </a:p>
        </xdr:txBody>
      </xdr:sp>
      <xdr:sp macro="" textlink="">
        <xdr:nvSpPr>
          <xdr:cNvPr id="190" name="Rectangle 189">
            <a:extLst>
              <a:ext uri="{FF2B5EF4-FFF2-40B4-BE49-F238E27FC236}">
                <a16:creationId xmlns:a16="http://schemas.microsoft.com/office/drawing/2014/main" id="{00000000-0008-0000-0500-0000BE000000}"/>
              </a:ext>
            </a:extLst>
          </xdr:cNvPr>
          <xdr:cNvSpPr/>
        </xdr:nvSpPr>
        <xdr:spPr>
          <a:xfrm>
            <a:off x="9977186" y="6772275"/>
            <a:ext cx="54000" cy="57600"/>
          </a:xfrm>
          <a:prstGeom prst="rect">
            <a:avLst/>
          </a:prstGeom>
          <a:solidFill>
            <a:schemeClr val="bg1"/>
          </a:solidFill>
          <a:ln w="190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oneCellAnchor>
    <xdr:from>
      <xdr:col>2</xdr:col>
      <xdr:colOff>238125</xdr:colOff>
      <xdr:row>40</xdr:row>
      <xdr:rowOff>0</xdr:rowOff>
    </xdr:from>
    <xdr:ext cx="1190625" cy="276186"/>
    <xdr:pic>
      <xdr:nvPicPr>
        <xdr:cNvPr id="155" name="Image 154">
          <a:extLst>
            <a:ext uri="{FF2B5EF4-FFF2-40B4-BE49-F238E27FC236}">
              <a16:creationId xmlns:a16="http://schemas.microsoft.com/office/drawing/2014/main" id="{00000000-0008-0000-05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6200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552450</xdr:colOff>
      <xdr:row>40</xdr:row>
      <xdr:rowOff>19050</xdr:rowOff>
    </xdr:from>
    <xdr:to>
      <xdr:col>7</xdr:col>
      <xdr:colOff>381000</xdr:colOff>
      <xdr:row>40</xdr:row>
      <xdr:rowOff>171450</xdr:rowOff>
    </xdr:to>
    <xdr:pic>
      <xdr:nvPicPr>
        <xdr:cNvPr id="156" name="Image 155">
          <a:extLst>
            <a:ext uri="{FF2B5EF4-FFF2-40B4-BE49-F238E27FC236}">
              <a16:creationId xmlns:a16="http://schemas.microsoft.com/office/drawing/2014/main" id="{00000000-0008-0000-05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7639050"/>
          <a:ext cx="542925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49</xdr:row>
      <xdr:rowOff>171450</xdr:rowOff>
    </xdr:from>
    <xdr:to>
      <xdr:col>4</xdr:col>
      <xdr:colOff>19050</xdr:colOff>
      <xdr:row>51</xdr:row>
      <xdr:rowOff>91109</xdr:rowOff>
    </xdr:to>
    <xdr:pic>
      <xdr:nvPicPr>
        <xdr:cNvPr id="159" name="Image 158">
          <a:extLst>
            <a:ext uri="{FF2B5EF4-FFF2-40B4-BE49-F238E27FC236}">
              <a16:creationId xmlns:a16="http://schemas.microsoft.com/office/drawing/2014/main" id="{00000000-0008-0000-05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592" y="9505950"/>
          <a:ext cx="1110284" cy="300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52</xdr:row>
      <xdr:rowOff>28575</xdr:rowOff>
    </xdr:from>
    <xdr:to>
      <xdr:col>6</xdr:col>
      <xdr:colOff>0</xdr:colOff>
      <xdr:row>53</xdr:row>
      <xdr:rowOff>0</xdr:rowOff>
    </xdr:to>
    <xdr:pic>
      <xdr:nvPicPr>
        <xdr:cNvPr id="160" name="Image 159">
          <a:extLst>
            <a:ext uri="{FF2B5EF4-FFF2-40B4-BE49-F238E27FC236}">
              <a16:creationId xmlns:a16="http://schemas.microsoft.com/office/drawing/2014/main" id="{00000000-0008-0000-05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9934575"/>
          <a:ext cx="162877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55</xdr:row>
      <xdr:rowOff>148675</xdr:rowOff>
    </xdr:from>
    <xdr:to>
      <xdr:col>3</xdr:col>
      <xdr:colOff>704850</xdr:colOff>
      <xdr:row>57</xdr:row>
      <xdr:rowOff>66263</xdr:rowOff>
    </xdr:to>
    <xdr:pic>
      <xdr:nvPicPr>
        <xdr:cNvPr id="161" name="Image 160">
          <a:extLst>
            <a:ext uri="{FF2B5EF4-FFF2-40B4-BE49-F238E27FC236}">
              <a16:creationId xmlns:a16="http://schemas.microsoft.com/office/drawing/2014/main" id="{00000000-0008-0000-05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10626175"/>
          <a:ext cx="855180" cy="298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58</xdr:row>
      <xdr:rowOff>171450</xdr:rowOff>
    </xdr:from>
    <xdr:to>
      <xdr:col>5</xdr:col>
      <xdr:colOff>704850</xdr:colOff>
      <xdr:row>60</xdr:row>
      <xdr:rowOff>47625</xdr:rowOff>
    </xdr:to>
    <xdr:pic>
      <xdr:nvPicPr>
        <xdr:cNvPr id="162" name="Image 161">
          <a:extLst>
            <a:ext uri="{FF2B5EF4-FFF2-40B4-BE49-F238E27FC236}">
              <a16:creationId xmlns:a16="http://schemas.microsoft.com/office/drawing/2014/main" id="{00000000-0008-0000-05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11220450"/>
          <a:ext cx="2171700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238125</xdr:colOff>
      <xdr:row>115</xdr:row>
      <xdr:rowOff>142875</xdr:rowOff>
    </xdr:from>
    <xdr:to>
      <xdr:col>8</xdr:col>
      <xdr:colOff>185084</xdr:colOff>
      <xdr:row>119</xdr:row>
      <xdr:rowOff>55831</xdr:rowOff>
    </xdr:to>
    <xdr:grpSp>
      <xdr:nvGrpSpPr>
        <xdr:cNvPr id="49" name="Groupe 48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GrpSpPr>
          <a:grpSpLocks noChangeAspect="1"/>
        </xdr:cNvGrpSpPr>
      </xdr:nvGrpSpPr>
      <xdr:grpSpPr>
        <a:xfrm>
          <a:off x="4371975" y="21097875"/>
          <a:ext cx="661334" cy="674956"/>
          <a:chOff x="11363325" y="5114925"/>
          <a:chExt cx="661334" cy="674956"/>
        </a:xfrm>
      </xdr:grpSpPr>
      <xdr:sp macro="" textlink="">
        <xdr:nvSpPr>
          <xdr:cNvPr id="107" name="Forme libre : forme 106">
            <a:extLst>
              <a:ext uri="{FF2B5EF4-FFF2-40B4-BE49-F238E27FC236}">
                <a16:creationId xmlns:a16="http://schemas.microsoft.com/office/drawing/2014/main" id="{00000000-0008-0000-0500-00006B000000}"/>
              </a:ext>
            </a:extLst>
          </xdr:cNvPr>
          <xdr:cNvSpPr>
            <a:spLocks noChangeAspect="1"/>
          </xdr:cNvSpPr>
        </xdr:nvSpPr>
        <xdr:spPr>
          <a:xfrm>
            <a:off x="11363325" y="5143500"/>
            <a:ext cx="476251" cy="457201"/>
          </a:xfrm>
          <a:custGeom>
            <a:avLst/>
            <a:gdLst/>
            <a:ahLst/>
            <a:cxnLst/>
            <a:rect l="0" t="0" r="0" b="0"/>
            <a:pathLst>
              <a:path w="952501" h="914401">
                <a:moveTo>
                  <a:pt x="0" y="0"/>
                </a:moveTo>
                <a:lnTo>
                  <a:pt x="952500" y="0"/>
                </a:lnTo>
                <a:lnTo>
                  <a:pt x="952500" y="76200"/>
                </a:lnTo>
                <a:lnTo>
                  <a:pt x="614363" y="76200"/>
                </a:lnTo>
                <a:lnTo>
                  <a:pt x="557213" y="91513"/>
                </a:lnTo>
                <a:lnTo>
                  <a:pt x="515376" y="133350"/>
                </a:lnTo>
                <a:lnTo>
                  <a:pt x="500063" y="190500"/>
                </a:lnTo>
                <a:lnTo>
                  <a:pt x="500063" y="723900"/>
                </a:lnTo>
                <a:lnTo>
                  <a:pt x="515376" y="781050"/>
                </a:lnTo>
                <a:lnTo>
                  <a:pt x="557213" y="822887"/>
                </a:lnTo>
                <a:lnTo>
                  <a:pt x="614363" y="838200"/>
                </a:lnTo>
                <a:lnTo>
                  <a:pt x="952500" y="838200"/>
                </a:lnTo>
                <a:lnTo>
                  <a:pt x="952500" y="914400"/>
                </a:lnTo>
                <a:lnTo>
                  <a:pt x="0" y="914400"/>
                </a:lnTo>
                <a:lnTo>
                  <a:pt x="0" y="838200"/>
                </a:lnTo>
                <a:lnTo>
                  <a:pt x="338138" y="838200"/>
                </a:lnTo>
                <a:lnTo>
                  <a:pt x="395288" y="822887"/>
                </a:lnTo>
                <a:lnTo>
                  <a:pt x="437124" y="781050"/>
                </a:lnTo>
                <a:lnTo>
                  <a:pt x="452438" y="723900"/>
                </a:lnTo>
                <a:lnTo>
                  <a:pt x="452438" y="190500"/>
                </a:lnTo>
                <a:lnTo>
                  <a:pt x="437124" y="133350"/>
                </a:lnTo>
                <a:lnTo>
                  <a:pt x="395288" y="91513"/>
                </a:lnTo>
                <a:lnTo>
                  <a:pt x="338138" y="76200"/>
                </a:lnTo>
                <a:lnTo>
                  <a:pt x="0" y="76200"/>
                </a:lnTo>
                <a:close/>
              </a:path>
            </a:pathLst>
          </a:custGeom>
          <a:solidFill>
            <a:schemeClr val="tx1"/>
          </a:solidFill>
          <a:ln w="12700" cap="flat" cmpd="sng" algn="ctr">
            <a:solidFill>
              <a:schemeClr val="tx1"/>
            </a:solidFill>
            <a:prstDash val="solid"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09" name="Connecteur droit avec flèche 108">
            <a:extLst>
              <a:ext uri="{FF2B5EF4-FFF2-40B4-BE49-F238E27FC236}">
                <a16:creationId xmlns:a16="http://schemas.microsoft.com/office/drawing/2014/main" id="{00000000-0008-0000-0500-00006D000000}"/>
              </a:ext>
            </a:extLst>
          </xdr:cNvPr>
          <xdr:cNvCxnSpPr/>
        </xdr:nvCxnSpPr>
        <xdr:spPr>
          <a:xfrm>
            <a:off x="11601450" y="5377156"/>
            <a:ext cx="401924" cy="0"/>
          </a:xfrm>
          <a:prstGeom prst="straightConnector1">
            <a:avLst/>
          </a:prstGeom>
          <a:ln w="3175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ZoneTexte 109">
            <a:extLst>
              <a:ext uri="{FF2B5EF4-FFF2-40B4-BE49-F238E27FC236}">
                <a16:creationId xmlns:a16="http://schemas.microsoft.com/office/drawing/2014/main" id="{00000000-0008-0000-0500-00006E000000}"/>
              </a:ext>
            </a:extLst>
          </xdr:cNvPr>
          <xdr:cNvSpPr txBox="1"/>
        </xdr:nvSpPr>
        <xdr:spPr>
          <a:xfrm>
            <a:off x="11587010" y="5600700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z,Ed</a:t>
            </a:r>
          </a:p>
        </xdr:txBody>
      </xdr:sp>
      <xdr:cxnSp macro="">
        <xdr:nvCxnSpPr>
          <xdr:cNvPr id="112" name="Connecteur droit avec flèche 111">
            <a:extLst>
              <a:ext uri="{FF2B5EF4-FFF2-40B4-BE49-F238E27FC236}">
                <a16:creationId xmlns:a16="http://schemas.microsoft.com/office/drawing/2014/main" id="{00000000-0008-0000-0500-000070000000}"/>
              </a:ext>
            </a:extLst>
          </xdr:cNvPr>
          <xdr:cNvCxnSpPr/>
        </xdr:nvCxnSpPr>
        <xdr:spPr>
          <a:xfrm>
            <a:off x="11610975" y="5386681"/>
            <a:ext cx="0" cy="403200"/>
          </a:xfrm>
          <a:prstGeom prst="straightConnector1">
            <a:avLst/>
          </a:prstGeom>
          <a:ln w="31750">
            <a:solidFill>
              <a:srgbClr val="00B05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3" name="ZoneTexte 112">
            <a:extLst>
              <a:ext uri="{FF2B5EF4-FFF2-40B4-BE49-F238E27FC236}">
                <a16:creationId xmlns:a16="http://schemas.microsoft.com/office/drawing/2014/main" id="{00000000-0008-0000-0500-000071000000}"/>
              </a:ext>
            </a:extLst>
          </xdr:cNvPr>
          <xdr:cNvSpPr txBox="1"/>
        </xdr:nvSpPr>
        <xdr:spPr>
          <a:xfrm>
            <a:off x="11767985" y="5114925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y,Ed</a:t>
            </a:r>
          </a:p>
        </xdr:txBody>
      </xdr:sp>
    </xdr:grpSp>
    <xdr:clientData/>
  </xdr:twoCellAnchor>
  <xdr:twoCellAnchor>
    <xdr:from>
      <xdr:col>7</xdr:col>
      <xdr:colOff>238125</xdr:colOff>
      <xdr:row>151</xdr:row>
      <xdr:rowOff>152400</xdr:rowOff>
    </xdr:from>
    <xdr:to>
      <xdr:col>8</xdr:col>
      <xdr:colOff>166034</xdr:colOff>
      <xdr:row>155</xdr:row>
      <xdr:rowOff>65356</xdr:rowOff>
    </xdr:to>
    <xdr:grpSp>
      <xdr:nvGrpSpPr>
        <xdr:cNvPr id="76" name="Groupe 75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GrpSpPr/>
      </xdr:nvGrpSpPr>
      <xdr:grpSpPr>
        <a:xfrm>
          <a:off x="4371975" y="27965400"/>
          <a:ext cx="642284" cy="674956"/>
          <a:chOff x="4524375" y="17087850"/>
          <a:chExt cx="642284" cy="674956"/>
        </a:xfrm>
      </xdr:grpSpPr>
      <xdr:sp macro="" textlink="">
        <xdr:nvSpPr>
          <xdr:cNvPr id="50" name="Croix 49">
            <a:extLst>
              <a:ext uri="{FF2B5EF4-FFF2-40B4-BE49-F238E27FC236}">
                <a16:creationId xmlns:a16="http://schemas.microsoft.com/office/drawing/2014/main" id="{00000000-0008-0000-0500-000032000000}"/>
              </a:ext>
            </a:extLst>
          </xdr:cNvPr>
          <xdr:cNvSpPr/>
        </xdr:nvSpPr>
        <xdr:spPr>
          <a:xfrm>
            <a:off x="4524375" y="17125950"/>
            <a:ext cx="457200" cy="457200"/>
          </a:xfrm>
          <a:prstGeom prst="plus">
            <a:avLst>
              <a:gd name="adj" fmla="val 43750"/>
            </a:avLst>
          </a:prstGeom>
          <a:solidFill>
            <a:schemeClr val="tx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116" name="Connecteur droit avec flèche 115">
            <a:extLst>
              <a:ext uri="{FF2B5EF4-FFF2-40B4-BE49-F238E27FC236}">
                <a16:creationId xmlns:a16="http://schemas.microsoft.com/office/drawing/2014/main" id="{00000000-0008-0000-0500-000074000000}"/>
              </a:ext>
            </a:extLst>
          </xdr:cNvPr>
          <xdr:cNvCxnSpPr/>
        </xdr:nvCxnSpPr>
        <xdr:spPr>
          <a:xfrm>
            <a:off x="4743450" y="17350081"/>
            <a:ext cx="401924" cy="0"/>
          </a:xfrm>
          <a:prstGeom prst="straightConnector1">
            <a:avLst/>
          </a:prstGeom>
          <a:ln w="31750">
            <a:solidFill>
              <a:srgbClr val="0070C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7" name="ZoneTexte 116">
            <a:extLst>
              <a:ext uri="{FF2B5EF4-FFF2-40B4-BE49-F238E27FC236}">
                <a16:creationId xmlns:a16="http://schemas.microsoft.com/office/drawing/2014/main" id="{00000000-0008-0000-0500-000075000000}"/>
              </a:ext>
            </a:extLst>
          </xdr:cNvPr>
          <xdr:cNvSpPr txBox="1"/>
        </xdr:nvSpPr>
        <xdr:spPr>
          <a:xfrm>
            <a:off x="4729010" y="17573625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z,Ed</a:t>
            </a:r>
          </a:p>
        </xdr:txBody>
      </xdr:sp>
      <xdr:cxnSp macro="">
        <xdr:nvCxnSpPr>
          <xdr:cNvPr id="118" name="Connecteur droit avec flèche 117">
            <a:extLst>
              <a:ext uri="{FF2B5EF4-FFF2-40B4-BE49-F238E27FC236}">
                <a16:creationId xmlns:a16="http://schemas.microsoft.com/office/drawing/2014/main" id="{00000000-0008-0000-0500-000076000000}"/>
              </a:ext>
            </a:extLst>
          </xdr:cNvPr>
          <xdr:cNvCxnSpPr/>
        </xdr:nvCxnSpPr>
        <xdr:spPr>
          <a:xfrm>
            <a:off x="4752975" y="17359606"/>
            <a:ext cx="0" cy="403200"/>
          </a:xfrm>
          <a:prstGeom prst="straightConnector1">
            <a:avLst/>
          </a:prstGeom>
          <a:ln w="31750">
            <a:solidFill>
              <a:srgbClr val="00B05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9" name="ZoneTexte 118">
            <a:extLst>
              <a:ext uri="{FF2B5EF4-FFF2-40B4-BE49-F238E27FC236}">
                <a16:creationId xmlns:a16="http://schemas.microsoft.com/office/drawing/2014/main" id="{00000000-0008-0000-0500-000077000000}"/>
              </a:ext>
            </a:extLst>
          </xdr:cNvPr>
          <xdr:cNvSpPr txBox="1"/>
        </xdr:nvSpPr>
        <xdr:spPr>
          <a:xfrm>
            <a:off x="4909985" y="17087850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y,Ed</a:t>
            </a:r>
          </a:p>
        </xdr:txBody>
      </xdr:sp>
    </xdr:grpSp>
    <xdr:clientData/>
  </xdr:twoCellAnchor>
  <xdr:twoCellAnchor>
    <xdr:from>
      <xdr:col>3</xdr:col>
      <xdr:colOff>9525</xdr:colOff>
      <xdr:row>100</xdr:row>
      <xdr:rowOff>142876</xdr:rowOff>
    </xdr:from>
    <xdr:to>
      <xdr:col>4</xdr:col>
      <xdr:colOff>0</xdr:colOff>
      <xdr:row>102</xdr:row>
      <xdr:rowOff>47584</xdr:rowOff>
    </xdr:to>
    <xdr:pic>
      <xdr:nvPicPr>
        <xdr:cNvPr id="120" name="Image 119">
          <a:extLst>
            <a:ext uri="{FF2B5EF4-FFF2-40B4-BE49-F238E27FC236}">
              <a16:creationId xmlns:a16="http://schemas.microsoft.com/office/drawing/2014/main" id="{00000000-0008-0000-05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13858876"/>
          <a:ext cx="704850" cy="2857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485775</xdr:colOff>
      <xdr:row>104</xdr:row>
      <xdr:rowOff>2</xdr:rowOff>
    </xdr:from>
    <xdr:to>
      <xdr:col>4</xdr:col>
      <xdr:colOff>0</xdr:colOff>
      <xdr:row>105</xdr:row>
      <xdr:rowOff>47583</xdr:rowOff>
    </xdr:to>
    <xdr:pic>
      <xdr:nvPicPr>
        <xdr:cNvPr id="121" name="Image 120">
          <a:extLst>
            <a:ext uri="{FF2B5EF4-FFF2-40B4-BE49-F238E27FC236}">
              <a16:creationId xmlns:a16="http://schemas.microsoft.com/office/drawing/2014/main" id="{00000000-0008-0000-05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14382752"/>
          <a:ext cx="942975" cy="238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533400</xdr:colOff>
      <xdr:row>105</xdr:row>
      <xdr:rowOff>142875</xdr:rowOff>
    </xdr:from>
    <xdr:to>
      <xdr:col>5</xdr:col>
      <xdr:colOff>704537</xdr:colOff>
      <xdr:row>107</xdr:row>
      <xdr:rowOff>38100</xdr:rowOff>
    </xdr:to>
    <xdr:pic>
      <xdr:nvPicPr>
        <xdr:cNvPr id="122" name="Image 121">
          <a:extLst>
            <a:ext uri="{FF2B5EF4-FFF2-40B4-BE49-F238E27FC236}">
              <a16:creationId xmlns:a16="http://schemas.microsoft.com/office/drawing/2014/main" id="{00000000-0008-0000-05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14716125"/>
          <a:ext cx="2314262" cy="27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638175</xdr:colOff>
      <xdr:row>133</xdr:row>
      <xdr:rowOff>9525</xdr:rowOff>
    </xdr:from>
    <xdr:to>
      <xdr:col>4</xdr:col>
      <xdr:colOff>676275</xdr:colOff>
      <xdr:row>134</xdr:row>
      <xdr:rowOff>66675</xdr:rowOff>
    </xdr:to>
    <xdr:pic>
      <xdr:nvPicPr>
        <xdr:cNvPr id="127" name="Image 126">
          <a:extLst>
            <a:ext uri="{FF2B5EF4-FFF2-40B4-BE49-F238E27FC236}">
              <a16:creationId xmlns:a16="http://schemas.microsoft.com/office/drawing/2014/main" id="{00000000-0008-0000-05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9440525"/>
          <a:ext cx="752475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638175</xdr:colOff>
      <xdr:row>144</xdr:row>
      <xdr:rowOff>19050</xdr:rowOff>
    </xdr:from>
    <xdr:to>
      <xdr:col>4</xdr:col>
      <xdr:colOff>666750</xdr:colOff>
      <xdr:row>145</xdr:row>
      <xdr:rowOff>76200</xdr:rowOff>
    </xdr:to>
    <xdr:pic>
      <xdr:nvPicPr>
        <xdr:cNvPr id="129" name="Image 128">
          <a:extLst>
            <a:ext uri="{FF2B5EF4-FFF2-40B4-BE49-F238E27FC236}">
              <a16:creationId xmlns:a16="http://schemas.microsoft.com/office/drawing/2014/main" id="{00000000-0008-0000-05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21545550"/>
          <a:ext cx="742950" cy="247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600075</xdr:colOff>
      <xdr:row>147</xdr:row>
      <xdr:rowOff>133350</xdr:rowOff>
    </xdr:from>
    <xdr:to>
      <xdr:col>4</xdr:col>
      <xdr:colOff>685800</xdr:colOff>
      <xdr:row>149</xdr:row>
      <xdr:rowOff>85725</xdr:rowOff>
    </xdr:to>
    <xdr:pic>
      <xdr:nvPicPr>
        <xdr:cNvPr id="130" name="Image 129">
          <a:extLst>
            <a:ext uri="{FF2B5EF4-FFF2-40B4-BE49-F238E27FC236}">
              <a16:creationId xmlns:a16="http://schemas.microsoft.com/office/drawing/2014/main" id="{00000000-0008-0000-05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2802850"/>
          <a:ext cx="800100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581025</xdr:colOff>
      <xdr:row>140</xdr:row>
      <xdr:rowOff>9525</xdr:rowOff>
    </xdr:from>
    <xdr:to>
      <xdr:col>4</xdr:col>
      <xdr:colOff>704850</xdr:colOff>
      <xdr:row>141</xdr:row>
      <xdr:rowOff>123825</xdr:rowOff>
    </xdr:to>
    <xdr:pic>
      <xdr:nvPicPr>
        <xdr:cNvPr id="131" name="Image 130">
          <a:extLst>
            <a:ext uri="{FF2B5EF4-FFF2-40B4-BE49-F238E27FC236}">
              <a16:creationId xmlns:a16="http://schemas.microsoft.com/office/drawing/2014/main" id="{00000000-0008-0000-05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20774025"/>
          <a:ext cx="8382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571500</xdr:colOff>
      <xdr:row>129</xdr:row>
      <xdr:rowOff>9525</xdr:rowOff>
    </xdr:from>
    <xdr:to>
      <xdr:col>4</xdr:col>
      <xdr:colOff>685800</xdr:colOff>
      <xdr:row>130</xdr:row>
      <xdr:rowOff>123825</xdr:rowOff>
    </xdr:to>
    <xdr:pic>
      <xdr:nvPicPr>
        <xdr:cNvPr id="132" name="Image 131">
          <a:extLst>
            <a:ext uri="{FF2B5EF4-FFF2-40B4-BE49-F238E27FC236}">
              <a16:creationId xmlns:a16="http://schemas.microsoft.com/office/drawing/2014/main" id="{00000000-0008-0000-05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8678525"/>
          <a:ext cx="82867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600075</xdr:colOff>
      <xdr:row>172</xdr:row>
      <xdr:rowOff>133350</xdr:rowOff>
    </xdr:from>
    <xdr:to>
      <xdr:col>4</xdr:col>
      <xdr:colOff>685800</xdr:colOff>
      <xdr:row>174</xdr:row>
      <xdr:rowOff>85725</xdr:rowOff>
    </xdr:to>
    <xdr:pic>
      <xdr:nvPicPr>
        <xdr:cNvPr id="136" name="Image 135">
          <a:extLst>
            <a:ext uri="{FF2B5EF4-FFF2-40B4-BE49-F238E27FC236}">
              <a16:creationId xmlns:a16="http://schemas.microsoft.com/office/drawing/2014/main" id="{00000000-0008-0000-05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7374850"/>
          <a:ext cx="800100" cy="333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628650</xdr:colOff>
      <xdr:row>163</xdr:row>
      <xdr:rowOff>171450</xdr:rowOff>
    </xdr:from>
    <xdr:to>
      <xdr:col>4</xdr:col>
      <xdr:colOff>695325</xdr:colOff>
      <xdr:row>165</xdr:row>
      <xdr:rowOff>95250</xdr:rowOff>
    </xdr:to>
    <xdr:pic>
      <xdr:nvPicPr>
        <xdr:cNvPr id="138" name="Image 137">
          <a:extLst>
            <a:ext uri="{FF2B5EF4-FFF2-40B4-BE49-F238E27FC236}">
              <a16:creationId xmlns:a16="http://schemas.microsoft.com/office/drawing/2014/main" id="{00000000-0008-0000-05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25698450"/>
          <a:ext cx="78105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169</xdr:row>
      <xdr:rowOff>28575</xdr:rowOff>
    </xdr:from>
    <xdr:to>
      <xdr:col>4</xdr:col>
      <xdr:colOff>695325</xdr:colOff>
      <xdr:row>170</xdr:row>
      <xdr:rowOff>0</xdr:rowOff>
    </xdr:to>
    <xdr:pic>
      <xdr:nvPicPr>
        <xdr:cNvPr id="140" name="Image 139">
          <a:extLst>
            <a:ext uri="{FF2B5EF4-FFF2-40B4-BE49-F238E27FC236}">
              <a16:creationId xmlns:a16="http://schemas.microsoft.com/office/drawing/2014/main" id="{00000000-0008-0000-05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26698575"/>
          <a:ext cx="695325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207480</xdr:colOff>
      <xdr:row>63</xdr:row>
      <xdr:rowOff>56845</xdr:rowOff>
    </xdr:from>
    <xdr:to>
      <xdr:col>8</xdr:col>
      <xdr:colOff>696018</xdr:colOff>
      <xdr:row>66</xdr:row>
      <xdr:rowOff>60656</xdr:rowOff>
    </xdr:to>
    <xdr:grpSp>
      <xdr:nvGrpSpPr>
        <xdr:cNvPr id="68" name="Groupe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GrpSpPr>
          <a:grpSpLocks noChangeAspect="1"/>
        </xdr:cNvGrpSpPr>
      </xdr:nvGrpSpPr>
      <xdr:grpSpPr>
        <a:xfrm>
          <a:off x="4341330" y="11296345"/>
          <a:ext cx="1202913" cy="575311"/>
          <a:chOff x="9986211" y="6005510"/>
          <a:chExt cx="1341807" cy="639230"/>
        </a:xfrm>
      </xdr:grpSpPr>
      <xdr:cxnSp macro="">
        <xdr:nvCxnSpPr>
          <xdr:cNvPr id="70" name="Connecteur droit 69">
            <a:extLst>
              <a:ext uri="{FF2B5EF4-FFF2-40B4-BE49-F238E27FC236}">
                <a16:creationId xmlns:a16="http://schemas.microsoft.com/office/drawing/2014/main" id="{00000000-0008-0000-0500-000046000000}"/>
              </a:ext>
            </a:extLst>
          </xdr:cNvPr>
          <xdr:cNvCxnSpPr/>
        </xdr:nvCxnSpPr>
        <xdr:spPr>
          <a:xfrm>
            <a:off x="11148982" y="6086475"/>
            <a:ext cx="0" cy="558265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1" name="Rectangle 70">
            <a:extLst>
              <a:ext uri="{FF2B5EF4-FFF2-40B4-BE49-F238E27FC236}">
                <a16:creationId xmlns:a16="http://schemas.microsoft.com/office/drawing/2014/main" id="{00000000-0008-0000-0500-000047000000}"/>
              </a:ext>
            </a:extLst>
          </xdr:cNvPr>
          <xdr:cNvSpPr/>
        </xdr:nvSpPr>
        <xdr:spPr>
          <a:xfrm>
            <a:off x="9988290" y="6330374"/>
            <a:ext cx="1339728" cy="77566"/>
          </a:xfrm>
          <a:prstGeom prst="rect">
            <a:avLst/>
          </a:prstGeom>
          <a:solidFill>
            <a:schemeClr val="bg1"/>
          </a:solidFill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3" name="Connecteur droit avec flèche 72">
            <a:extLst>
              <a:ext uri="{FF2B5EF4-FFF2-40B4-BE49-F238E27FC236}">
                <a16:creationId xmlns:a16="http://schemas.microsoft.com/office/drawing/2014/main" id="{00000000-0008-0000-0500-000049000000}"/>
              </a:ext>
            </a:extLst>
          </xdr:cNvPr>
          <xdr:cNvCxnSpPr/>
        </xdr:nvCxnSpPr>
        <xdr:spPr>
          <a:xfrm>
            <a:off x="9986211" y="6173973"/>
            <a:ext cx="1163729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4" name="Connecteur droit 73">
            <a:extLst>
              <a:ext uri="{FF2B5EF4-FFF2-40B4-BE49-F238E27FC236}">
                <a16:creationId xmlns:a16="http://schemas.microsoft.com/office/drawing/2014/main" id="{00000000-0008-0000-0500-00004A000000}"/>
              </a:ext>
            </a:extLst>
          </xdr:cNvPr>
          <xdr:cNvCxnSpPr/>
        </xdr:nvCxnSpPr>
        <xdr:spPr>
          <a:xfrm>
            <a:off x="9986490" y="6116732"/>
            <a:ext cx="0" cy="176636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Connecteur droit 76">
            <a:extLst>
              <a:ext uri="{FF2B5EF4-FFF2-40B4-BE49-F238E27FC236}">
                <a16:creationId xmlns:a16="http://schemas.microsoft.com/office/drawing/2014/main" id="{00000000-0008-0000-0500-00004D000000}"/>
              </a:ext>
            </a:extLst>
          </xdr:cNvPr>
          <xdr:cNvCxnSpPr/>
        </xdr:nvCxnSpPr>
        <xdr:spPr>
          <a:xfrm>
            <a:off x="10637901" y="6294188"/>
            <a:ext cx="0" cy="258552"/>
          </a:xfrm>
          <a:prstGeom prst="line">
            <a:avLst/>
          </a:prstGeom>
          <a:ln w="6350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ZoneTexte 96">
            <a:extLst>
              <a:ext uri="{FF2B5EF4-FFF2-40B4-BE49-F238E27FC236}">
                <a16:creationId xmlns:a16="http://schemas.microsoft.com/office/drawing/2014/main" id="{00000000-0008-0000-0500-000061000000}"/>
              </a:ext>
            </a:extLst>
          </xdr:cNvPr>
          <xdr:cNvSpPr txBox="1"/>
        </xdr:nvSpPr>
        <xdr:spPr>
          <a:xfrm>
            <a:off x="10282804" y="6005510"/>
            <a:ext cx="625513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L</a:t>
            </a:r>
            <a:endParaRPr lang="fr-FR" sz="1000" baseline="-25000"/>
          </a:p>
        </xdr:txBody>
      </xdr:sp>
      <xdr:sp macro="" textlink="">
        <xdr:nvSpPr>
          <xdr:cNvPr id="115" name="ZoneTexte 114">
            <a:extLst>
              <a:ext uri="{FF2B5EF4-FFF2-40B4-BE49-F238E27FC236}">
                <a16:creationId xmlns:a16="http://schemas.microsoft.com/office/drawing/2014/main" id="{00000000-0008-0000-0500-000073000000}"/>
              </a:ext>
            </a:extLst>
          </xdr:cNvPr>
          <xdr:cNvSpPr txBox="1"/>
        </xdr:nvSpPr>
        <xdr:spPr>
          <a:xfrm>
            <a:off x="10588869" y="6423864"/>
            <a:ext cx="625512" cy="16351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ctr"/>
          <a:lstStyle/>
          <a:p>
            <a:pPr algn="l"/>
            <a:r>
              <a:rPr lang="fr-FR" sz="1000"/>
              <a:t>d</a:t>
            </a:r>
            <a:endParaRPr lang="fr-FR" sz="1000" baseline="-25000"/>
          </a:p>
        </xdr:txBody>
      </xdr:sp>
    </xdr:grpSp>
    <xdr:clientData/>
  </xdr:twoCellAnchor>
  <xdr:oneCellAnchor>
    <xdr:from>
      <xdr:col>2</xdr:col>
      <xdr:colOff>238125</xdr:colOff>
      <xdr:row>68</xdr:row>
      <xdr:rowOff>0</xdr:rowOff>
    </xdr:from>
    <xdr:ext cx="1190625" cy="276186"/>
    <xdr:pic>
      <xdr:nvPicPr>
        <xdr:cNvPr id="126" name="Image 125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42" y="7620000"/>
          <a:ext cx="1190625" cy="276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6</xdr:col>
      <xdr:colOff>552450</xdr:colOff>
      <xdr:row>68</xdr:row>
      <xdr:rowOff>19050</xdr:rowOff>
    </xdr:from>
    <xdr:to>
      <xdr:col>7</xdr:col>
      <xdr:colOff>381000</xdr:colOff>
      <xdr:row>68</xdr:row>
      <xdr:rowOff>171450</xdr:rowOff>
    </xdr:to>
    <xdr:pic>
      <xdr:nvPicPr>
        <xdr:cNvPr id="128" name="Image 127">
          <a:extLst>
            <a:ext uri="{FF2B5EF4-FFF2-40B4-BE49-F238E27FC236}">
              <a16:creationId xmlns:a16="http://schemas.microsoft.com/office/drawing/2014/main" id="{00000000-0008-0000-05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4885" y="12973050"/>
          <a:ext cx="540854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333375</xdr:colOff>
      <xdr:row>73</xdr:row>
      <xdr:rowOff>171450</xdr:rowOff>
    </xdr:from>
    <xdr:to>
      <xdr:col>4</xdr:col>
      <xdr:colOff>19050</xdr:colOff>
      <xdr:row>75</xdr:row>
      <xdr:rowOff>99392</xdr:rowOff>
    </xdr:to>
    <xdr:pic>
      <xdr:nvPicPr>
        <xdr:cNvPr id="133" name="Image 132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592" y="14077950"/>
          <a:ext cx="1110284" cy="3089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514350</xdr:colOff>
      <xdr:row>76</xdr:row>
      <xdr:rowOff>28575</xdr:rowOff>
    </xdr:from>
    <xdr:to>
      <xdr:col>6</xdr:col>
      <xdr:colOff>0</xdr:colOff>
      <xdr:row>77</xdr:row>
      <xdr:rowOff>0</xdr:rowOff>
    </xdr:to>
    <xdr:pic>
      <xdr:nvPicPr>
        <xdr:cNvPr id="134" name="Image 133">
          <a:extLst>
            <a:ext uri="{FF2B5EF4-FFF2-40B4-BE49-F238E27FC236}">
              <a16:creationId xmlns:a16="http://schemas.microsoft.com/office/drawing/2014/main" id="{00000000-0008-0000-05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872" y="9934575"/>
          <a:ext cx="1622563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561975</xdr:colOff>
      <xdr:row>79</xdr:row>
      <xdr:rowOff>148674</xdr:rowOff>
    </xdr:from>
    <xdr:to>
      <xdr:col>3</xdr:col>
      <xdr:colOff>704850</xdr:colOff>
      <xdr:row>81</xdr:row>
      <xdr:rowOff>49697</xdr:rowOff>
    </xdr:to>
    <xdr:pic>
      <xdr:nvPicPr>
        <xdr:cNvPr id="135" name="Image 134">
          <a:extLst>
            <a:ext uri="{FF2B5EF4-FFF2-40B4-BE49-F238E27FC236}">
              <a16:creationId xmlns:a16="http://schemas.microsoft.com/office/drawing/2014/main" id="{00000000-0008-0000-05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192" y="15198174"/>
          <a:ext cx="855180" cy="2820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676275</xdr:colOff>
      <xdr:row>82</xdr:row>
      <xdr:rowOff>171450</xdr:rowOff>
    </xdr:from>
    <xdr:to>
      <xdr:col>5</xdr:col>
      <xdr:colOff>704849</xdr:colOff>
      <xdr:row>84</xdr:row>
      <xdr:rowOff>47625</xdr:rowOff>
    </xdr:to>
    <xdr:pic>
      <xdr:nvPicPr>
        <xdr:cNvPr id="137" name="Image 136">
          <a:extLst>
            <a:ext uri="{FF2B5EF4-FFF2-40B4-BE49-F238E27FC236}">
              <a16:creationId xmlns:a16="http://schemas.microsoft.com/office/drawing/2014/main" id="{00000000-0008-0000-05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238250" y="15792450"/>
          <a:ext cx="2171699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107679</xdr:colOff>
      <xdr:row>43</xdr:row>
      <xdr:rowOff>16566</xdr:rowOff>
    </xdr:from>
    <xdr:to>
      <xdr:col>6</xdr:col>
      <xdr:colOff>4974</xdr:colOff>
      <xdr:row>43</xdr:row>
      <xdr:rowOff>178491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00000000-0008-0000-05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3201" y="8208066"/>
          <a:ext cx="2034208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381000</xdr:colOff>
      <xdr:row>71</xdr:row>
      <xdr:rowOff>16565</xdr:rowOff>
    </xdr:from>
    <xdr:to>
      <xdr:col>4</xdr:col>
      <xdr:colOff>11595</xdr:colOff>
      <xdr:row>71</xdr:row>
      <xdr:rowOff>178490</xdr:rowOff>
    </xdr:to>
    <xdr:pic>
      <xdr:nvPicPr>
        <xdr:cNvPr id="147" name="Image 146">
          <a:extLst>
            <a:ext uri="{FF2B5EF4-FFF2-40B4-BE49-F238E27FC236}">
              <a16:creationId xmlns:a16="http://schemas.microsoft.com/office/drawing/2014/main" id="{00000000-0008-0000-05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217" y="13542065"/>
          <a:ext cx="1055204" cy="16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472110</xdr:colOff>
      <xdr:row>187</xdr:row>
      <xdr:rowOff>132523</xdr:rowOff>
    </xdr:from>
    <xdr:to>
      <xdr:col>8</xdr:col>
      <xdr:colOff>641225</xdr:colOff>
      <xdr:row>193</xdr:row>
      <xdr:rowOff>190159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605960" y="14229523"/>
          <a:ext cx="883490" cy="1200636"/>
        </a:xfrm>
        <a:prstGeom prst="rect">
          <a:avLst/>
        </a:prstGeom>
      </xdr:spPr>
    </xdr:pic>
    <xdr:clientData/>
  </xdr:twoCellAnchor>
  <xdr:twoCellAnchor editAs="oneCell">
    <xdr:from>
      <xdr:col>14</xdr:col>
      <xdr:colOff>347870</xdr:colOff>
      <xdr:row>200</xdr:row>
      <xdr:rowOff>33130</xdr:rowOff>
    </xdr:from>
    <xdr:to>
      <xdr:col>17</xdr:col>
      <xdr:colOff>528016</xdr:colOff>
      <xdr:row>207</xdr:row>
      <xdr:rowOff>20329</xdr:rowOff>
    </xdr:to>
    <xdr:pic>
      <xdr:nvPicPr>
        <xdr:cNvPr id="72" name="Image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8901320" y="37180630"/>
          <a:ext cx="2751896" cy="1320699"/>
        </a:xfrm>
        <a:prstGeom prst="rect">
          <a:avLst/>
        </a:prstGeom>
      </xdr:spPr>
    </xdr:pic>
    <xdr:clientData/>
  </xdr:twoCellAnchor>
  <xdr:twoCellAnchor>
    <xdr:from>
      <xdr:col>7</xdr:col>
      <xdr:colOff>528637</xdr:colOff>
      <xdr:row>219</xdr:row>
      <xdr:rowOff>176213</xdr:rowOff>
    </xdr:from>
    <xdr:to>
      <xdr:col>9</xdr:col>
      <xdr:colOff>33337</xdr:colOff>
      <xdr:row>223</xdr:row>
      <xdr:rowOff>76200</xdr:rowOff>
    </xdr:to>
    <xdr:grpSp>
      <xdr:nvGrpSpPr>
        <xdr:cNvPr id="166" name="Groupe 165">
          <a:extLst>
            <a:ext uri="{FF2B5EF4-FFF2-40B4-BE49-F238E27FC236}">
              <a16:creationId xmlns:a16="http://schemas.microsoft.com/office/drawing/2014/main" id="{00000000-0008-0000-0500-0000A6000000}"/>
            </a:ext>
          </a:extLst>
        </xdr:cNvPr>
        <xdr:cNvGrpSpPr/>
      </xdr:nvGrpSpPr>
      <xdr:grpSpPr>
        <a:xfrm>
          <a:off x="4662487" y="40881300"/>
          <a:ext cx="933450" cy="0"/>
          <a:chOff x="7381875" y="39304913"/>
          <a:chExt cx="933450" cy="661987"/>
        </a:xfrm>
      </xdr:grpSpPr>
      <xdr:grpSp>
        <xdr:nvGrpSpPr>
          <xdr:cNvPr id="163" name="Groupe 162">
            <a:extLst>
              <a:ext uri="{FF2B5EF4-FFF2-40B4-BE49-F238E27FC236}">
                <a16:creationId xmlns:a16="http://schemas.microsoft.com/office/drawing/2014/main" id="{00000000-0008-0000-0500-0000A3000000}"/>
              </a:ext>
            </a:extLst>
          </xdr:cNvPr>
          <xdr:cNvGrpSpPr/>
        </xdr:nvGrpSpPr>
        <xdr:grpSpPr>
          <a:xfrm>
            <a:off x="7381875" y="39462075"/>
            <a:ext cx="933450" cy="504825"/>
            <a:chOff x="7496175" y="39290625"/>
            <a:chExt cx="933450" cy="504825"/>
          </a:xfrm>
        </xdr:grpSpPr>
        <xdr:grpSp>
          <xdr:nvGrpSpPr>
            <xdr:cNvPr id="153" name="Groupe 152">
              <a:extLst>
                <a:ext uri="{FF2B5EF4-FFF2-40B4-BE49-F238E27FC236}">
                  <a16:creationId xmlns:a16="http://schemas.microsoft.com/office/drawing/2014/main" id="{00000000-0008-0000-0500-000099000000}"/>
                </a:ext>
              </a:extLst>
            </xdr:cNvPr>
            <xdr:cNvGrpSpPr/>
          </xdr:nvGrpSpPr>
          <xdr:grpSpPr>
            <a:xfrm>
              <a:off x="7496175" y="39290625"/>
              <a:ext cx="933450" cy="490537"/>
              <a:chOff x="7496175" y="39290625"/>
              <a:chExt cx="933450" cy="490537"/>
            </a:xfrm>
          </xdr:grpSpPr>
          <xdr:grpSp>
            <xdr:nvGrpSpPr>
              <xdr:cNvPr id="123" name="Groupe 122">
                <a:extLst>
                  <a:ext uri="{FF2B5EF4-FFF2-40B4-BE49-F238E27FC236}">
                    <a16:creationId xmlns:a16="http://schemas.microsoft.com/office/drawing/2014/main" id="{00000000-0008-0000-0500-00007B000000}"/>
                  </a:ext>
                </a:extLst>
              </xdr:cNvPr>
              <xdr:cNvGrpSpPr/>
            </xdr:nvGrpSpPr>
            <xdr:grpSpPr>
              <a:xfrm>
                <a:off x="7496175" y="39290625"/>
                <a:ext cx="933450" cy="300037"/>
                <a:chOff x="7496175" y="39290625"/>
                <a:chExt cx="933450" cy="300037"/>
              </a:xfrm>
            </xdr:grpSpPr>
            <xdr:grpSp>
              <xdr:nvGrpSpPr>
                <xdr:cNvPr id="99" name="Groupe 98">
                  <a:extLst>
                    <a:ext uri="{FF2B5EF4-FFF2-40B4-BE49-F238E27FC236}">
                      <a16:creationId xmlns:a16="http://schemas.microsoft.com/office/drawing/2014/main" id="{00000000-0008-0000-0500-000063000000}"/>
                    </a:ext>
                  </a:extLst>
                </xdr:cNvPr>
                <xdr:cNvGrpSpPr/>
              </xdr:nvGrpSpPr>
              <xdr:grpSpPr>
                <a:xfrm>
                  <a:off x="7524750" y="39290625"/>
                  <a:ext cx="876300" cy="219075"/>
                  <a:chOff x="7524750" y="39290625"/>
                  <a:chExt cx="876300" cy="219075"/>
                </a:xfrm>
              </xdr:grpSpPr>
              <xdr:cxnSp macro="">
                <xdr:nvCxnSpPr>
                  <xdr:cNvPr id="78" name="Connecteur droit 77">
                    <a:extLst>
                      <a:ext uri="{FF2B5EF4-FFF2-40B4-BE49-F238E27FC236}">
                        <a16:creationId xmlns:a16="http://schemas.microsoft.com/office/drawing/2014/main" id="{00000000-0008-0000-0500-00004E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81" name="Connecteur droit avec flèche 80">
                    <a:extLst>
                      <a:ext uri="{FF2B5EF4-FFF2-40B4-BE49-F238E27FC236}">
                        <a16:creationId xmlns:a16="http://schemas.microsoft.com/office/drawing/2014/main" id="{00000000-0008-0000-0500-000051000000}"/>
                      </a:ext>
                    </a:extLst>
                  </xdr:cNvPr>
                  <xdr:cNvCxnSpPr/>
                </xdr:nvCxnSpPr>
                <xdr:spPr>
                  <a:xfrm>
                    <a:off x="7762875" y="39290625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84" name="Connecteur droit avec flèche 83">
                    <a:extLst>
                      <a:ext uri="{FF2B5EF4-FFF2-40B4-BE49-F238E27FC236}">
                        <a16:creationId xmlns:a16="http://schemas.microsoft.com/office/drawing/2014/main" id="{00000000-0008-0000-0500-000054000000}"/>
                      </a:ext>
                    </a:extLst>
                  </xdr:cNvPr>
                  <xdr:cNvCxnSpPr/>
                </xdr:nvCxnSpPr>
                <xdr:spPr>
                  <a:xfrm>
                    <a:off x="8162925" y="39300150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sp macro="" textlink="">
              <xdr:nvSpPr>
                <xdr:cNvPr id="108" name="Triangle isocèle 107">
                  <a:extLst>
                    <a:ext uri="{FF2B5EF4-FFF2-40B4-BE49-F238E27FC236}">
                      <a16:creationId xmlns:a16="http://schemas.microsoft.com/office/drawing/2014/main" id="{00000000-0008-0000-0500-00006C000000}"/>
                    </a:ext>
                  </a:extLst>
                </xdr:cNvPr>
                <xdr:cNvSpPr/>
              </xdr:nvSpPr>
              <xdr:spPr>
                <a:xfrm>
                  <a:off x="7496175" y="39514462"/>
                  <a:ext cx="66675" cy="76200"/>
                </a:xfrm>
                <a:prstGeom prst="triangl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  <xdr:sp macro="" textlink="">
              <xdr:nvSpPr>
                <xdr:cNvPr id="114" name="Triangle isocèle 113">
                  <a:extLst>
                    <a:ext uri="{FF2B5EF4-FFF2-40B4-BE49-F238E27FC236}">
                      <a16:creationId xmlns:a16="http://schemas.microsoft.com/office/drawing/2014/main" id="{00000000-0008-0000-0500-000072000000}"/>
                    </a:ext>
                  </a:extLst>
                </xdr:cNvPr>
                <xdr:cNvSpPr/>
              </xdr:nvSpPr>
              <xdr:spPr>
                <a:xfrm>
                  <a:off x="8362950" y="39514462"/>
                  <a:ext cx="66675" cy="76200"/>
                </a:xfrm>
                <a:prstGeom prst="triangle">
                  <a:avLst/>
                </a:prstGeom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horzOverflow="clip" rtlCol="0" anchor="t"/>
                <a:lstStyle/>
                <a:p>
                  <a:pPr algn="l"/>
                  <a:endParaRPr lang="fr-FR" sz="1100"/>
                </a:p>
              </xdr:txBody>
            </xdr:sp>
          </xdr:grpSp>
          <xdr:grpSp>
            <xdr:nvGrpSpPr>
              <xdr:cNvPr id="152" name="Groupe 151">
                <a:extLst>
                  <a:ext uri="{FF2B5EF4-FFF2-40B4-BE49-F238E27FC236}">
                    <a16:creationId xmlns:a16="http://schemas.microsoft.com/office/drawing/2014/main" id="{00000000-0008-0000-0500-000098000000}"/>
                  </a:ext>
                </a:extLst>
              </xdr:cNvPr>
              <xdr:cNvGrpSpPr/>
            </xdr:nvGrpSpPr>
            <xdr:grpSpPr>
              <a:xfrm>
                <a:off x="7524750" y="39571612"/>
                <a:ext cx="876300" cy="209550"/>
                <a:chOff x="7639050" y="40152637"/>
                <a:chExt cx="876300" cy="209550"/>
              </a:xfrm>
            </xdr:grpSpPr>
            <xdr:grpSp>
              <xdr:nvGrpSpPr>
                <xdr:cNvPr id="139" name="Groupe 138">
                  <a:extLst>
                    <a:ext uri="{FF2B5EF4-FFF2-40B4-BE49-F238E27FC236}">
                      <a16:creationId xmlns:a16="http://schemas.microsoft.com/office/drawing/2014/main" id="{00000000-0008-0000-0500-00008B000000}"/>
                    </a:ext>
                  </a:extLst>
                </xdr:cNvPr>
                <xdr:cNvGrpSpPr/>
              </xdr:nvGrpSpPr>
              <xdr:grpSpPr>
                <a:xfrm>
                  <a:off x="7639050" y="40152637"/>
                  <a:ext cx="876300" cy="209550"/>
                  <a:chOff x="7524750" y="39343012"/>
                  <a:chExt cx="876300" cy="209550"/>
                </a:xfrm>
              </xdr:grpSpPr>
              <xdr:cxnSp macro="">
                <xdr:nvCxnSpPr>
                  <xdr:cNvPr id="143" name="Connecteur droit 142">
                    <a:extLst>
                      <a:ext uri="{FF2B5EF4-FFF2-40B4-BE49-F238E27FC236}">
                        <a16:creationId xmlns:a16="http://schemas.microsoft.com/office/drawing/2014/main" id="{00000000-0008-0000-0500-00008F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  <a:ln>
                    <a:solidFill>
                      <a:srgbClr val="C00000"/>
                    </a:solidFill>
                    <a:headEnd type="triangle" w="sm" len="lg"/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45" name="Connecteur droit avec flèche 144">
                    <a:extLst>
                      <a:ext uri="{FF2B5EF4-FFF2-40B4-BE49-F238E27FC236}">
                        <a16:creationId xmlns:a16="http://schemas.microsoft.com/office/drawing/2014/main" id="{00000000-0008-0000-0500-000091000000}"/>
                      </a:ext>
                    </a:extLst>
                  </xdr:cNvPr>
                  <xdr:cNvCxnSpPr/>
                </xdr:nvCxnSpPr>
                <xdr:spPr>
                  <a:xfrm>
                    <a:off x="776287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46" name="Connecteur droit avec flèche 145">
                    <a:extLst>
                      <a:ext uri="{FF2B5EF4-FFF2-40B4-BE49-F238E27FC236}">
                        <a16:creationId xmlns:a16="http://schemas.microsoft.com/office/drawing/2014/main" id="{00000000-0008-0000-0500-000092000000}"/>
                      </a:ext>
                    </a:extLst>
                  </xdr:cNvPr>
                  <xdr:cNvCxnSpPr/>
                </xdr:nvCxnSpPr>
                <xdr:spPr>
                  <a:xfrm>
                    <a:off x="816292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grpSp>
              <xdr:nvGrpSpPr>
                <xdr:cNvPr id="148" name="Groupe 147">
                  <a:extLst>
                    <a:ext uri="{FF2B5EF4-FFF2-40B4-BE49-F238E27FC236}">
                      <a16:creationId xmlns:a16="http://schemas.microsoft.com/office/drawing/2014/main" id="{00000000-0008-0000-0500-000094000000}"/>
                    </a:ext>
                  </a:extLst>
                </xdr:cNvPr>
                <xdr:cNvGrpSpPr/>
              </xdr:nvGrpSpPr>
              <xdr:grpSpPr>
                <a:xfrm>
                  <a:off x="7648575" y="40152637"/>
                  <a:ext cx="866775" cy="209550"/>
                  <a:chOff x="7762875" y="39343012"/>
                  <a:chExt cx="866775" cy="209550"/>
                </a:xfrm>
              </xdr:grpSpPr>
              <xdr:cxnSp macro="">
                <xdr:nvCxnSpPr>
                  <xdr:cNvPr id="150" name="Connecteur droit avec flèche 149">
                    <a:extLst>
                      <a:ext uri="{FF2B5EF4-FFF2-40B4-BE49-F238E27FC236}">
                        <a16:creationId xmlns:a16="http://schemas.microsoft.com/office/drawing/2014/main" id="{00000000-0008-0000-0500-000096000000}"/>
                      </a:ext>
                    </a:extLst>
                  </xdr:cNvPr>
                  <xdr:cNvCxnSpPr/>
                </xdr:nvCxnSpPr>
                <xdr:spPr>
                  <a:xfrm>
                    <a:off x="7762875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51" name="Connecteur droit avec flèche 150">
                    <a:extLst>
                      <a:ext uri="{FF2B5EF4-FFF2-40B4-BE49-F238E27FC236}">
                        <a16:creationId xmlns:a16="http://schemas.microsoft.com/office/drawing/2014/main" id="{00000000-0008-0000-0500-000097000000}"/>
                      </a:ext>
                    </a:extLst>
                  </xdr:cNvPr>
                  <xdr:cNvCxnSpPr/>
                </xdr:nvCxnSpPr>
                <xdr:spPr>
                  <a:xfrm>
                    <a:off x="8629650" y="39343012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C00000"/>
                    </a:solidFill>
                    <a:tailEnd type="non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</xdr:grpSp>
        </xdr:grpSp>
        <xdr:sp macro="" textlink="">
          <xdr:nvSpPr>
            <xdr:cNvPr id="154" name="ZoneTexte 153">
              <a:extLst>
                <a:ext uri="{FF2B5EF4-FFF2-40B4-BE49-F238E27FC236}">
                  <a16:creationId xmlns:a16="http://schemas.microsoft.com/office/drawing/2014/main" id="{00000000-0008-0000-0500-00009A000000}"/>
                </a:ext>
              </a:extLst>
            </xdr:cNvPr>
            <xdr:cNvSpPr txBox="1"/>
          </xdr:nvSpPr>
          <xdr:spPr>
            <a:xfrm>
              <a:off x="7515226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a</a:t>
              </a:r>
            </a:p>
          </xdr:txBody>
        </xdr:sp>
        <xdr:sp macro="" textlink="">
          <xdr:nvSpPr>
            <xdr:cNvPr id="157" name="ZoneTexte 156">
              <a:extLst>
                <a:ext uri="{FF2B5EF4-FFF2-40B4-BE49-F238E27FC236}">
                  <a16:creationId xmlns:a16="http://schemas.microsoft.com/office/drawing/2014/main" id="{00000000-0008-0000-0500-00009D000000}"/>
                </a:ext>
              </a:extLst>
            </xdr:cNvPr>
            <xdr:cNvSpPr txBox="1"/>
          </xdr:nvSpPr>
          <xdr:spPr>
            <a:xfrm>
              <a:off x="7839076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b</a:t>
              </a:r>
            </a:p>
          </xdr:txBody>
        </xdr:sp>
        <xdr:sp macro="" textlink="">
          <xdr:nvSpPr>
            <xdr:cNvPr id="158" name="ZoneTexte 157">
              <a:extLst>
                <a:ext uri="{FF2B5EF4-FFF2-40B4-BE49-F238E27FC236}">
                  <a16:creationId xmlns:a16="http://schemas.microsoft.com/office/drawing/2014/main" id="{00000000-0008-0000-0500-00009E000000}"/>
                </a:ext>
              </a:extLst>
            </xdr:cNvPr>
            <xdr:cNvSpPr txBox="1"/>
          </xdr:nvSpPr>
          <xdr:spPr>
            <a:xfrm>
              <a:off x="8153401" y="39519225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>
                  <a:solidFill>
                    <a:srgbClr val="C00000"/>
                  </a:solidFill>
                </a:rPr>
                <a:t>a</a:t>
              </a:r>
            </a:p>
          </xdr:txBody>
        </xdr:sp>
      </xdr:grpSp>
      <xdr:sp macro="" textlink="">
        <xdr:nvSpPr>
          <xdr:cNvPr id="164" name="ZoneTexte 163">
            <a:extLst>
              <a:ext uri="{FF2B5EF4-FFF2-40B4-BE49-F238E27FC236}">
                <a16:creationId xmlns:a16="http://schemas.microsoft.com/office/drawing/2014/main" id="{00000000-0008-0000-0500-0000A4000000}"/>
              </a:ext>
            </a:extLst>
          </xdr:cNvPr>
          <xdr:cNvSpPr txBox="1"/>
        </xdr:nvSpPr>
        <xdr:spPr>
          <a:xfrm>
            <a:off x="7620000" y="39304913"/>
            <a:ext cx="228600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fr-FR" sz="1100" b="1">
                <a:solidFill>
                  <a:srgbClr val="FF0000"/>
                </a:solidFill>
              </a:rPr>
              <a:t>F</a:t>
            </a:r>
          </a:p>
        </xdr:txBody>
      </xdr:sp>
      <xdr:sp macro="" textlink="">
        <xdr:nvSpPr>
          <xdr:cNvPr id="165" name="ZoneTexte 164">
            <a:extLst>
              <a:ext uri="{FF2B5EF4-FFF2-40B4-BE49-F238E27FC236}">
                <a16:creationId xmlns:a16="http://schemas.microsoft.com/office/drawing/2014/main" id="{00000000-0008-0000-0500-0000A5000000}"/>
              </a:ext>
            </a:extLst>
          </xdr:cNvPr>
          <xdr:cNvSpPr txBox="1"/>
        </xdr:nvSpPr>
        <xdr:spPr>
          <a:xfrm>
            <a:off x="8020050" y="39304913"/>
            <a:ext cx="228600" cy="2762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fr-FR" sz="1100" b="1">
                <a:solidFill>
                  <a:srgbClr val="FF0000"/>
                </a:solidFill>
              </a:rPr>
              <a:t>F</a:t>
            </a:r>
          </a:p>
        </xdr:txBody>
      </xdr:sp>
    </xdr:grpSp>
    <xdr:clientData/>
  </xdr:twoCellAnchor>
  <xdr:twoCellAnchor>
    <xdr:from>
      <xdr:col>7</xdr:col>
      <xdr:colOff>529575</xdr:colOff>
      <xdr:row>227</xdr:row>
      <xdr:rowOff>71438</xdr:rowOff>
    </xdr:from>
    <xdr:to>
      <xdr:col>9</xdr:col>
      <xdr:colOff>32400</xdr:colOff>
      <xdr:row>230</xdr:row>
      <xdr:rowOff>161925</xdr:rowOff>
    </xdr:to>
    <xdr:grpSp>
      <xdr:nvGrpSpPr>
        <xdr:cNvPr id="194" name="Groupe 193">
          <a:extLst>
            <a:ext uri="{FF2B5EF4-FFF2-40B4-BE49-F238E27FC236}">
              <a16:creationId xmlns:a16="http://schemas.microsoft.com/office/drawing/2014/main" id="{00000000-0008-0000-0500-0000C2000000}"/>
            </a:ext>
          </a:extLst>
        </xdr:cNvPr>
        <xdr:cNvGrpSpPr/>
      </xdr:nvGrpSpPr>
      <xdr:grpSpPr>
        <a:xfrm>
          <a:off x="4663425" y="40881300"/>
          <a:ext cx="931575" cy="0"/>
          <a:chOff x="7581900" y="39724013"/>
          <a:chExt cx="931575" cy="661987"/>
        </a:xfrm>
      </xdr:grpSpPr>
      <xdr:grpSp>
        <xdr:nvGrpSpPr>
          <xdr:cNvPr id="167" name="Groupe 166">
            <a:extLst>
              <a:ext uri="{FF2B5EF4-FFF2-40B4-BE49-F238E27FC236}">
                <a16:creationId xmlns:a16="http://schemas.microsoft.com/office/drawing/2014/main" id="{00000000-0008-0000-0500-0000A7000000}"/>
              </a:ext>
            </a:extLst>
          </xdr:cNvPr>
          <xdr:cNvGrpSpPr/>
        </xdr:nvGrpSpPr>
        <xdr:grpSpPr>
          <a:xfrm>
            <a:off x="7600950" y="39724013"/>
            <a:ext cx="876300" cy="661987"/>
            <a:chOff x="7410450" y="39304913"/>
            <a:chExt cx="876300" cy="661987"/>
          </a:xfrm>
        </xdr:grpSpPr>
        <xdr:grpSp>
          <xdr:nvGrpSpPr>
            <xdr:cNvPr id="168" name="Groupe 167">
              <a:extLst>
                <a:ext uri="{FF2B5EF4-FFF2-40B4-BE49-F238E27FC236}">
                  <a16:creationId xmlns:a16="http://schemas.microsoft.com/office/drawing/2014/main" id="{00000000-0008-0000-0500-0000A8000000}"/>
                </a:ext>
              </a:extLst>
            </xdr:cNvPr>
            <xdr:cNvGrpSpPr/>
          </xdr:nvGrpSpPr>
          <xdr:grpSpPr>
            <a:xfrm>
              <a:off x="7410450" y="39462075"/>
              <a:ext cx="876300" cy="504825"/>
              <a:chOff x="7524750" y="39290625"/>
              <a:chExt cx="876300" cy="504825"/>
            </a:xfrm>
          </xdr:grpSpPr>
          <xdr:grpSp>
            <xdr:nvGrpSpPr>
              <xdr:cNvPr id="171" name="Groupe 170">
                <a:extLst>
                  <a:ext uri="{FF2B5EF4-FFF2-40B4-BE49-F238E27FC236}">
                    <a16:creationId xmlns:a16="http://schemas.microsoft.com/office/drawing/2014/main" id="{00000000-0008-0000-0500-0000AB000000}"/>
                  </a:ext>
                </a:extLst>
              </xdr:cNvPr>
              <xdr:cNvGrpSpPr/>
            </xdr:nvGrpSpPr>
            <xdr:grpSpPr>
              <a:xfrm>
                <a:off x="7524750" y="39290625"/>
                <a:ext cx="876300" cy="490537"/>
                <a:chOff x="7524750" y="39290625"/>
                <a:chExt cx="876300" cy="490537"/>
              </a:xfrm>
            </xdr:grpSpPr>
            <xdr:grpSp>
              <xdr:nvGrpSpPr>
                <xdr:cNvPr id="184" name="Groupe 183">
                  <a:extLst>
                    <a:ext uri="{FF2B5EF4-FFF2-40B4-BE49-F238E27FC236}">
                      <a16:creationId xmlns:a16="http://schemas.microsoft.com/office/drawing/2014/main" id="{00000000-0008-0000-0500-0000B8000000}"/>
                    </a:ext>
                  </a:extLst>
                </xdr:cNvPr>
                <xdr:cNvGrpSpPr/>
              </xdr:nvGrpSpPr>
              <xdr:grpSpPr>
                <a:xfrm>
                  <a:off x="7524750" y="39290625"/>
                  <a:ext cx="876300" cy="209550"/>
                  <a:chOff x="7524750" y="39290625"/>
                  <a:chExt cx="876300" cy="209550"/>
                </a:xfrm>
              </xdr:grpSpPr>
              <xdr:cxnSp macro="">
                <xdr:nvCxnSpPr>
                  <xdr:cNvPr id="187" name="Connecteur droit 186">
                    <a:extLst>
                      <a:ext uri="{FF2B5EF4-FFF2-40B4-BE49-F238E27FC236}">
                        <a16:creationId xmlns:a16="http://schemas.microsoft.com/office/drawing/2014/main" id="{00000000-0008-0000-0500-0000BB000000}"/>
                      </a:ext>
                    </a:extLst>
                  </xdr:cNvPr>
                  <xdr:cNvCxnSpPr/>
                </xdr:nvCxnSpPr>
                <xdr:spPr>
                  <a:xfrm>
                    <a:off x="7524750" y="39500175"/>
                    <a:ext cx="876300" cy="0"/>
                  </a:xfrm>
                  <a:prstGeom prst="line">
                    <a:avLst/>
                  </a:prstGeom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88" name="Connecteur droit avec flèche 187">
                    <a:extLst>
                      <a:ext uri="{FF2B5EF4-FFF2-40B4-BE49-F238E27FC236}">
                        <a16:creationId xmlns:a16="http://schemas.microsoft.com/office/drawing/2014/main" id="{00000000-0008-0000-0500-0000BC000000}"/>
                      </a:ext>
                    </a:extLst>
                  </xdr:cNvPr>
                  <xdr:cNvCxnSpPr/>
                </xdr:nvCxnSpPr>
                <xdr:spPr>
                  <a:xfrm>
                    <a:off x="7962900" y="39290625"/>
                    <a:ext cx="0" cy="209550"/>
                  </a:xfrm>
                  <a:prstGeom prst="straightConnector1">
                    <a:avLst/>
                  </a:prstGeom>
                  <a:ln w="12700">
                    <a:solidFill>
                      <a:srgbClr val="FF0000"/>
                    </a:solidFill>
                    <a:tailEnd type="triangle" w="sm" len="lg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  <xdr:grpSp>
              <xdr:nvGrpSpPr>
                <xdr:cNvPr id="176" name="Groupe 175">
                  <a:extLst>
                    <a:ext uri="{FF2B5EF4-FFF2-40B4-BE49-F238E27FC236}">
                      <a16:creationId xmlns:a16="http://schemas.microsoft.com/office/drawing/2014/main" id="{00000000-0008-0000-0500-0000B0000000}"/>
                    </a:ext>
                  </a:extLst>
                </xdr:cNvPr>
                <xdr:cNvGrpSpPr/>
              </xdr:nvGrpSpPr>
              <xdr:grpSpPr>
                <a:xfrm>
                  <a:off x="7524750" y="39571612"/>
                  <a:ext cx="876300" cy="209550"/>
                  <a:chOff x="7639050" y="40152637"/>
                  <a:chExt cx="876300" cy="209550"/>
                </a:xfrm>
              </xdr:grpSpPr>
              <xdr:grpSp>
                <xdr:nvGrpSpPr>
                  <xdr:cNvPr id="177" name="Groupe 176">
                    <a:extLst>
                      <a:ext uri="{FF2B5EF4-FFF2-40B4-BE49-F238E27FC236}">
                        <a16:creationId xmlns:a16="http://schemas.microsoft.com/office/drawing/2014/main" id="{00000000-0008-0000-0500-0000B1000000}"/>
                      </a:ext>
                    </a:extLst>
                  </xdr:cNvPr>
                  <xdr:cNvGrpSpPr/>
                </xdr:nvGrpSpPr>
                <xdr:grpSpPr>
                  <a:xfrm>
                    <a:off x="7639050" y="40152637"/>
                    <a:ext cx="876300" cy="209550"/>
                    <a:chOff x="7524750" y="39343012"/>
                    <a:chExt cx="876300" cy="209550"/>
                  </a:xfrm>
                </xdr:grpSpPr>
                <xdr:cxnSp macro="">
                  <xdr:nvCxnSpPr>
                    <xdr:cNvPr id="181" name="Connecteur droit 180">
                      <a:extLst>
                        <a:ext uri="{FF2B5EF4-FFF2-40B4-BE49-F238E27FC236}">
                          <a16:creationId xmlns:a16="http://schemas.microsoft.com/office/drawing/2014/main" id="{00000000-0008-0000-0500-0000B5000000}"/>
                        </a:ext>
                      </a:extLst>
                    </xdr:cNvPr>
                    <xdr:cNvCxnSpPr/>
                  </xdr:nvCxnSpPr>
                  <xdr:spPr>
                    <a:xfrm>
                      <a:off x="7524750" y="39500175"/>
                      <a:ext cx="876300" cy="0"/>
                    </a:xfrm>
                    <a:prstGeom prst="line">
                      <a:avLst/>
                    </a:prstGeom>
                    <a:ln>
                      <a:solidFill>
                        <a:srgbClr val="C00000"/>
                      </a:solidFill>
                      <a:headEnd type="triangle" w="sm" len="lg"/>
                      <a:tailEnd type="triangl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182" name="Connecteur droit avec flèche 181">
                      <a:extLst>
                        <a:ext uri="{FF2B5EF4-FFF2-40B4-BE49-F238E27FC236}">
                          <a16:creationId xmlns:a16="http://schemas.microsoft.com/office/drawing/2014/main" id="{00000000-0008-0000-0500-0000B6000000}"/>
                        </a:ext>
                      </a:extLst>
                    </xdr:cNvPr>
                    <xdr:cNvCxnSpPr/>
                  </xdr:nvCxnSpPr>
                  <xdr:spPr>
                    <a:xfrm>
                      <a:off x="7962900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</xdr:grpSp>
              <xdr:grpSp>
                <xdr:nvGrpSpPr>
                  <xdr:cNvPr id="178" name="Groupe 177">
                    <a:extLst>
                      <a:ext uri="{FF2B5EF4-FFF2-40B4-BE49-F238E27FC236}">
                        <a16:creationId xmlns:a16="http://schemas.microsoft.com/office/drawing/2014/main" id="{00000000-0008-0000-0500-0000B2000000}"/>
                      </a:ext>
                    </a:extLst>
                  </xdr:cNvPr>
                  <xdr:cNvGrpSpPr/>
                </xdr:nvGrpSpPr>
                <xdr:grpSpPr>
                  <a:xfrm>
                    <a:off x="7648575" y="40152637"/>
                    <a:ext cx="866775" cy="209550"/>
                    <a:chOff x="7762875" y="39343012"/>
                    <a:chExt cx="866775" cy="209550"/>
                  </a:xfrm>
                </xdr:grpSpPr>
                <xdr:cxnSp macro="">
                  <xdr:nvCxnSpPr>
                    <xdr:cNvPr id="179" name="Connecteur droit avec flèche 178">
                      <a:extLst>
                        <a:ext uri="{FF2B5EF4-FFF2-40B4-BE49-F238E27FC236}">
                          <a16:creationId xmlns:a16="http://schemas.microsoft.com/office/drawing/2014/main" id="{00000000-0008-0000-0500-0000B3000000}"/>
                        </a:ext>
                      </a:extLst>
                    </xdr:cNvPr>
                    <xdr:cNvCxnSpPr/>
                  </xdr:nvCxnSpPr>
                  <xdr:spPr>
                    <a:xfrm>
                      <a:off x="7762875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  <xdr:cxnSp macro="">
                  <xdr:nvCxnSpPr>
                    <xdr:cNvPr id="180" name="Connecteur droit avec flèche 179">
                      <a:extLst>
                        <a:ext uri="{FF2B5EF4-FFF2-40B4-BE49-F238E27FC236}">
                          <a16:creationId xmlns:a16="http://schemas.microsoft.com/office/drawing/2014/main" id="{00000000-0008-0000-0500-0000B4000000}"/>
                        </a:ext>
                      </a:extLst>
                    </xdr:cNvPr>
                    <xdr:cNvCxnSpPr/>
                  </xdr:nvCxnSpPr>
                  <xdr:spPr>
                    <a:xfrm>
                      <a:off x="8629650" y="39343012"/>
                      <a:ext cx="0" cy="209550"/>
                    </a:xfrm>
                    <a:prstGeom prst="straightConnector1">
                      <a:avLst/>
                    </a:prstGeom>
                    <a:ln w="12700">
                      <a:solidFill>
                        <a:srgbClr val="C00000"/>
                      </a:solidFill>
                      <a:tailEnd type="none" w="sm" len="lg"/>
                    </a:ln>
                  </xdr:spPr>
                  <xdr:style>
                    <a:lnRef idx="1">
                      <a:schemeClr val="accent1"/>
                    </a:lnRef>
                    <a:fillRef idx="0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tx1"/>
                    </a:fontRef>
                  </xdr:style>
                </xdr:cxnSp>
              </xdr:grpSp>
            </xdr:grpSp>
          </xdr:grpSp>
          <xdr:sp macro="" textlink="">
            <xdr:nvSpPr>
              <xdr:cNvPr id="172" name="ZoneTexte 171">
                <a:extLst>
                  <a:ext uri="{FF2B5EF4-FFF2-40B4-BE49-F238E27FC236}">
                    <a16:creationId xmlns:a16="http://schemas.microsoft.com/office/drawing/2014/main" id="{00000000-0008-0000-0500-0000AC000000}"/>
                  </a:ext>
                </a:extLst>
              </xdr:cNvPr>
              <xdr:cNvSpPr txBox="1"/>
            </xdr:nvSpPr>
            <xdr:spPr>
              <a:xfrm>
                <a:off x="7648576" y="39519225"/>
                <a:ext cx="228600" cy="2762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fr-FR" sz="1050">
                    <a:solidFill>
                      <a:srgbClr val="C00000"/>
                    </a:solidFill>
                  </a:rPr>
                  <a:t>c</a:t>
                </a:r>
              </a:p>
            </xdr:txBody>
          </xdr:sp>
          <xdr:sp macro="" textlink="">
            <xdr:nvSpPr>
              <xdr:cNvPr id="174" name="ZoneTexte 173">
                <a:extLst>
                  <a:ext uri="{FF2B5EF4-FFF2-40B4-BE49-F238E27FC236}">
                    <a16:creationId xmlns:a16="http://schemas.microsoft.com/office/drawing/2014/main" id="{00000000-0008-0000-0500-0000AE000000}"/>
                  </a:ext>
                </a:extLst>
              </xdr:cNvPr>
              <xdr:cNvSpPr txBox="1"/>
            </xdr:nvSpPr>
            <xdr:spPr>
              <a:xfrm>
                <a:off x="8039101" y="39519225"/>
                <a:ext cx="228600" cy="2762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fr-FR" sz="1050">
                    <a:solidFill>
                      <a:srgbClr val="C00000"/>
                    </a:solidFill>
                  </a:rPr>
                  <a:t>c</a:t>
                </a:r>
              </a:p>
            </xdr:txBody>
          </xdr:sp>
        </xdr:grpSp>
        <xdr:sp macro="" textlink="">
          <xdr:nvSpPr>
            <xdr:cNvPr id="169" name="ZoneTexte 168">
              <a:extLst>
                <a:ext uri="{FF2B5EF4-FFF2-40B4-BE49-F238E27FC236}">
                  <a16:creationId xmlns:a16="http://schemas.microsoft.com/office/drawing/2014/main" id="{00000000-0008-0000-0500-0000A9000000}"/>
                </a:ext>
              </a:extLst>
            </xdr:cNvPr>
            <xdr:cNvSpPr txBox="1"/>
          </xdr:nvSpPr>
          <xdr:spPr>
            <a:xfrm>
              <a:off x="7620000" y="39304913"/>
              <a:ext cx="228600" cy="276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100" b="1">
                  <a:solidFill>
                    <a:srgbClr val="FF0000"/>
                  </a:solidFill>
                </a:rPr>
                <a:t>P</a:t>
              </a:r>
            </a:p>
          </xdr:txBody>
        </xdr:sp>
      </xdr:grpSp>
      <xdr:sp macro="" textlink="">
        <xdr:nvSpPr>
          <xdr:cNvPr id="192" name="Rectangle 191">
            <a:extLst>
              <a:ext uri="{FF2B5EF4-FFF2-40B4-BE49-F238E27FC236}">
                <a16:creationId xmlns:a16="http://schemas.microsoft.com/office/drawing/2014/main" id="{00000000-0008-0000-0500-0000C0000000}"/>
              </a:ext>
            </a:extLst>
          </xdr:cNvPr>
          <xdr:cNvSpPr/>
        </xdr:nvSpPr>
        <xdr:spPr>
          <a:xfrm>
            <a:off x="7581900" y="40062150"/>
            <a:ext cx="64800" cy="64800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193" name="Rectangle 192">
            <a:extLst>
              <a:ext uri="{FF2B5EF4-FFF2-40B4-BE49-F238E27FC236}">
                <a16:creationId xmlns:a16="http://schemas.microsoft.com/office/drawing/2014/main" id="{00000000-0008-0000-0500-0000C1000000}"/>
              </a:ext>
            </a:extLst>
          </xdr:cNvPr>
          <xdr:cNvSpPr/>
        </xdr:nvSpPr>
        <xdr:spPr>
          <a:xfrm>
            <a:off x="8448675" y="40062150"/>
            <a:ext cx="64800" cy="64800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  <xdr:twoCellAnchor>
    <xdr:from>
      <xdr:col>14</xdr:col>
      <xdr:colOff>819150</xdr:colOff>
      <xdr:row>218</xdr:row>
      <xdr:rowOff>85725</xdr:rowOff>
    </xdr:from>
    <xdr:to>
      <xdr:col>20</xdr:col>
      <xdr:colOff>277950</xdr:colOff>
      <xdr:row>233</xdr:row>
      <xdr:rowOff>182168</xdr:rowOff>
    </xdr:to>
    <xdr:pic>
      <xdr:nvPicPr>
        <xdr:cNvPr id="195" name="Image 194">
          <a:extLst>
            <a:ext uri="{FF2B5EF4-FFF2-40B4-BE49-F238E27FC236}">
              <a16:creationId xmlns:a16="http://schemas.microsoft.com/office/drawing/2014/main" id="{00000000-0008-0000-05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72600" y="40967025"/>
          <a:ext cx="4268925" cy="2953943"/>
        </a:xfrm>
        <a:prstGeom prst="rect">
          <a:avLst/>
        </a:prstGeom>
      </xdr:spPr>
    </xdr:pic>
    <xdr:clientData/>
  </xdr:twoCellAnchor>
  <xdr:twoCellAnchor>
    <xdr:from>
      <xdr:col>7</xdr:col>
      <xdr:colOff>352425</xdr:colOff>
      <xdr:row>237</xdr:row>
      <xdr:rowOff>171450</xdr:rowOff>
    </xdr:from>
    <xdr:to>
      <xdr:col>9</xdr:col>
      <xdr:colOff>487365</xdr:colOff>
      <xdr:row>244</xdr:row>
      <xdr:rowOff>73881</xdr:rowOff>
    </xdr:to>
    <xdr:grpSp>
      <xdr:nvGrpSpPr>
        <xdr:cNvPr id="211" name="Groupe 210">
          <a:extLst>
            <a:ext uri="{FF2B5EF4-FFF2-40B4-BE49-F238E27FC236}">
              <a16:creationId xmlns:a16="http://schemas.microsoft.com/office/drawing/2014/main" id="{00000000-0008-0000-0500-0000D3000000}"/>
            </a:ext>
          </a:extLst>
        </xdr:cNvPr>
        <xdr:cNvGrpSpPr/>
      </xdr:nvGrpSpPr>
      <xdr:grpSpPr>
        <a:xfrm>
          <a:off x="4486275" y="41433750"/>
          <a:ext cx="1563690" cy="1312131"/>
          <a:chOff x="4524375" y="39404925"/>
          <a:chExt cx="1563690" cy="1350231"/>
        </a:xfrm>
      </xdr:grpSpPr>
      <xdr:grpSp>
        <xdr:nvGrpSpPr>
          <xdr:cNvPr id="75" name="Groupe 74">
            <a:extLst>
              <a:ext uri="{FF2B5EF4-FFF2-40B4-BE49-F238E27FC236}">
                <a16:creationId xmlns:a16="http://schemas.microsoft.com/office/drawing/2014/main" id="{00000000-0008-0000-0500-00004B000000}"/>
              </a:ext>
            </a:extLst>
          </xdr:cNvPr>
          <xdr:cNvGrpSpPr>
            <a:grpSpLocks noChangeAspect="1"/>
          </xdr:cNvGrpSpPr>
        </xdr:nvGrpSpPr>
        <xdr:grpSpPr>
          <a:xfrm>
            <a:off x="4524375" y="39404925"/>
            <a:ext cx="1563690" cy="1350231"/>
            <a:chOff x="1600866" y="4301858"/>
            <a:chExt cx="1563690" cy="1350231"/>
          </a:xfrm>
        </xdr:grpSpPr>
        <xdr:cxnSp macro="">
          <xdr:nvCxnSpPr>
            <xdr:cNvPr id="79" name="Connecteur droit avec flèche 78">
              <a:extLst>
                <a:ext uri="{FF2B5EF4-FFF2-40B4-BE49-F238E27FC236}">
                  <a16:creationId xmlns:a16="http://schemas.microsoft.com/office/drawing/2014/main" id="{00000000-0008-0000-0500-00004F000000}"/>
                </a:ext>
              </a:extLst>
            </xdr:cNvPr>
            <xdr:cNvCxnSpPr/>
          </xdr:nvCxnSpPr>
          <xdr:spPr>
            <a:xfrm>
              <a:off x="2084134" y="5528343"/>
              <a:ext cx="1076086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24" name="Rectangle 123">
              <a:extLst>
                <a:ext uri="{FF2B5EF4-FFF2-40B4-BE49-F238E27FC236}">
                  <a16:creationId xmlns:a16="http://schemas.microsoft.com/office/drawing/2014/main" id="{00000000-0008-0000-0500-00007C000000}"/>
                </a:ext>
              </a:extLst>
            </xdr:cNvPr>
            <xdr:cNvSpPr/>
          </xdr:nvSpPr>
          <xdr:spPr>
            <a:xfrm>
              <a:off x="2160618" y="4791815"/>
              <a:ext cx="923339" cy="412923"/>
            </a:xfrm>
            <a:prstGeom prst="rect">
              <a:avLst/>
            </a:prstGeom>
            <a:solidFill>
              <a:schemeClr val="bg1">
                <a:lumMod val="85000"/>
              </a:schemeClr>
            </a:solidFill>
            <a:ln w="9525">
              <a:solidFill>
                <a:schemeClr val="bg1">
                  <a:lumMod val="65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25" name="Parenthèse fermante 124">
              <a:extLst>
                <a:ext uri="{FF2B5EF4-FFF2-40B4-BE49-F238E27FC236}">
                  <a16:creationId xmlns:a16="http://schemas.microsoft.com/office/drawing/2014/main" id="{00000000-0008-0000-0500-00007D000000}"/>
                </a:ext>
              </a:extLst>
            </xdr:cNvPr>
            <xdr:cNvSpPr/>
          </xdr:nvSpPr>
          <xdr:spPr>
            <a:xfrm rot="5400000">
              <a:off x="2149883" y="4245120"/>
              <a:ext cx="943313" cy="1080000"/>
            </a:xfrm>
            <a:prstGeom prst="rightBracket">
              <a:avLst>
                <a:gd name="adj" fmla="val 0"/>
              </a:avLst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41" name="Forme libre : forme 140">
              <a:extLst>
                <a:ext uri="{FF2B5EF4-FFF2-40B4-BE49-F238E27FC236}">
                  <a16:creationId xmlns:a16="http://schemas.microsoft.com/office/drawing/2014/main" id="{00000000-0008-0000-0500-00008D000000}"/>
                </a:ext>
              </a:extLst>
            </xdr:cNvPr>
            <xdr:cNvSpPr/>
          </xdr:nvSpPr>
          <xdr:spPr>
            <a:xfrm>
              <a:off x="2078524" y="4301858"/>
              <a:ext cx="1086032" cy="103454"/>
            </a:xfrm>
            <a:custGeom>
              <a:avLst/>
              <a:gdLst>
                <a:gd name="connsiteX0" fmla="*/ 0 w 726908"/>
                <a:gd name="connsiteY0" fmla="*/ 0 h 65180"/>
                <a:gd name="connsiteX1" fmla="*/ 300789 w 726908"/>
                <a:gd name="connsiteY1" fmla="*/ 65171 h 65180"/>
                <a:gd name="connsiteX2" fmla="*/ 536408 w 726908"/>
                <a:gd name="connsiteY2" fmla="*/ 5013 h 65180"/>
                <a:gd name="connsiteX3" fmla="*/ 726908 w 726908"/>
                <a:gd name="connsiteY3" fmla="*/ 10026 h 65180"/>
                <a:gd name="connsiteX4" fmla="*/ 726908 w 726908"/>
                <a:gd name="connsiteY4" fmla="*/ 10026 h 6518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726908" h="65180">
                  <a:moveTo>
                    <a:pt x="0" y="0"/>
                  </a:moveTo>
                  <a:cubicBezTo>
                    <a:pt x="105694" y="32168"/>
                    <a:pt x="211388" y="64336"/>
                    <a:pt x="300789" y="65171"/>
                  </a:cubicBezTo>
                  <a:cubicBezTo>
                    <a:pt x="390190" y="66006"/>
                    <a:pt x="465388" y="14204"/>
                    <a:pt x="536408" y="5013"/>
                  </a:cubicBezTo>
                  <a:cubicBezTo>
                    <a:pt x="607428" y="-4178"/>
                    <a:pt x="726908" y="10026"/>
                    <a:pt x="726908" y="10026"/>
                  </a:cubicBezTo>
                  <a:lnTo>
                    <a:pt x="726908" y="10026"/>
                  </a:lnTo>
                </a:path>
              </a:pathLst>
            </a:custGeom>
            <a:noFill/>
            <a:ln w="9525">
              <a:solidFill>
                <a:schemeClr val="tx1"/>
              </a:solidFill>
              <a:prstDash val="lgDashDot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sp macro="" textlink="">
          <xdr:nvSpPr>
            <xdr:cNvPr id="142" name="Rectangle 141">
              <a:extLst>
                <a:ext uri="{FF2B5EF4-FFF2-40B4-BE49-F238E27FC236}">
                  <a16:creationId xmlns:a16="http://schemas.microsoft.com/office/drawing/2014/main" id="{00000000-0008-0000-0500-00008E000000}"/>
                </a:ext>
              </a:extLst>
            </xdr:cNvPr>
            <xdr:cNvSpPr/>
          </xdr:nvSpPr>
          <xdr:spPr>
            <a:xfrm>
              <a:off x="2297540" y="4961939"/>
              <a:ext cx="648000" cy="72000"/>
            </a:xfrm>
            <a:prstGeom prst="rect">
              <a:avLst/>
            </a:prstGeom>
            <a:solidFill>
              <a:schemeClr val="bg1"/>
            </a:solidFill>
            <a:ln w="9525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  <xdr:cxnSp macro="">
          <xdr:nvCxnSpPr>
            <xdr:cNvPr id="149" name="Connecteur droit 148">
              <a:extLst>
                <a:ext uri="{FF2B5EF4-FFF2-40B4-BE49-F238E27FC236}">
                  <a16:creationId xmlns:a16="http://schemas.microsoft.com/office/drawing/2014/main" id="{00000000-0008-0000-0500-000095000000}"/>
                </a:ext>
              </a:extLst>
            </xdr:cNvPr>
            <xdr:cNvCxnSpPr/>
          </xdr:nvCxnSpPr>
          <xdr:spPr>
            <a:xfrm>
              <a:off x="2297430" y="5321362"/>
              <a:ext cx="0" cy="288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0" name="Connecteur droit 169">
              <a:extLst>
                <a:ext uri="{FF2B5EF4-FFF2-40B4-BE49-F238E27FC236}">
                  <a16:creationId xmlns:a16="http://schemas.microsoft.com/office/drawing/2014/main" id="{00000000-0008-0000-0500-0000AA000000}"/>
                </a:ext>
              </a:extLst>
            </xdr:cNvPr>
            <xdr:cNvCxnSpPr/>
          </xdr:nvCxnSpPr>
          <xdr:spPr>
            <a:xfrm>
              <a:off x="2945508" y="5311140"/>
              <a:ext cx="0" cy="288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3" name="Connecteur droit avec flèche 172">
              <a:extLst>
                <a:ext uri="{FF2B5EF4-FFF2-40B4-BE49-F238E27FC236}">
                  <a16:creationId xmlns:a16="http://schemas.microsoft.com/office/drawing/2014/main" id="{00000000-0008-0000-0500-0000AD000000}"/>
                </a:ext>
              </a:extLst>
            </xdr:cNvPr>
            <xdr:cNvCxnSpPr/>
          </xdr:nvCxnSpPr>
          <xdr:spPr>
            <a:xfrm>
              <a:off x="2300113" y="5528022"/>
              <a:ext cx="644586" cy="0"/>
            </a:xfrm>
            <a:prstGeom prst="straightConnector1">
              <a:avLst/>
            </a:prstGeom>
            <a:ln>
              <a:solidFill>
                <a:srgbClr val="C00000"/>
              </a:solidFill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175" name="ZoneTexte 174">
              <a:extLst>
                <a:ext uri="{FF2B5EF4-FFF2-40B4-BE49-F238E27FC236}">
                  <a16:creationId xmlns:a16="http://schemas.microsoft.com/office/drawing/2014/main" id="{00000000-0008-0000-0500-0000AF000000}"/>
                </a:ext>
              </a:extLst>
            </xdr:cNvPr>
            <xdr:cNvSpPr txBox="1"/>
          </xdr:nvSpPr>
          <xdr:spPr>
            <a:xfrm>
              <a:off x="2497286" y="5317733"/>
              <a:ext cx="235708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</a:p>
          </xdr:txBody>
        </xdr:sp>
        <xdr:cxnSp macro="">
          <xdr:nvCxnSpPr>
            <xdr:cNvPr id="183" name="Connecteur droit 182">
              <a:extLst>
                <a:ext uri="{FF2B5EF4-FFF2-40B4-BE49-F238E27FC236}">
                  <a16:creationId xmlns:a16="http://schemas.microsoft.com/office/drawing/2014/main" id="{00000000-0008-0000-0500-0000B7000000}"/>
                </a:ext>
              </a:extLst>
            </xdr:cNvPr>
            <xdr:cNvCxnSpPr/>
          </xdr:nvCxnSpPr>
          <xdr:spPr>
            <a:xfrm>
              <a:off x="2080260" y="5288293"/>
              <a:ext cx="0" cy="360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5" name="Connecteur droit 184">
              <a:extLst>
                <a:ext uri="{FF2B5EF4-FFF2-40B4-BE49-F238E27FC236}">
                  <a16:creationId xmlns:a16="http://schemas.microsoft.com/office/drawing/2014/main" id="{00000000-0008-0000-0500-0000B9000000}"/>
                </a:ext>
              </a:extLst>
            </xdr:cNvPr>
            <xdr:cNvCxnSpPr/>
          </xdr:nvCxnSpPr>
          <xdr:spPr>
            <a:xfrm>
              <a:off x="3162175" y="5292089"/>
              <a:ext cx="0" cy="36000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6" name="Connecteur droit avec flèche 185">
              <a:extLst>
                <a:ext uri="{FF2B5EF4-FFF2-40B4-BE49-F238E27FC236}">
                  <a16:creationId xmlns:a16="http://schemas.microsoft.com/office/drawing/2014/main" id="{00000000-0008-0000-0500-0000BA000000}"/>
                </a:ext>
              </a:extLst>
            </xdr:cNvPr>
            <xdr:cNvCxnSpPr/>
          </xdr:nvCxnSpPr>
          <xdr:spPr>
            <a:xfrm>
              <a:off x="1905181" y="4791815"/>
              <a:ext cx="0" cy="464699"/>
            </a:xfrm>
            <a:prstGeom prst="straightConnector1">
              <a:avLst/>
            </a:prstGeom>
            <a:ln>
              <a:solidFill>
                <a:srgbClr val="C00000"/>
              </a:solidFill>
              <a:headEnd type="triangle" w="sm" len="lg"/>
              <a:tailEnd type="triangle" w="sm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1" name="Connecteur droit 190">
              <a:extLst>
                <a:ext uri="{FF2B5EF4-FFF2-40B4-BE49-F238E27FC236}">
                  <a16:creationId xmlns:a16="http://schemas.microsoft.com/office/drawing/2014/main" id="{00000000-0008-0000-0500-0000BF000000}"/>
                </a:ext>
              </a:extLst>
            </xdr:cNvPr>
            <xdr:cNvCxnSpPr/>
          </xdr:nvCxnSpPr>
          <xdr:spPr>
            <a:xfrm>
              <a:off x="1828647" y="4794420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6" name="Connecteur droit 195">
              <a:extLst>
                <a:ext uri="{FF2B5EF4-FFF2-40B4-BE49-F238E27FC236}">
                  <a16:creationId xmlns:a16="http://schemas.microsoft.com/office/drawing/2014/main" id="{00000000-0008-0000-0500-0000C4000000}"/>
                </a:ext>
              </a:extLst>
            </xdr:cNvPr>
            <xdr:cNvCxnSpPr/>
          </xdr:nvCxnSpPr>
          <xdr:spPr>
            <a:xfrm>
              <a:off x="1827809" y="5260003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7" name="Connecteur droit 196">
              <a:extLst>
                <a:ext uri="{FF2B5EF4-FFF2-40B4-BE49-F238E27FC236}">
                  <a16:creationId xmlns:a16="http://schemas.microsoft.com/office/drawing/2014/main" id="{00000000-0008-0000-0500-0000C5000000}"/>
                </a:ext>
              </a:extLst>
            </xdr:cNvPr>
            <xdr:cNvCxnSpPr/>
          </xdr:nvCxnSpPr>
          <xdr:spPr>
            <a:xfrm>
              <a:off x="1828647" y="4964431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8" name="Connecteur droit 197">
              <a:extLst>
                <a:ext uri="{FF2B5EF4-FFF2-40B4-BE49-F238E27FC236}">
                  <a16:creationId xmlns:a16="http://schemas.microsoft.com/office/drawing/2014/main" id="{00000000-0008-0000-0500-0000C6000000}"/>
                </a:ext>
              </a:extLst>
            </xdr:cNvPr>
            <xdr:cNvCxnSpPr/>
          </xdr:nvCxnSpPr>
          <xdr:spPr>
            <a:xfrm>
              <a:off x="1828647" y="5036821"/>
              <a:ext cx="216000" cy="0"/>
            </a:xfrm>
            <a:prstGeom prst="line">
              <a:avLst/>
            </a:prstGeom>
            <a:ln w="9525">
              <a:solidFill>
                <a:srgbClr val="C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9" name="Connecteur droit avec flèche 198">
              <a:extLst>
                <a:ext uri="{FF2B5EF4-FFF2-40B4-BE49-F238E27FC236}">
                  <a16:creationId xmlns:a16="http://schemas.microsoft.com/office/drawing/2014/main" id="{00000000-0008-0000-0500-0000C7000000}"/>
                </a:ext>
              </a:extLst>
            </xdr:cNvPr>
            <xdr:cNvCxnSpPr/>
          </xdr:nvCxnSpPr>
          <xdr:spPr>
            <a:xfrm>
              <a:off x="1905998" y="4969144"/>
              <a:ext cx="0" cy="69217"/>
            </a:xfrm>
            <a:prstGeom prst="straightConnector1">
              <a:avLst/>
            </a:prstGeom>
            <a:ln>
              <a:solidFill>
                <a:srgbClr val="C00000"/>
              </a:solidFill>
              <a:round/>
              <a:headEnd type="oval" w="sm" len="sm"/>
              <a:tailEnd type="oval" w="sm" len="sm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00" name="ZoneTexte 199">
              <a:extLst>
                <a:ext uri="{FF2B5EF4-FFF2-40B4-BE49-F238E27FC236}">
                  <a16:creationId xmlns:a16="http://schemas.microsoft.com/office/drawing/2014/main" id="{00000000-0008-0000-0500-0000C8000000}"/>
                </a:ext>
              </a:extLst>
            </xdr:cNvPr>
            <xdr:cNvSpPr txBox="1"/>
          </xdr:nvSpPr>
          <xdr:spPr>
            <a:xfrm>
              <a:off x="1600866" y="4723409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C</a:t>
              </a:r>
            </a:p>
          </xdr:txBody>
        </xdr:sp>
        <xdr:sp macro="" textlink="">
          <xdr:nvSpPr>
            <xdr:cNvPr id="201" name="ZoneTexte 200">
              <a:extLst>
                <a:ext uri="{FF2B5EF4-FFF2-40B4-BE49-F238E27FC236}">
                  <a16:creationId xmlns:a16="http://schemas.microsoft.com/office/drawing/2014/main" id="{00000000-0008-0000-0500-0000C9000000}"/>
                </a:ext>
              </a:extLst>
            </xdr:cNvPr>
            <xdr:cNvSpPr txBox="1"/>
          </xdr:nvSpPr>
          <xdr:spPr>
            <a:xfrm>
              <a:off x="1600867" y="4862816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t</a:t>
              </a:r>
              <a:r>
                <a:rPr lang="fr-FR" sz="1100" baseline="-25000"/>
                <a:t>f</a:t>
              </a:r>
              <a:endParaRPr lang="fr-FR" sz="1100"/>
            </a:p>
          </xdr:txBody>
        </xdr:sp>
        <xdr:sp macro="" textlink="">
          <xdr:nvSpPr>
            <xdr:cNvPr id="202" name="ZoneTexte 201">
              <a:extLst>
                <a:ext uri="{FF2B5EF4-FFF2-40B4-BE49-F238E27FC236}">
                  <a16:creationId xmlns:a16="http://schemas.microsoft.com/office/drawing/2014/main" id="{00000000-0008-0000-0500-0000CA000000}"/>
                </a:ext>
              </a:extLst>
            </xdr:cNvPr>
            <xdr:cNvSpPr txBox="1"/>
          </xdr:nvSpPr>
          <xdr:spPr>
            <a:xfrm>
              <a:off x="1600866" y="5032920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p,v</a:t>
              </a:r>
            </a:p>
          </xdr:txBody>
        </xdr:sp>
        <xdr:sp macro="" textlink="">
          <xdr:nvSpPr>
            <xdr:cNvPr id="203" name="ZoneTexte 202">
              <a:extLst>
                <a:ext uri="{FF2B5EF4-FFF2-40B4-BE49-F238E27FC236}">
                  <a16:creationId xmlns:a16="http://schemas.microsoft.com/office/drawing/2014/main" id="{00000000-0008-0000-0500-0000CB000000}"/>
                </a:ext>
              </a:extLst>
            </xdr:cNvPr>
            <xdr:cNvSpPr txBox="1"/>
          </xdr:nvSpPr>
          <xdr:spPr>
            <a:xfrm>
              <a:off x="2003148" y="5266623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p,h</a:t>
              </a:r>
            </a:p>
          </xdr:txBody>
        </xdr:sp>
        <xdr:sp macro="" textlink="">
          <xdr:nvSpPr>
            <xdr:cNvPr id="204" name="ZoneTexte 203">
              <a:extLst>
                <a:ext uri="{FF2B5EF4-FFF2-40B4-BE49-F238E27FC236}">
                  <a16:creationId xmlns:a16="http://schemas.microsoft.com/office/drawing/2014/main" id="{00000000-0008-0000-0500-0000CC000000}"/>
                </a:ext>
              </a:extLst>
            </xdr:cNvPr>
            <xdr:cNvSpPr txBox="1"/>
          </xdr:nvSpPr>
          <xdr:spPr>
            <a:xfrm>
              <a:off x="2872344" y="5266623"/>
              <a:ext cx="228604" cy="22767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overflow" horzOverflow="overflow" wrap="none" rtlCol="0" anchor="t"/>
            <a:lstStyle/>
            <a:p>
              <a:pPr algn="l"/>
              <a:r>
                <a:rPr lang="fr-FR" sz="1100"/>
                <a:t>B</a:t>
              </a:r>
              <a:r>
                <a:rPr lang="fr-FR" sz="1100" baseline="-25000"/>
                <a:t>p,h</a:t>
              </a:r>
            </a:p>
          </xdr:txBody>
        </xdr:sp>
      </xdr:grpSp>
      <xdr:sp macro="" textlink="">
        <xdr:nvSpPr>
          <xdr:cNvPr id="206" name="ZoneTexte 205">
            <a:extLst>
              <a:ext uri="{FF2B5EF4-FFF2-40B4-BE49-F238E27FC236}">
                <a16:creationId xmlns:a16="http://schemas.microsoft.com/office/drawing/2014/main" id="{00000000-0008-0000-0500-0000CE000000}"/>
              </a:ext>
            </a:extLst>
          </xdr:cNvPr>
          <xdr:cNvSpPr txBox="1"/>
        </xdr:nvSpPr>
        <xdr:spPr>
          <a:xfrm>
            <a:off x="4686300" y="39452550"/>
            <a:ext cx="228604" cy="22767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p</a:t>
            </a:r>
            <a:endParaRPr lang="fr-FR" sz="1100"/>
          </a:p>
        </xdr:txBody>
      </xdr:sp>
      <xdr:cxnSp macro="">
        <xdr:nvCxnSpPr>
          <xdr:cNvPr id="208" name="Connecteur droit 207">
            <a:extLst>
              <a:ext uri="{FF2B5EF4-FFF2-40B4-BE49-F238E27FC236}">
                <a16:creationId xmlns:a16="http://schemas.microsoft.com/office/drawing/2014/main" id="{00000000-0008-0000-0500-0000D0000000}"/>
              </a:ext>
            </a:extLst>
          </xdr:cNvPr>
          <xdr:cNvCxnSpPr>
            <a:endCxn id="206" idx="3"/>
          </xdr:cNvCxnSpPr>
        </xdr:nvCxnSpPr>
        <xdr:spPr>
          <a:xfrm flipH="1" flipV="1">
            <a:off x="4914904" y="39566386"/>
            <a:ext cx="247646" cy="86189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head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341431</xdr:colOff>
      <xdr:row>247</xdr:row>
      <xdr:rowOff>10182</xdr:rowOff>
    </xdr:from>
    <xdr:to>
      <xdr:col>10</xdr:col>
      <xdr:colOff>50765</xdr:colOff>
      <xdr:row>254</xdr:row>
      <xdr:rowOff>156567</xdr:rowOff>
    </xdr:to>
    <xdr:grpSp>
      <xdr:nvGrpSpPr>
        <xdr:cNvPr id="246" name="Groupe 245">
          <a:extLst>
            <a:ext uri="{FF2B5EF4-FFF2-40B4-BE49-F238E27FC236}">
              <a16:creationId xmlns:a16="http://schemas.microsoft.com/office/drawing/2014/main" id="{84D88ACF-4A1F-8407-B75F-C216121A46CF}"/>
            </a:ext>
          </a:extLst>
        </xdr:cNvPr>
        <xdr:cNvGrpSpPr/>
      </xdr:nvGrpSpPr>
      <xdr:grpSpPr>
        <a:xfrm>
          <a:off x="4475281" y="43253682"/>
          <a:ext cx="1852459" cy="1479885"/>
          <a:chOff x="7487908" y="42979418"/>
          <a:chExt cx="1841923" cy="1479885"/>
        </a:xfrm>
      </xdr:grpSpPr>
      <xdr:sp macro="" textlink="">
        <xdr:nvSpPr>
          <xdr:cNvPr id="236" name="Rectangle 235">
            <a:extLst>
              <a:ext uri="{FF2B5EF4-FFF2-40B4-BE49-F238E27FC236}">
                <a16:creationId xmlns:a16="http://schemas.microsoft.com/office/drawing/2014/main" id="{743041B3-6C4E-E02B-19C3-FD0818752E3C}"/>
              </a:ext>
            </a:extLst>
          </xdr:cNvPr>
          <xdr:cNvSpPr/>
        </xdr:nvSpPr>
        <xdr:spPr>
          <a:xfrm>
            <a:off x="7975301" y="43023344"/>
            <a:ext cx="1081798" cy="108000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35" name="Rectangle 234">
            <a:extLst>
              <a:ext uri="{FF2B5EF4-FFF2-40B4-BE49-F238E27FC236}">
                <a16:creationId xmlns:a16="http://schemas.microsoft.com/office/drawing/2014/main" id="{1F07696C-83DA-4739-9C08-8E20B889750B}"/>
              </a:ext>
            </a:extLst>
          </xdr:cNvPr>
          <xdr:cNvSpPr/>
        </xdr:nvSpPr>
        <xdr:spPr>
          <a:xfrm>
            <a:off x="8326301" y="43100744"/>
            <a:ext cx="379798" cy="92520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12" name="Connecteur droit avec flèche 211">
            <a:extLst>
              <a:ext uri="{FF2B5EF4-FFF2-40B4-BE49-F238E27FC236}">
                <a16:creationId xmlns:a16="http://schemas.microsoft.com/office/drawing/2014/main" id="{51C76022-05E5-9C75-B405-0B7C85ECD799}"/>
              </a:ext>
            </a:extLst>
          </xdr:cNvPr>
          <xdr:cNvCxnSpPr/>
        </xdr:nvCxnSpPr>
        <xdr:spPr>
          <a:xfrm>
            <a:off x="7974051" y="44346032"/>
            <a:ext cx="1077884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13" name="Rectangle 212">
            <a:extLst>
              <a:ext uri="{FF2B5EF4-FFF2-40B4-BE49-F238E27FC236}">
                <a16:creationId xmlns:a16="http://schemas.microsoft.com/office/drawing/2014/main" id="{A7CD1596-C41E-83FF-7CDE-10ACCFF250DB}"/>
              </a:ext>
            </a:extLst>
          </xdr:cNvPr>
          <xdr:cNvSpPr/>
        </xdr:nvSpPr>
        <xdr:spPr>
          <a:xfrm>
            <a:off x="8053632" y="43374360"/>
            <a:ext cx="925137" cy="377968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16" name="Rectangle 215">
            <a:extLst>
              <a:ext uri="{FF2B5EF4-FFF2-40B4-BE49-F238E27FC236}">
                <a16:creationId xmlns:a16="http://schemas.microsoft.com/office/drawing/2014/main" id="{4D8405B8-B89D-70B9-17D2-8E3BF85C9CE2}"/>
              </a:ext>
            </a:extLst>
          </xdr:cNvPr>
          <xdr:cNvSpPr/>
        </xdr:nvSpPr>
        <xdr:spPr>
          <a:xfrm>
            <a:off x="8191301" y="43530392"/>
            <a:ext cx="649798" cy="65905"/>
          </a:xfrm>
          <a:prstGeom prst="rect">
            <a:avLst/>
          </a:prstGeom>
          <a:solidFill>
            <a:schemeClr val="bg1"/>
          </a:solidFill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17" name="Connecteur droit 216">
            <a:extLst>
              <a:ext uri="{FF2B5EF4-FFF2-40B4-BE49-F238E27FC236}">
                <a16:creationId xmlns:a16="http://schemas.microsoft.com/office/drawing/2014/main" id="{22B98F35-2E04-047B-68CE-48CE8BADD12D}"/>
              </a:ext>
            </a:extLst>
          </xdr:cNvPr>
          <xdr:cNvCxnSpPr/>
        </xdr:nvCxnSpPr>
        <xdr:spPr>
          <a:xfrm>
            <a:off x="8187347" y="44156573"/>
            <a:ext cx="0" cy="26362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8" name="Connecteur droit 217">
            <a:extLst>
              <a:ext uri="{FF2B5EF4-FFF2-40B4-BE49-F238E27FC236}">
                <a16:creationId xmlns:a16="http://schemas.microsoft.com/office/drawing/2014/main" id="{C6CFE0EA-D961-FBF4-4798-1086ED9E2C20}"/>
              </a:ext>
            </a:extLst>
          </xdr:cNvPr>
          <xdr:cNvCxnSpPr/>
        </xdr:nvCxnSpPr>
        <xdr:spPr>
          <a:xfrm>
            <a:off x="8837223" y="44147216"/>
            <a:ext cx="0" cy="26362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9" name="Connecteur droit avec flèche 218">
            <a:extLst>
              <a:ext uri="{FF2B5EF4-FFF2-40B4-BE49-F238E27FC236}">
                <a16:creationId xmlns:a16="http://schemas.microsoft.com/office/drawing/2014/main" id="{F654BA5E-A3E0-9F5B-E74B-B6F1FC486541}"/>
              </a:ext>
            </a:extLst>
          </xdr:cNvPr>
          <xdr:cNvCxnSpPr/>
        </xdr:nvCxnSpPr>
        <xdr:spPr>
          <a:xfrm>
            <a:off x="8190030" y="44345739"/>
            <a:ext cx="646384" cy="0"/>
          </a:xfrm>
          <a:prstGeom prst="straightConnector1">
            <a:avLst/>
          </a:prstGeom>
          <a:ln>
            <a:solidFill>
              <a:srgbClr val="C00000"/>
            </a:solidFill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0" name="ZoneTexte 219">
            <a:extLst>
              <a:ext uri="{FF2B5EF4-FFF2-40B4-BE49-F238E27FC236}">
                <a16:creationId xmlns:a16="http://schemas.microsoft.com/office/drawing/2014/main" id="{91D2272B-1C2F-604D-B233-6378E8797DBB}"/>
              </a:ext>
            </a:extLst>
          </xdr:cNvPr>
          <xdr:cNvSpPr txBox="1"/>
        </xdr:nvSpPr>
        <xdr:spPr>
          <a:xfrm>
            <a:off x="8387203" y="44153251"/>
            <a:ext cx="23750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</a:p>
        </xdr:txBody>
      </xdr:sp>
      <xdr:cxnSp macro="">
        <xdr:nvCxnSpPr>
          <xdr:cNvPr id="221" name="Connecteur droit 220">
            <a:extLst>
              <a:ext uri="{FF2B5EF4-FFF2-40B4-BE49-F238E27FC236}">
                <a16:creationId xmlns:a16="http://schemas.microsoft.com/office/drawing/2014/main" id="{043EE84F-4B28-0B77-12B1-2D8046A5AB2E}"/>
              </a:ext>
            </a:extLst>
          </xdr:cNvPr>
          <xdr:cNvCxnSpPr/>
        </xdr:nvCxnSpPr>
        <xdr:spPr>
          <a:xfrm>
            <a:off x="7970177" y="44126303"/>
            <a:ext cx="0" cy="32952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2" name="Connecteur droit 221">
            <a:extLst>
              <a:ext uri="{FF2B5EF4-FFF2-40B4-BE49-F238E27FC236}">
                <a16:creationId xmlns:a16="http://schemas.microsoft.com/office/drawing/2014/main" id="{5DDE557E-0B01-9E25-32D2-DB149DBB35F4}"/>
              </a:ext>
            </a:extLst>
          </xdr:cNvPr>
          <xdr:cNvCxnSpPr/>
        </xdr:nvCxnSpPr>
        <xdr:spPr>
          <a:xfrm>
            <a:off x="9053890" y="44129778"/>
            <a:ext cx="0" cy="32952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3" name="Connecteur droit avec flèche 222">
            <a:extLst>
              <a:ext uri="{FF2B5EF4-FFF2-40B4-BE49-F238E27FC236}">
                <a16:creationId xmlns:a16="http://schemas.microsoft.com/office/drawing/2014/main" id="{E479914F-BDD9-046D-5D88-FEF211A2722C}"/>
              </a:ext>
            </a:extLst>
          </xdr:cNvPr>
          <xdr:cNvCxnSpPr/>
        </xdr:nvCxnSpPr>
        <xdr:spPr>
          <a:xfrm>
            <a:off x="7795098" y="43024245"/>
            <a:ext cx="0" cy="1076563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4" name="Connecteur droit 223">
            <a:extLst>
              <a:ext uri="{FF2B5EF4-FFF2-40B4-BE49-F238E27FC236}">
                <a16:creationId xmlns:a16="http://schemas.microsoft.com/office/drawing/2014/main" id="{6C9FAE37-2258-8100-0486-292024F9F71B}"/>
              </a:ext>
            </a:extLst>
          </xdr:cNvPr>
          <xdr:cNvCxnSpPr/>
        </xdr:nvCxnSpPr>
        <xdr:spPr>
          <a:xfrm>
            <a:off x="7714610" y="43027257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5" name="Connecteur droit 224">
            <a:extLst>
              <a:ext uri="{FF2B5EF4-FFF2-40B4-BE49-F238E27FC236}">
                <a16:creationId xmlns:a16="http://schemas.microsoft.com/office/drawing/2014/main" id="{4C9E246C-1A25-3322-4C5F-362CA34AEB31}"/>
              </a:ext>
            </a:extLst>
          </xdr:cNvPr>
          <xdr:cNvCxnSpPr/>
        </xdr:nvCxnSpPr>
        <xdr:spPr>
          <a:xfrm>
            <a:off x="7714610" y="44100408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6" name="Connecteur droit 225">
            <a:extLst>
              <a:ext uri="{FF2B5EF4-FFF2-40B4-BE49-F238E27FC236}">
                <a16:creationId xmlns:a16="http://schemas.microsoft.com/office/drawing/2014/main" id="{38E53437-8C8F-C648-6A57-3D6A0B50CAC3}"/>
              </a:ext>
            </a:extLst>
          </xdr:cNvPr>
          <xdr:cNvCxnSpPr/>
        </xdr:nvCxnSpPr>
        <xdr:spPr>
          <a:xfrm>
            <a:off x="7714610" y="43535123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7" name="Connecteur droit 226">
            <a:extLst>
              <a:ext uri="{FF2B5EF4-FFF2-40B4-BE49-F238E27FC236}">
                <a16:creationId xmlns:a16="http://schemas.microsoft.com/office/drawing/2014/main" id="{E3C162A4-C4E3-345F-3CF7-87005C0878CF}"/>
              </a:ext>
            </a:extLst>
          </xdr:cNvPr>
          <xdr:cNvCxnSpPr/>
        </xdr:nvCxnSpPr>
        <xdr:spPr>
          <a:xfrm>
            <a:off x="7714610" y="43597792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28" name="Connecteur droit avec flèche 227">
            <a:extLst>
              <a:ext uri="{FF2B5EF4-FFF2-40B4-BE49-F238E27FC236}">
                <a16:creationId xmlns:a16="http://schemas.microsoft.com/office/drawing/2014/main" id="{B76273BB-B2E2-AFFE-B3F3-23618B499AF5}"/>
              </a:ext>
            </a:extLst>
          </xdr:cNvPr>
          <xdr:cNvCxnSpPr/>
        </xdr:nvCxnSpPr>
        <xdr:spPr>
          <a:xfrm>
            <a:off x="7795915" y="43539438"/>
            <a:ext cx="0" cy="63358"/>
          </a:xfrm>
          <a:prstGeom prst="straightConnector1">
            <a:avLst/>
          </a:prstGeom>
          <a:ln>
            <a:solidFill>
              <a:srgbClr val="C00000"/>
            </a:solidFill>
            <a:round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9" name="ZoneTexte 228">
            <a:extLst>
              <a:ext uri="{FF2B5EF4-FFF2-40B4-BE49-F238E27FC236}">
                <a16:creationId xmlns:a16="http://schemas.microsoft.com/office/drawing/2014/main" id="{8AA01774-6A58-56F2-B929-E20E2AD95929}"/>
              </a:ext>
            </a:extLst>
          </xdr:cNvPr>
          <xdr:cNvSpPr txBox="1"/>
        </xdr:nvSpPr>
        <xdr:spPr>
          <a:xfrm>
            <a:off x="9096261" y="43328879"/>
            <a:ext cx="230401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C</a:t>
            </a:r>
          </a:p>
        </xdr:txBody>
      </xdr:sp>
      <xdr:sp macro="" textlink="">
        <xdr:nvSpPr>
          <xdr:cNvPr id="230" name="ZoneTexte 229">
            <a:extLst>
              <a:ext uri="{FF2B5EF4-FFF2-40B4-BE49-F238E27FC236}">
                <a16:creationId xmlns:a16="http://schemas.microsoft.com/office/drawing/2014/main" id="{FFB5CEDB-C9B2-9D78-AA83-3977DE6546EB}"/>
              </a:ext>
            </a:extLst>
          </xdr:cNvPr>
          <xdr:cNvSpPr txBox="1"/>
        </xdr:nvSpPr>
        <xdr:spPr>
          <a:xfrm>
            <a:off x="7503364" y="43398977"/>
            <a:ext cx="230401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f</a:t>
            </a:r>
            <a:endParaRPr lang="fr-FR" sz="1100"/>
          </a:p>
        </xdr:txBody>
      </xdr:sp>
      <xdr:sp macro="" textlink="">
        <xdr:nvSpPr>
          <xdr:cNvPr id="231" name="ZoneTexte 230">
            <a:extLst>
              <a:ext uri="{FF2B5EF4-FFF2-40B4-BE49-F238E27FC236}">
                <a16:creationId xmlns:a16="http://schemas.microsoft.com/office/drawing/2014/main" id="{D751DCE1-5255-7FEB-E8A6-83DDA6C30087}"/>
              </a:ext>
            </a:extLst>
          </xdr:cNvPr>
          <xdr:cNvSpPr txBox="1"/>
        </xdr:nvSpPr>
        <xdr:spPr>
          <a:xfrm>
            <a:off x="7488986" y="43870984"/>
            <a:ext cx="230401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p,v</a:t>
            </a:r>
          </a:p>
        </xdr:txBody>
      </xdr:sp>
      <xdr:sp macro="" textlink="">
        <xdr:nvSpPr>
          <xdr:cNvPr id="232" name="ZoneTexte 231">
            <a:extLst>
              <a:ext uri="{FF2B5EF4-FFF2-40B4-BE49-F238E27FC236}">
                <a16:creationId xmlns:a16="http://schemas.microsoft.com/office/drawing/2014/main" id="{57F515AB-7483-9479-E23D-B65AED2E6368}"/>
              </a:ext>
            </a:extLst>
          </xdr:cNvPr>
          <xdr:cNvSpPr txBox="1"/>
        </xdr:nvSpPr>
        <xdr:spPr>
          <a:xfrm>
            <a:off x="7893065" y="44106468"/>
            <a:ext cx="228604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p,h</a:t>
            </a:r>
          </a:p>
        </xdr:txBody>
      </xdr:sp>
      <xdr:sp macro="" textlink="">
        <xdr:nvSpPr>
          <xdr:cNvPr id="233" name="ZoneTexte 232">
            <a:extLst>
              <a:ext uri="{FF2B5EF4-FFF2-40B4-BE49-F238E27FC236}">
                <a16:creationId xmlns:a16="http://schemas.microsoft.com/office/drawing/2014/main" id="{2ACD353E-DF08-FF6D-C952-1229A499E9A5}"/>
              </a:ext>
            </a:extLst>
          </xdr:cNvPr>
          <xdr:cNvSpPr txBox="1"/>
        </xdr:nvSpPr>
        <xdr:spPr>
          <a:xfrm>
            <a:off x="8764059" y="44106468"/>
            <a:ext cx="228604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p,h</a:t>
            </a:r>
          </a:p>
        </xdr:txBody>
      </xdr:sp>
      <xdr:sp macro="" textlink="">
        <xdr:nvSpPr>
          <xdr:cNvPr id="209" name="ZoneTexte 208">
            <a:extLst>
              <a:ext uri="{FF2B5EF4-FFF2-40B4-BE49-F238E27FC236}">
                <a16:creationId xmlns:a16="http://schemas.microsoft.com/office/drawing/2014/main" id="{40FAA69C-C7E9-3018-38A0-BE1537DD3957}"/>
              </a:ext>
            </a:extLst>
          </xdr:cNvPr>
          <xdr:cNvSpPr txBox="1"/>
        </xdr:nvSpPr>
        <xdr:spPr>
          <a:xfrm>
            <a:off x="9099430" y="42979418"/>
            <a:ext cx="230401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p</a:t>
            </a:r>
            <a:endParaRPr lang="fr-FR" sz="1100"/>
          </a:p>
        </xdr:txBody>
      </xdr:sp>
      <xdr:cxnSp macro="">
        <xdr:nvCxnSpPr>
          <xdr:cNvPr id="210" name="Connecteur droit 209">
            <a:extLst>
              <a:ext uri="{FF2B5EF4-FFF2-40B4-BE49-F238E27FC236}">
                <a16:creationId xmlns:a16="http://schemas.microsoft.com/office/drawing/2014/main" id="{CFB0C380-71B4-F5A6-8F29-1D80F90D2010}"/>
              </a:ext>
            </a:extLst>
          </xdr:cNvPr>
          <xdr:cNvCxnSpPr/>
        </xdr:nvCxnSpPr>
        <xdr:spPr>
          <a:xfrm flipV="1">
            <a:off x="8962844" y="43128482"/>
            <a:ext cx="199127" cy="116699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head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4" name="Rectangle 233">
            <a:extLst>
              <a:ext uri="{FF2B5EF4-FFF2-40B4-BE49-F238E27FC236}">
                <a16:creationId xmlns:a16="http://schemas.microsoft.com/office/drawing/2014/main" id="{4BA71C05-BD63-4536-93BC-759486224C2B}"/>
              </a:ext>
            </a:extLst>
          </xdr:cNvPr>
          <xdr:cNvSpPr/>
        </xdr:nvSpPr>
        <xdr:spPr>
          <a:xfrm>
            <a:off x="8483800" y="43239344"/>
            <a:ext cx="64800" cy="648000"/>
          </a:xfrm>
          <a:prstGeom prst="rect">
            <a:avLst/>
          </a:prstGeom>
          <a:solidFill>
            <a:schemeClr val="bg1"/>
          </a:solidFill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38" name="Connecteur droit avec flèche 237">
            <a:extLst>
              <a:ext uri="{FF2B5EF4-FFF2-40B4-BE49-F238E27FC236}">
                <a16:creationId xmlns:a16="http://schemas.microsoft.com/office/drawing/2014/main" id="{4A0A16A0-25DF-443D-82A3-DC304F1E5FF1}"/>
              </a:ext>
            </a:extLst>
          </xdr:cNvPr>
          <xdr:cNvCxnSpPr/>
        </xdr:nvCxnSpPr>
        <xdr:spPr>
          <a:xfrm>
            <a:off x="9137499" y="43391494"/>
            <a:ext cx="0" cy="171902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0" name="Connecteur droit 239">
            <a:extLst>
              <a:ext uri="{FF2B5EF4-FFF2-40B4-BE49-F238E27FC236}">
                <a16:creationId xmlns:a16="http://schemas.microsoft.com/office/drawing/2014/main" id="{19AD6AAE-9426-4FBD-A096-65E818F26D66}"/>
              </a:ext>
            </a:extLst>
          </xdr:cNvPr>
          <xdr:cNvCxnSpPr/>
        </xdr:nvCxnSpPr>
        <xdr:spPr>
          <a:xfrm>
            <a:off x="9103104" y="43390285"/>
            <a:ext cx="14341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1" name="Connecteur droit 240">
            <a:extLst>
              <a:ext uri="{FF2B5EF4-FFF2-40B4-BE49-F238E27FC236}">
                <a16:creationId xmlns:a16="http://schemas.microsoft.com/office/drawing/2014/main" id="{08B8745B-56D6-4D47-A456-49D1C0A7D216}"/>
              </a:ext>
            </a:extLst>
          </xdr:cNvPr>
          <xdr:cNvCxnSpPr/>
        </xdr:nvCxnSpPr>
        <xdr:spPr>
          <a:xfrm>
            <a:off x="9108136" y="43560657"/>
            <a:ext cx="143416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43" name="ZoneTexte 242">
            <a:extLst>
              <a:ext uri="{FF2B5EF4-FFF2-40B4-BE49-F238E27FC236}">
                <a16:creationId xmlns:a16="http://schemas.microsoft.com/office/drawing/2014/main" id="{7F07E07A-8F4A-404E-8361-D2E2F151A9C1}"/>
              </a:ext>
            </a:extLst>
          </xdr:cNvPr>
          <xdr:cNvSpPr txBox="1"/>
        </xdr:nvSpPr>
        <xdr:spPr>
          <a:xfrm>
            <a:off x="7487908" y="43004746"/>
            <a:ext cx="230401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p,v</a:t>
            </a:r>
          </a:p>
        </xdr:txBody>
      </xdr:sp>
      <xdr:cxnSp macro="">
        <xdr:nvCxnSpPr>
          <xdr:cNvPr id="244" name="Connecteur droit 243">
            <a:extLst>
              <a:ext uri="{FF2B5EF4-FFF2-40B4-BE49-F238E27FC236}">
                <a16:creationId xmlns:a16="http://schemas.microsoft.com/office/drawing/2014/main" id="{EAA00564-6615-44E5-B1A3-067B4E1B489B}"/>
              </a:ext>
            </a:extLst>
          </xdr:cNvPr>
          <xdr:cNvCxnSpPr/>
        </xdr:nvCxnSpPr>
        <xdr:spPr>
          <a:xfrm>
            <a:off x="7714610" y="43262327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5" name="Connecteur droit 244">
            <a:extLst>
              <a:ext uri="{FF2B5EF4-FFF2-40B4-BE49-F238E27FC236}">
                <a16:creationId xmlns:a16="http://schemas.microsoft.com/office/drawing/2014/main" id="{B3DB949E-1842-4C14-BBB3-062F6739B94A}"/>
              </a:ext>
            </a:extLst>
          </xdr:cNvPr>
          <xdr:cNvCxnSpPr/>
        </xdr:nvCxnSpPr>
        <xdr:spPr>
          <a:xfrm>
            <a:off x="7714610" y="43903557"/>
            <a:ext cx="216000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598606</xdr:colOff>
      <xdr:row>257</xdr:row>
      <xdr:rowOff>23265</xdr:rowOff>
    </xdr:from>
    <xdr:to>
      <xdr:col>10</xdr:col>
      <xdr:colOff>49613</xdr:colOff>
      <xdr:row>265</xdr:row>
      <xdr:rowOff>140092</xdr:rowOff>
    </xdr:to>
    <xdr:grpSp>
      <xdr:nvGrpSpPr>
        <xdr:cNvPr id="298" name="Groupe 297">
          <a:extLst>
            <a:ext uri="{FF2B5EF4-FFF2-40B4-BE49-F238E27FC236}">
              <a16:creationId xmlns:a16="http://schemas.microsoft.com/office/drawing/2014/main" id="{42B75935-9423-FD84-D4A1-0DAEBB0FF50D}"/>
            </a:ext>
          </a:extLst>
        </xdr:cNvPr>
        <xdr:cNvGrpSpPr/>
      </xdr:nvGrpSpPr>
      <xdr:grpSpPr>
        <a:xfrm>
          <a:off x="4732456" y="45171765"/>
          <a:ext cx="1594132" cy="1640827"/>
          <a:chOff x="7740995" y="44012436"/>
          <a:chExt cx="1594132" cy="1640827"/>
        </a:xfrm>
      </xdr:grpSpPr>
      <xdr:sp macro="" textlink="">
        <xdr:nvSpPr>
          <xdr:cNvPr id="253" name="Rectangle 252">
            <a:extLst>
              <a:ext uri="{FF2B5EF4-FFF2-40B4-BE49-F238E27FC236}">
                <a16:creationId xmlns:a16="http://schemas.microsoft.com/office/drawing/2014/main" id="{1B7D09D6-479D-F74D-AC71-9426B11AD72D}"/>
              </a:ext>
            </a:extLst>
          </xdr:cNvPr>
          <xdr:cNvSpPr/>
        </xdr:nvSpPr>
        <xdr:spPr>
          <a:xfrm>
            <a:off x="8441626" y="44196879"/>
            <a:ext cx="380780" cy="925200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83" name="Rectangle 282">
            <a:extLst>
              <a:ext uri="{FF2B5EF4-FFF2-40B4-BE49-F238E27FC236}">
                <a16:creationId xmlns:a16="http://schemas.microsoft.com/office/drawing/2014/main" id="{4CB99A72-CC79-42CC-AF37-D5F2A554E261}"/>
              </a:ext>
            </a:extLst>
          </xdr:cNvPr>
          <xdr:cNvSpPr/>
        </xdr:nvSpPr>
        <xdr:spPr>
          <a:xfrm>
            <a:off x="8292719" y="44825559"/>
            <a:ext cx="683458" cy="377968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52" name="Rectangle 251">
            <a:extLst>
              <a:ext uri="{FF2B5EF4-FFF2-40B4-BE49-F238E27FC236}">
                <a16:creationId xmlns:a16="http://schemas.microsoft.com/office/drawing/2014/main" id="{3456B860-5FE7-C7C1-BA17-59DFDBB22273}"/>
              </a:ext>
            </a:extLst>
          </xdr:cNvPr>
          <xdr:cNvSpPr/>
        </xdr:nvSpPr>
        <xdr:spPr>
          <a:xfrm>
            <a:off x="8232248" y="44023218"/>
            <a:ext cx="799536" cy="1264596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54" name="Connecteur droit avec flèche 253">
            <a:extLst>
              <a:ext uri="{FF2B5EF4-FFF2-40B4-BE49-F238E27FC236}">
                <a16:creationId xmlns:a16="http://schemas.microsoft.com/office/drawing/2014/main" id="{C611748D-5FBA-B628-37CE-8AC0B6DA3381}"/>
              </a:ext>
            </a:extLst>
          </xdr:cNvPr>
          <xdr:cNvCxnSpPr/>
        </xdr:nvCxnSpPr>
        <xdr:spPr>
          <a:xfrm>
            <a:off x="8230989" y="45539992"/>
            <a:ext cx="804301" cy="0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5" name="Rectangle 254">
            <a:extLst>
              <a:ext uri="{FF2B5EF4-FFF2-40B4-BE49-F238E27FC236}">
                <a16:creationId xmlns:a16="http://schemas.microsoft.com/office/drawing/2014/main" id="{C99893CB-92EA-2912-49C3-B3CDD0EEAAAC}"/>
              </a:ext>
            </a:extLst>
          </xdr:cNvPr>
          <xdr:cNvSpPr/>
        </xdr:nvSpPr>
        <xdr:spPr>
          <a:xfrm>
            <a:off x="8290287" y="44113817"/>
            <a:ext cx="683458" cy="377968"/>
          </a:xfrm>
          <a:prstGeom prst="rect">
            <a:avLst/>
          </a:prstGeom>
          <a:solidFill>
            <a:schemeClr val="bg1">
              <a:lumMod val="85000"/>
            </a:schemeClr>
          </a:solidFill>
          <a:ln w="9525">
            <a:solidFill>
              <a:schemeClr val="bg1">
                <a:lumMod val="6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sp macro="" textlink="">
        <xdr:nvSpPr>
          <xdr:cNvPr id="256" name="Rectangle 255">
            <a:extLst>
              <a:ext uri="{FF2B5EF4-FFF2-40B4-BE49-F238E27FC236}">
                <a16:creationId xmlns:a16="http://schemas.microsoft.com/office/drawing/2014/main" id="{042B0DA9-F59E-B900-89DF-23891FBCDCBC}"/>
              </a:ext>
            </a:extLst>
          </xdr:cNvPr>
          <xdr:cNvSpPr/>
        </xdr:nvSpPr>
        <xdr:spPr>
          <a:xfrm>
            <a:off x="8392294" y="44269849"/>
            <a:ext cx="479444" cy="65905"/>
          </a:xfrm>
          <a:prstGeom prst="rect">
            <a:avLst/>
          </a:prstGeom>
          <a:solidFill>
            <a:schemeClr val="bg1"/>
          </a:solidFill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57" name="Connecteur droit 256">
            <a:extLst>
              <a:ext uri="{FF2B5EF4-FFF2-40B4-BE49-F238E27FC236}">
                <a16:creationId xmlns:a16="http://schemas.microsoft.com/office/drawing/2014/main" id="{FE367C0D-92CD-0C7B-8C69-B4AB896300F8}"/>
              </a:ext>
            </a:extLst>
          </xdr:cNvPr>
          <xdr:cNvCxnSpPr/>
        </xdr:nvCxnSpPr>
        <xdr:spPr>
          <a:xfrm>
            <a:off x="8391919" y="45350533"/>
            <a:ext cx="0" cy="26362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8" name="Connecteur droit 257">
            <a:extLst>
              <a:ext uri="{FF2B5EF4-FFF2-40B4-BE49-F238E27FC236}">
                <a16:creationId xmlns:a16="http://schemas.microsoft.com/office/drawing/2014/main" id="{C64B89FE-E3E2-9DAF-CA61-1C173A9156EE}"/>
              </a:ext>
            </a:extLst>
          </xdr:cNvPr>
          <xdr:cNvCxnSpPr/>
        </xdr:nvCxnSpPr>
        <xdr:spPr>
          <a:xfrm>
            <a:off x="8882726" y="45341176"/>
            <a:ext cx="0" cy="26362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9" name="Connecteur droit avec flèche 258">
            <a:extLst>
              <a:ext uri="{FF2B5EF4-FFF2-40B4-BE49-F238E27FC236}">
                <a16:creationId xmlns:a16="http://schemas.microsoft.com/office/drawing/2014/main" id="{6B0345DD-DBA7-CB7C-E0CF-B03EF5EAFF7C}"/>
              </a:ext>
            </a:extLst>
          </xdr:cNvPr>
          <xdr:cNvCxnSpPr/>
        </xdr:nvCxnSpPr>
        <xdr:spPr>
          <a:xfrm>
            <a:off x="8392044" y="45539699"/>
            <a:ext cx="491361" cy="0"/>
          </a:xfrm>
          <a:prstGeom prst="straightConnector1">
            <a:avLst/>
          </a:prstGeom>
          <a:ln>
            <a:solidFill>
              <a:srgbClr val="C00000"/>
            </a:solidFill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0" name="ZoneTexte 259">
            <a:extLst>
              <a:ext uri="{FF2B5EF4-FFF2-40B4-BE49-F238E27FC236}">
                <a16:creationId xmlns:a16="http://schemas.microsoft.com/office/drawing/2014/main" id="{C5717FA4-4AC1-14AA-E750-772429BC67C4}"/>
              </a:ext>
            </a:extLst>
          </xdr:cNvPr>
          <xdr:cNvSpPr txBox="1"/>
        </xdr:nvSpPr>
        <xdr:spPr>
          <a:xfrm>
            <a:off x="8521819" y="45324045"/>
            <a:ext cx="239387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</a:p>
        </xdr:txBody>
      </xdr:sp>
      <xdr:cxnSp macro="">
        <xdr:nvCxnSpPr>
          <xdr:cNvPr id="261" name="Connecteur droit 260">
            <a:extLst>
              <a:ext uri="{FF2B5EF4-FFF2-40B4-BE49-F238E27FC236}">
                <a16:creationId xmlns:a16="http://schemas.microsoft.com/office/drawing/2014/main" id="{5BD8293A-2DE6-B0CA-EA99-5F65F188C570}"/>
              </a:ext>
            </a:extLst>
          </xdr:cNvPr>
          <xdr:cNvCxnSpPr/>
        </xdr:nvCxnSpPr>
        <xdr:spPr>
          <a:xfrm>
            <a:off x="8232232" y="45320263"/>
            <a:ext cx="0" cy="32952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2" name="Connecteur droit 261">
            <a:extLst>
              <a:ext uri="{FF2B5EF4-FFF2-40B4-BE49-F238E27FC236}">
                <a16:creationId xmlns:a16="http://schemas.microsoft.com/office/drawing/2014/main" id="{65550593-4060-ECB6-DBA5-850BA4F553FD}"/>
              </a:ext>
            </a:extLst>
          </xdr:cNvPr>
          <xdr:cNvCxnSpPr/>
        </xdr:nvCxnSpPr>
        <xdr:spPr>
          <a:xfrm>
            <a:off x="9034181" y="45323738"/>
            <a:ext cx="0" cy="329525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3" name="Connecteur droit avec flèche 262">
            <a:extLst>
              <a:ext uri="{FF2B5EF4-FFF2-40B4-BE49-F238E27FC236}">
                <a16:creationId xmlns:a16="http://schemas.microsoft.com/office/drawing/2014/main" id="{3117E5F5-71D7-38A9-E01A-81822776980C}"/>
              </a:ext>
            </a:extLst>
          </xdr:cNvPr>
          <xdr:cNvCxnSpPr/>
        </xdr:nvCxnSpPr>
        <xdr:spPr>
          <a:xfrm>
            <a:off x="8050618" y="44027271"/>
            <a:ext cx="0" cy="1258121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lg"/>
            <a:tailEnd type="triangl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4" name="Connecteur droit 263">
            <a:extLst>
              <a:ext uri="{FF2B5EF4-FFF2-40B4-BE49-F238E27FC236}">
                <a16:creationId xmlns:a16="http://schemas.microsoft.com/office/drawing/2014/main" id="{BD37F083-E17C-4472-7EC8-8E62766E9594}"/>
              </a:ext>
            </a:extLst>
          </xdr:cNvPr>
          <xdr:cNvCxnSpPr/>
        </xdr:nvCxnSpPr>
        <xdr:spPr>
          <a:xfrm>
            <a:off x="7969493" y="44028139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5" name="Connecteur droit 264">
            <a:extLst>
              <a:ext uri="{FF2B5EF4-FFF2-40B4-BE49-F238E27FC236}">
                <a16:creationId xmlns:a16="http://schemas.microsoft.com/office/drawing/2014/main" id="{EF404E24-F58B-E0D4-9461-A93000D42C03}"/>
              </a:ext>
            </a:extLst>
          </xdr:cNvPr>
          <xdr:cNvCxnSpPr/>
        </xdr:nvCxnSpPr>
        <xdr:spPr>
          <a:xfrm>
            <a:off x="7969493" y="45284991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6" name="Connecteur droit 265">
            <a:extLst>
              <a:ext uri="{FF2B5EF4-FFF2-40B4-BE49-F238E27FC236}">
                <a16:creationId xmlns:a16="http://schemas.microsoft.com/office/drawing/2014/main" id="{124A96CA-452D-7879-F67E-397F01CB937C}"/>
              </a:ext>
            </a:extLst>
          </xdr:cNvPr>
          <xdr:cNvCxnSpPr/>
        </xdr:nvCxnSpPr>
        <xdr:spPr>
          <a:xfrm>
            <a:off x="7969493" y="44332633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7" name="Connecteur droit 266">
            <a:extLst>
              <a:ext uri="{FF2B5EF4-FFF2-40B4-BE49-F238E27FC236}">
                <a16:creationId xmlns:a16="http://schemas.microsoft.com/office/drawing/2014/main" id="{EA19388B-AE84-C464-7B7B-A90F6782A823}"/>
              </a:ext>
            </a:extLst>
          </xdr:cNvPr>
          <xdr:cNvCxnSpPr/>
        </xdr:nvCxnSpPr>
        <xdr:spPr>
          <a:xfrm>
            <a:off x="7969493" y="44989979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9" name="ZoneTexte 268">
            <a:extLst>
              <a:ext uri="{FF2B5EF4-FFF2-40B4-BE49-F238E27FC236}">
                <a16:creationId xmlns:a16="http://schemas.microsoft.com/office/drawing/2014/main" id="{37EC5FE2-AA66-19AD-38ED-3180B5AD7955}"/>
              </a:ext>
            </a:extLst>
          </xdr:cNvPr>
          <xdr:cNvSpPr txBox="1"/>
        </xdr:nvSpPr>
        <xdr:spPr>
          <a:xfrm>
            <a:off x="9104928" y="44980123"/>
            <a:ext cx="230199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C</a:t>
            </a:r>
          </a:p>
        </xdr:txBody>
      </xdr:sp>
      <xdr:sp macro="" textlink="">
        <xdr:nvSpPr>
          <xdr:cNvPr id="270" name="ZoneTexte 269">
            <a:extLst>
              <a:ext uri="{FF2B5EF4-FFF2-40B4-BE49-F238E27FC236}">
                <a16:creationId xmlns:a16="http://schemas.microsoft.com/office/drawing/2014/main" id="{2BDCEAB0-1604-4A8C-1D2F-848662B6F171}"/>
              </a:ext>
            </a:extLst>
          </xdr:cNvPr>
          <xdr:cNvSpPr txBox="1"/>
        </xdr:nvSpPr>
        <xdr:spPr>
          <a:xfrm>
            <a:off x="7744161" y="44495112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h</a:t>
            </a:r>
            <a:r>
              <a:rPr lang="fr-FR" sz="1100" baseline="-25000"/>
              <a:t>w</a:t>
            </a:r>
            <a:endParaRPr lang="fr-FR" sz="1100"/>
          </a:p>
        </xdr:txBody>
      </xdr:sp>
      <xdr:sp macro="" textlink="">
        <xdr:nvSpPr>
          <xdr:cNvPr id="271" name="ZoneTexte 270">
            <a:extLst>
              <a:ext uri="{FF2B5EF4-FFF2-40B4-BE49-F238E27FC236}">
                <a16:creationId xmlns:a16="http://schemas.microsoft.com/office/drawing/2014/main" id="{D84FCC6D-CE84-F964-52BD-00B72416B0F6}"/>
              </a:ext>
            </a:extLst>
          </xdr:cNvPr>
          <xdr:cNvSpPr txBox="1"/>
        </xdr:nvSpPr>
        <xdr:spPr>
          <a:xfrm>
            <a:off x="7742082" y="45021547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p,v</a:t>
            </a:r>
          </a:p>
        </xdr:txBody>
      </xdr:sp>
      <xdr:sp macro="" textlink="">
        <xdr:nvSpPr>
          <xdr:cNvPr id="272" name="ZoneTexte 271">
            <a:extLst>
              <a:ext uri="{FF2B5EF4-FFF2-40B4-BE49-F238E27FC236}">
                <a16:creationId xmlns:a16="http://schemas.microsoft.com/office/drawing/2014/main" id="{D8A891F4-CA46-1855-C69B-B24EEF004C8F}"/>
              </a:ext>
            </a:extLst>
          </xdr:cNvPr>
          <xdr:cNvSpPr txBox="1"/>
        </xdr:nvSpPr>
        <xdr:spPr>
          <a:xfrm>
            <a:off x="8159658" y="45324045"/>
            <a:ext cx="230415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p,h</a:t>
            </a:r>
          </a:p>
        </xdr:txBody>
      </xdr:sp>
      <xdr:sp macro="" textlink="">
        <xdr:nvSpPr>
          <xdr:cNvPr id="273" name="ZoneTexte 272">
            <a:extLst>
              <a:ext uri="{FF2B5EF4-FFF2-40B4-BE49-F238E27FC236}">
                <a16:creationId xmlns:a16="http://schemas.microsoft.com/office/drawing/2014/main" id="{F6E24BE5-0996-0BFF-34A7-DC1262539B7D}"/>
              </a:ext>
            </a:extLst>
          </xdr:cNvPr>
          <xdr:cNvSpPr txBox="1"/>
        </xdr:nvSpPr>
        <xdr:spPr>
          <a:xfrm>
            <a:off x="8819282" y="45324045"/>
            <a:ext cx="230415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p,h</a:t>
            </a:r>
          </a:p>
        </xdr:txBody>
      </xdr:sp>
      <xdr:sp macro="" textlink="">
        <xdr:nvSpPr>
          <xdr:cNvPr id="274" name="ZoneTexte 273">
            <a:extLst>
              <a:ext uri="{FF2B5EF4-FFF2-40B4-BE49-F238E27FC236}">
                <a16:creationId xmlns:a16="http://schemas.microsoft.com/office/drawing/2014/main" id="{B21850DC-65F7-B095-2DCD-E6ED6AB5CE5D}"/>
              </a:ext>
            </a:extLst>
          </xdr:cNvPr>
          <xdr:cNvSpPr txBox="1"/>
        </xdr:nvSpPr>
        <xdr:spPr>
          <a:xfrm>
            <a:off x="9094514" y="44364705"/>
            <a:ext cx="230199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p</a:t>
            </a:r>
            <a:endParaRPr lang="fr-FR" sz="1100"/>
          </a:p>
        </xdr:txBody>
      </xdr:sp>
      <xdr:cxnSp macro="">
        <xdr:nvCxnSpPr>
          <xdr:cNvPr id="275" name="Connecteur droit 274">
            <a:extLst>
              <a:ext uri="{FF2B5EF4-FFF2-40B4-BE49-F238E27FC236}">
                <a16:creationId xmlns:a16="http://schemas.microsoft.com/office/drawing/2014/main" id="{4F3F124C-E9BC-8837-736B-401DEB4475BE}"/>
              </a:ext>
            </a:extLst>
          </xdr:cNvPr>
          <xdr:cNvCxnSpPr/>
        </xdr:nvCxnSpPr>
        <xdr:spPr>
          <a:xfrm flipV="1">
            <a:off x="8963649" y="44503564"/>
            <a:ext cx="198677" cy="116699"/>
          </a:xfrm>
          <a:prstGeom prst="line">
            <a:avLst/>
          </a:prstGeom>
          <a:ln>
            <a:solidFill>
              <a:schemeClr val="tx1">
                <a:lumMod val="65000"/>
                <a:lumOff val="35000"/>
              </a:schemeClr>
            </a:solidFill>
            <a:head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76" name="Rectangle 275">
            <a:extLst>
              <a:ext uri="{FF2B5EF4-FFF2-40B4-BE49-F238E27FC236}">
                <a16:creationId xmlns:a16="http://schemas.microsoft.com/office/drawing/2014/main" id="{23FF9C80-3A28-67C1-8883-EDB95A67FA9F}"/>
              </a:ext>
            </a:extLst>
          </xdr:cNvPr>
          <xdr:cNvSpPr/>
        </xdr:nvSpPr>
        <xdr:spPr>
          <a:xfrm>
            <a:off x="8598347" y="44331516"/>
            <a:ext cx="65313" cy="648000"/>
          </a:xfrm>
          <a:prstGeom prst="rect">
            <a:avLst/>
          </a:prstGeom>
          <a:solidFill>
            <a:schemeClr val="bg1"/>
          </a:solidFill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77" name="Connecteur droit avec flèche 276">
            <a:extLst>
              <a:ext uri="{FF2B5EF4-FFF2-40B4-BE49-F238E27FC236}">
                <a16:creationId xmlns:a16="http://schemas.microsoft.com/office/drawing/2014/main" id="{EB1B0DD5-D07D-CABC-DA1D-1D1A0C7678D5}"/>
              </a:ext>
            </a:extLst>
          </xdr:cNvPr>
          <xdr:cNvCxnSpPr/>
        </xdr:nvCxnSpPr>
        <xdr:spPr>
          <a:xfrm>
            <a:off x="9146493" y="45042738"/>
            <a:ext cx="0" cy="171902"/>
          </a:xfrm>
          <a:prstGeom prst="straightConnector1">
            <a:avLst/>
          </a:prstGeom>
          <a:ln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8" name="Connecteur droit 277">
            <a:extLst>
              <a:ext uri="{FF2B5EF4-FFF2-40B4-BE49-F238E27FC236}">
                <a16:creationId xmlns:a16="http://schemas.microsoft.com/office/drawing/2014/main" id="{18A89E0D-059A-CAF5-3AD7-5C2EC8FA7546}"/>
              </a:ext>
            </a:extLst>
          </xdr:cNvPr>
          <xdr:cNvCxnSpPr/>
        </xdr:nvCxnSpPr>
        <xdr:spPr>
          <a:xfrm>
            <a:off x="9111825" y="45041529"/>
            <a:ext cx="142525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9" name="Connecteur droit 278">
            <a:extLst>
              <a:ext uri="{FF2B5EF4-FFF2-40B4-BE49-F238E27FC236}">
                <a16:creationId xmlns:a16="http://schemas.microsoft.com/office/drawing/2014/main" id="{70DAFBC6-1577-B7DE-9586-EC6CD989EC41}"/>
              </a:ext>
            </a:extLst>
          </xdr:cNvPr>
          <xdr:cNvCxnSpPr/>
        </xdr:nvCxnSpPr>
        <xdr:spPr>
          <a:xfrm>
            <a:off x="9116897" y="45211901"/>
            <a:ext cx="142525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0" name="ZoneTexte 279">
            <a:extLst>
              <a:ext uri="{FF2B5EF4-FFF2-40B4-BE49-F238E27FC236}">
                <a16:creationId xmlns:a16="http://schemas.microsoft.com/office/drawing/2014/main" id="{CB5AB23E-0E7D-03FB-E09E-1948238E24DB}"/>
              </a:ext>
            </a:extLst>
          </xdr:cNvPr>
          <xdr:cNvSpPr txBox="1"/>
        </xdr:nvSpPr>
        <xdr:spPr>
          <a:xfrm>
            <a:off x="7740995" y="44012436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B</a:t>
            </a:r>
            <a:r>
              <a:rPr lang="fr-FR" sz="1100" baseline="-25000"/>
              <a:t>p,v</a:t>
            </a:r>
          </a:p>
        </xdr:txBody>
      </xdr:sp>
      <xdr:cxnSp macro="">
        <xdr:nvCxnSpPr>
          <xdr:cNvPr id="281" name="Connecteur droit 280">
            <a:extLst>
              <a:ext uri="{FF2B5EF4-FFF2-40B4-BE49-F238E27FC236}">
                <a16:creationId xmlns:a16="http://schemas.microsoft.com/office/drawing/2014/main" id="{CA3F3D88-0437-8092-7A24-3D80712F3ADC}"/>
              </a:ext>
            </a:extLst>
          </xdr:cNvPr>
          <xdr:cNvCxnSpPr/>
        </xdr:nvCxnSpPr>
        <xdr:spPr>
          <a:xfrm>
            <a:off x="7969493" y="44270017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2" name="Connecteur droit 281">
            <a:extLst>
              <a:ext uri="{FF2B5EF4-FFF2-40B4-BE49-F238E27FC236}">
                <a16:creationId xmlns:a16="http://schemas.microsoft.com/office/drawing/2014/main" id="{1F7D6CD8-60FA-C2C3-0E4C-923245EBC037}"/>
              </a:ext>
            </a:extLst>
          </xdr:cNvPr>
          <xdr:cNvCxnSpPr/>
        </xdr:nvCxnSpPr>
        <xdr:spPr>
          <a:xfrm>
            <a:off x="7969493" y="45054120"/>
            <a:ext cx="217711" cy="0"/>
          </a:xfrm>
          <a:prstGeom prst="line">
            <a:avLst/>
          </a:prstGeom>
          <a:ln w="9525">
            <a:solidFill>
              <a:srgbClr val="C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4" name="Rectangle 283">
            <a:extLst>
              <a:ext uri="{FF2B5EF4-FFF2-40B4-BE49-F238E27FC236}">
                <a16:creationId xmlns:a16="http://schemas.microsoft.com/office/drawing/2014/main" id="{A9F065B0-5424-44DF-B8E0-0A6E97F35776}"/>
              </a:ext>
            </a:extLst>
          </xdr:cNvPr>
          <xdr:cNvSpPr/>
        </xdr:nvSpPr>
        <xdr:spPr>
          <a:xfrm>
            <a:off x="8394726" y="44981591"/>
            <a:ext cx="479444" cy="65905"/>
          </a:xfrm>
          <a:prstGeom prst="rect">
            <a:avLst/>
          </a:prstGeom>
          <a:solidFill>
            <a:schemeClr val="bg1"/>
          </a:solidFill>
          <a:ln w="9525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286" name="Connecteur droit avec flèche 285">
            <a:extLst>
              <a:ext uri="{FF2B5EF4-FFF2-40B4-BE49-F238E27FC236}">
                <a16:creationId xmlns:a16="http://schemas.microsoft.com/office/drawing/2014/main" id="{7E009B16-007E-4476-AF72-A96049B6B12D}"/>
              </a:ext>
            </a:extLst>
          </xdr:cNvPr>
          <xdr:cNvCxnSpPr/>
        </xdr:nvCxnSpPr>
        <xdr:spPr>
          <a:xfrm>
            <a:off x="8051112" y="44987404"/>
            <a:ext cx="0" cy="63358"/>
          </a:xfrm>
          <a:prstGeom prst="straightConnector1">
            <a:avLst/>
          </a:prstGeom>
          <a:ln>
            <a:solidFill>
              <a:srgbClr val="C00000"/>
            </a:solidFill>
            <a:round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87" name="Connecteur droit avec flèche 286">
            <a:extLst>
              <a:ext uri="{FF2B5EF4-FFF2-40B4-BE49-F238E27FC236}">
                <a16:creationId xmlns:a16="http://schemas.microsoft.com/office/drawing/2014/main" id="{0B382991-4992-49A4-A5F6-ECE1D616C424}"/>
              </a:ext>
            </a:extLst>
          </xdr:cNvPr>
          <xdr:cNvCxnSpPr/>
        </xdr:nvCxnSpPr>
        <xdr:spPr>
          <a:xfrm>
            <a:off x="8051260" y="44272349"/>
            <a:ext cx="0" cy="63358"/>
          </a:xfrm>
          <a:prstGeom prst="straightConnector1">
            <a:avLst/>
          </a:prstGeom>
          <a:ln>
            <a:solidFill>
              <a:srgbClr val="C00000"/>
            </a:solidFill>
            <a:round/>
            <a:headEnd type="oval" w="sm" len="sm"/>
            <a:tailEnd type="oval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8" name="ZoneTexte 287">
            <a:extLst>
              <a:ext uri="{FF2B5EF4-FFF2-40B4-BE49-F238E27FC236}">
                <a16:creationId xmlns:a16="http://schemas.microsoft.com/office/drawing/2014/main" id="{7188C0CB-CAA0-4C7D-ACCD-4D6F88C8E0FB}"/>
              </a:ext>
            </a:extLst>
          </xdr:cNvPr>
          <xdr:cNvSpPr txBox="1"/>
        </xdr:nvSpPr>
        <xdr:spPr>
          <a:xfrm>
            <a:off x="7744161" y="44848505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f</a:t>
            </a:r>
            <a:endParaRPr lang="fr-FR" sz="1100"/>
          </a:p>
        </xdr:txBody>
      </xdr:sp>
      <xdr:sp macro="" textlink="">
        <xdr:nvSpPr>
          <xdr:cNvPr id="289" name="ZoneTexte 288">
            <a:extLst>
              <a:ext uri="{FF2B5EF4-FFF2-40B4-BE49-F238E27FC236}">
                <a16:creationId xmlns:a16="http://schemas.microsoft.com/office/drawing/2014/main" id="{CA87F792-AF75-4714-B3FA-9099C14AC933}"/>
              </a:ext>
            </a:extLst>
          </xdr:cNvPr>
          <xdr:cNvSpPr txBox="1"/>
        </xdr:nvSpPr>
        <xdr:spPr>
          <a:xfrm>
            <a:off x="7744161" y="44141081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f</a:t>
            </a:r>
            <a:endParaRPr lang="fr-FR" sz="1100"/>
          </a:p>
        </xdr:txBody>
      </xdr:sp>
      <xdr:sp macro="" textlink="">
        <xdr:nvSpPr>
          <xdr:cNvPr id="294" name="ZoneTexte 293">
            <a:extLst>
              <a:ext uri="{FF2B5EF4-FFF2-40B4-BE49-F238E27FC236}">
                <a16:creationId xmlns:a16="http://schemas.microsoft.com/office/drawing/2014/main" id="{D855D36D-13C1-42A1-92EC-47EA397D7BD3}"/>
              </a:ext>
            </a:extLst>
          </xdr:cNvPr>
          <xdr:cNvSpPr txBox="1"/>
        </xdr:nvSpPr>
        <xdr:spPr>
          <a:xfrm>
            <a:off x="8369645" y="44422011"/>
            <a:ext cx="232226" cy="20839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/>
              <a:t>t</a:t>
            </a:r>
            <a:r>
              <a:rPr lang="fr-FR" sz="1100" baseline="-25000"/>
              <a:t>w</a:t>
            </a:r>
            <a:endParaRPr lang="fr-FR" sz="1100"/>
          </a:p>
        </xdr:txBody>
      </xdr:sp>
      <xdr:cxnSp macro="">
        <xdr:nvCxnSpPr>
          <xdr:cNvPr id="296" name="Connecteur droit avec flèche 295">
            <a:extLst>
              <a:ext uri="{FF2B5EF4-FFF2-40B4-BE49-F238E27FC236}">
                <a16:creationId xmlns:a16="http://schemas.microsoft.com/office/drawing/2014/main" id="{C1CBE14C-AFAA-44C8-A9B4-DD0874330083}"/>
              </a:ext>
            </a:extLst>
          </xdr:cNvPr>
          <xdr:cNvCxnSpPr/>
        </xdr:nvCxnSpPr>
        <xdr:spPr>
          <a:xfrm>
            <a:off x="8467044" y="44651291"/>
            <a:ext cx="227250" cy="0"/>
          </a:xfrm>
          <a:prstGeom prst="straightConnector1">
            <a:avLst/>
          </a:prstGeom>
          <a:ln>
            <a:solidFill>
              <a:srgbClr val="C00000"/>
            </a:solidFill>
            <a:headEnd type="none" w="sm" len="lg"/>
            <a:tailEnd type="none" w="sm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76200</xdr:colOff>
      <xdr:row>94</xdr:row>
      <xdr:rowOff>161925</xdr:rowOff>
    </xdr:from>
    <xdr:to>
      <xdr:col>31</xdr:col>
      <xdr:colOff>602309</xdr:colOff>
      <xdr:row>130</xdr:row>
      <xdr:rowOff>12252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297275" y="18640425"/>
          <a:ext cx="5526734" cy="6746427"/>
        </a:xfrm>
        <a:prstGeom prst="rect">
          <a:avLst/>
        </a:prstGeom>
      </xdr:spPr>
    </xdr:pic>
    <xdr:clientData/>
  </xdr:twoCellAnchor>
  <xdr:twoCellAnchor editAs="oneCell">
    <xdr:from>
      <xdr:col>2</xdr:col>
      <xdr:colOff>67687</xdr:colOff>
      <xdr:row>97</xdr:row>
      <xdr:rowOff>152400</xdr:rowOff>
    </xdr:from>
    <xdr:to>
      <xdr:col>3</xdr:col>
      <xdr:colOff>612031</xdr:colOff>
      <xdr:row>99</xdr:row>
      <xdr:rowOff>66794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4282"/>
        <a:stretch/>
      </xdr:blipFill>
      <xdr:spPr>
        <a:xfrm>
          <a:off x="629662" y="43967400"/>
          <a:ext cx="1258719" cy="295394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94</xdr:row>
      <xdr:rowOff>28575</xdr:rowOff>
    </xdr:from>
    <xdr:to>
      <xdr:col>5</xdr:col>
      <xdr:colOff>620169</xdr:colOff>
      <xdr:row>96</xdr:row>
      <xdr:rowOff>171662</xdr:rowOff>
    </xdr:to>
    <xdr:pic>
      <xdr:nvPicPr>
        <xdr:cNvPr id="141" name="Image 140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2950" y="43272075"/>
          <a:ext cx="2582319" cy="524087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102</xdr:row>
      <xdr:rowOff>152400</xdr:rowOff>
    </xdr:from>
    <xdr:to>
      <xdr:col>4</xdr:col>
      <xdr:colOff>438743</xdr:colOff>
      <xdr:row>104</xdr:row>
      <xdr:rowOff>162083</xdr:rowOff>
    </xdr:to>
    <xdr:pic>
      <xdr:nvPicPr>
        <xdr:cNvPr id="142" name="Image 141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2025" y="46062900"/>
          <a:ext cx="1467443" cy="390683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104</xdr:row>
      <xdr:rowOff>133350</xdr:rowOff>
    </xdr:from>
    <xdr:to>
      <xdr:col>4</xdr:col>
      <xdr:colOff>429149</xdr:colOff>
      <xdr:row>106</xdr:row>
      <xdr:rowOff>114446</xdr:rowOff>
    </xdr:to>
    <xdr:pic>
      <xdr:nvPicPr>
        <xdr:cNvPr id="143" name="Image 142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950" y="46615350"/>
          <a:ext cx="1295924" cy="362096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106</xdr:row>
      <xdr:rowOff>123825</xdr:rowOff>
    </xdr:from>
    <xdr:to>
      <xdr:col>4</xdr:col>
      <xdr:colOff>543595</xdr:colOff>
      <xdr:row>108</xdr:row>
      <xdr:rowOff>171623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6300" y="47177325"/>
          <a:ext cx="1658020" cy="428798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112</xdr:row>
      <xdr:rowOff>180975</xdr:rowOff>
    </xdr:from>
    <xdr:to>
      <xdr:col>5</xdr:col>
      <xdr:colOff>553451</xdr:colOff>
      <xdr:row>116</xdr:row>
      <xdr:rowOff>38350</xdr:rowOff>
    </xdr:to>
    <xdr:pic>
      <xdr:nvPicPr>
        <xdr:cNvPr id="145" name="Image 144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1050" y="48567975"/>
          <a:ext cx="2477501" cy="619375"/>
        </a:xfrm>
        <a:prstGeom prst="rect">
          <a:avLst/>
        </a:prstGeom>
      </xdr:spPr>
    </xdr:pic>
    <xdr:clientData/>
  </xdr:twoCellAnchor>
  <xdr:twoCellAnchor editAs="oneCell">
    <xdr:from>
      <xdr:col>11</xdr:col>
      <xdr:colOff>209550</xdr:colOff>
      <xdr:row>96</xdr:row>
      <xdr:rowOff>66675</xdr:rowOff>
    </xdr:from>
    <xdr:to>
      <xdr:col>13</xdr:col>
      <xdr:colOff>238653</xdr:colOff>
      <xdr:row>105</xdr:row>
      <xdr:rowOff>38100</xdr:rowOff>
    </xdr:to>
    <xdr:pic>
      <xdr:nvPicPr>
        <xdr:cNvPr id="146" name="Image 145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29400" y="43881675"/>
          <a:ext cx="1305453" cy="1685925"/>
        </a:xfrm>
        <a:prstGeom prst="rect">
          <a:avLst/>
        </a:prstGeom>
      </xdr:spPr>
    </xdr:pic>
    <xdr:clientData/>
  </xdr:twoCellAnchor>
  <xdr:twoCellAnchor editAs="oneCell">
    <xdr:from>
      <xdr:col>3</xdr:col>
      <xdr:colOff>581025</xdr:colOff>
      <xdr:row>116</xdr:row>
      <xdr:rowOff>76200</xdr:rowOff>
    </xdr:from>
    <xdr:to>
      <xdr:col>5</xdr:col>
      <xdr:colOff>572074</xdr:colOff>
      <xdr:row>118</xdr:row>
      <xdr:rowOff>162114</xdr:rowOff>
    </xdr:to>
    <xdr:pic>
      <xdr:nvPicPr>
        <xdr:cNvPr id="147" name="Image 146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57375" y="49225200"/>
          <a:ext cx="1419799" cy="466914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99</xdr:row>
      <xdr:rowOff>95250</xdr:rowOff>
    </xdr:from>
    <xdr:to>
      <xdr:col>6</xdr:col>
      <xdr:colOff>571627</xdr:colOff>
      <xdr:row>102</xdr:row>
      <xdr:rowOff>28779</xdr:rowOff>
    </xdr:to>
    <xdr:pic>
      <xdr:nvPicPr>
        <xdr:cNvPr id="148" name="Image 147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76650" y="45243750"/>
          <a:ext cx="314452" cy="505029"/>
        </a:xfrm>
        <a:prstGeom prst="rect">
          <a:avLst/>
        </a:prstGeom>
      </xdr:spPr>
    </xdr:pic>
    <xdr:clientData/>
  </xdr:twoCellAnchor>
  <xdr:twoCellAnchor editAs="oneCell">
    <xdr:from>
      <xdr:col>4</xdr:col>
      <xdr:colOff>276225</xdr:colOff>
      <xdr:row>110</xdr:row>
      <xdr:rowOff>38100</xdr:rowOff>
    </xdr:from>
    <xdr:to>
      <xdr:col>5</xdr:col>
      <xdr:colOff>177</xdr:colOff>
      <xdr:row>111</xdr:row>
      <xdr:rowOff>28648</xdr:rowOff>
    </xdr:to>
    <xdr:pic>
      <xdr:nvPicPr>
        <xdr:cNvPr id="149" name="Image 148">
          <a:extLst>
            <a:ext uri="{FF2B5EF4-FFF2-40B4-BE49-F238E27FC236}">
              <a16:creationId xmlns:a16="http://schemas.microsoft.com/office/drawing/2014/main" id="{00000000-0008-0000-06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66950" y="48234600"/>
          <a:ext cx="438327" cy="181048"/>
        </a:xfrm>
        <a:prstGeom prst="rect">
          <a:avLst/>
        </a:prstGeom>
      </xdr:spPr>
    </xdr:pic>
    <xdr:clientData/>
  </xdr:twoCellAnchor>
  <xdr:twoCellAnchor editAs="oneCell">
    <xdr:from>
      <xdr:col>19</xdr:col>
      <xdr:colOff>9525</xdr:colOff>
      <xdr:row>91</xdr:row>
      <xdr:rowOff>152400</xdr:rowOff>
    </xdr:from>
    <xdr:to>
      <xdr:col>28</xdr:col>
      <xdr:colOff>174115</xdr:colOff>
      <xdr:row>93</xdr:row>
      <xdr:rowOff>114439</xdr:rowOff>
    </xdr:to>
    <xdr:pic>
      <xdr:nvPicPr>
        <xdr:cNvPr id="150" name="Image 149">
          <a:extLst>
            <a:ext uri="{FF2B5EF4-FFF2-40B4-BE49-F238E27FC236}">
              <a16:creationId xmlns:a16="http://schemas.microsoft.com/office/drawing/2014/main" id="{00000000-0008-0000-06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658725" y="18249900"/>
          <a:ext cx="6593965" cy="34303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134</xdr:row>
      <xdr:rowOff>66675</xdr:rowOff>
    </xdr:from>
    <xdr:to>
      <xdr:col>5</xdr:col>
      <xdr:colOff>591644</xdr:colOff>
      <xdr:row>137</xdr:row>
      <xdr:rowOff>204</xdr:rowOff>
    </xdr:to>
    <xdr:pic>
      <xdr:nvPicPr>
        <xdr:cNvPr id="151" name="Image 150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90550" y="50358675"/>
          <a:ext cx="2706194" cy="505029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137</xdr:row>
      <xdr:rowOff>171450</xdr:rowOff>
    </xdr:from>
    <xdr:to>
      <xdr:col>4</xdr:col>
      <xdr:colOff>619853</xdr:colOff>
      <xdr:row>139</xdr:row>
      <xdr:rowOff>85844</xdr:rowOff>
    </xdr:to>
    <xdr:pic>
      <xdr:nvPicPr>
        <xdr:cNvPr id="152" name="Image 151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09625" y="51034950"/>
          <a:ext cx="1800953" cy="295394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140</xdr:row>
      <xdr:rowOff>28575</xdr:rowOff>
    </xdr:from>
    <xdr:to>
      <xdr:col>5</xdr:col>
      <xdr:colOff>28760</xdr:colOff>
      <xdr:row>141</xdr:row>
      <xdr:rowOff>38181</xdr:rowOff>
    </xdr:to>
    <xdr:pic>
      <xdr:nvPicPr>
        <xdr:cNvPr id="153" name="Image 152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76475" y="51463575"/>
          <a:ext cx="457385" cy="200106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257175</xdr:colOff>
      <xdr:row>145</xdr:row>
      <xdr:rowOff>38100</xdr:rowOff>
    </xdr:from>
    <xdr:to>
      <xdr:col>4</xdr:col>
      <xdr:colOff>590685</xdr:colOff>
      <xdr:row>145</xdr:row>
      <xdr:rowOff>181033</xdr:rowOff>
    </xdr:to>
    <xdr:pic>
      <xdr:nvPicPr>
        <xdr:cNvPr id="154" name="Image 153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47900" y="27508200"/>
          <a:ext cx="333510" cy="142933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146</xdr:row>
      <xdr:rowOff>38100</xdr:rowOff>
    </xdr:from>
    <xdr:to>
      <xdr:col>4</xdr:col>
      <xdr:colOff>600225</xdr:colOff>
      <xdr:row>146</xdr:row>
      <xdr:rowOff>171504</xdr:rowOff>
    </xdr:to>
    <xdr:pic>
      <xdr:nvPicPr>
        <xdr:cNvPr id="155" name="Image 154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9325" y="27698700"/>
          <a:ext cx="371625" cy="13340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142</xdr:row>
      <xdr:rowOff>66675</xdr:rowOff>
    </xdr:from>
    <xdr:to>
      <xdr:col>2</xdr:col>
      <xdr:colOff>495389</xdr:colOff>
      <xdr:row>143</xdr:row>
      <xdr:rowOff>28637</xdr:rowOff>
    </xdr:to>
    <xdr:pic>
      <xdr:nvPicPr>
        <xdr:cNvPr id="156" name="Image 155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38200" y="27155775"/>
          <a:ext cx="219164" cy="152462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162</xdr:row>
      <xdr:rowOff>142875</xdr:rowOff>
    </xdr:from>
    <xdr:to>
      <xdr:col>4</xdr:col>
      <xdr:colOff>591216</xdr:colOff>
      <xdr:row>164</xdr:row>
      <xdr:rowOff>66798</xdr:rowOff>
    </xdr:to>
    <xdr:pic>
      <xdr:nvPicPr>
        <xdr:cNvPr id="157" name="Image 156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933450" y="52149375"/>
          <a:ext cx="1648491" cy="304923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409575</xdr:colOff>
      <xdr:row>163</xdr:row>
      <xdr:rowOff>28575</xdr:rowOff>
    </xdr:from>
    <xdr:to>
      <xdr:col>7</xdr:col>
      <xdr:colOff>104941</xdr:colOff>
      <xdr:row>164</xdr:row>
      <xdr:rowOff>28652</xdr:rowOff>
    </xdr:to>
    <xdr:pic>
      <xdr:nvPicPr>
        <xdr:cNvPr id="158" name="Image 157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829050" y="52225575"/>
          <a:ext cx="409741" cy="190577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266700</xdr:colOff>
      <xdr:row>148</xdr:row>
      <xdr:rowOff>9525</xdr:rowOff>
    </xdr:from>
    <xdr:to>
      <xdr:col>4</xdr:col>
      <xdr:colOff>181</xdr:colOff>
      <xdr:row>149</xdr:row>
      <xdr:rowOff>28660</xdr:rowOff>
    </xdr:to>
    <xdr:pic>
      <xdr:nvPicPr>
        <xdr:cNvPr id="159" name="Image 158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257425" y="52968525"/>
          <a:ext cx="447856" cy="209635"/>
        </a:xfrm>
        <a:prstGeom prst="rect">
          <a:avLst/>
        </a:prstGeom>
      </xdr:spPr>
    </xdr:pic>
    <xdr:clientData/>
  </xdr:twoCellAnchor>
  <xdr:oneCellAnchor>
    <xdr:from>
      <xdr:col>11</xdr:col>
      <xdr:colOff>180975</xdr:colOff>
      <xdr:row>134</xdr:row>
      <xdr:rowOff>0</xdr:rowOff>
    </xdr:from>
    <xdr:ext cx="1305453" cy="1685925"/>
    <xdr:pic>
      <xdr:nvPicPr>
        <xdr:cNvPr id="161" name="Image 160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00825" y="51073050"/>
          <a:ext cx="1305453" cy="1685925"/>
        </a:xfrm>
        <a:prstGeom prst="rect">
          <a:avLst/>
        </a:prstGeom>
      </xdr:spPr>
    </xdr:pic>
    <xdr:clientData/>
  </xdr:oneCellAnchor>
  <xdr:twoCellAnchor editAs="oneCell">
    <xdr:from>
      <xdr:col>3</xdr:col>
      <xdr:colOff>323850</xdr:colOff>
      <xdr:row>149</xdr:row>
      <xdr:rowOff>19050</xdr:rowOff>
    </xdr:from>
    <xdr:to>
      <xdr:col>3</xdr:col>
      <xdr:colOff>590658</xdr:colOff>
      <xdr:row>150</xdr:row>
      <xdr:rowOff>9598</xdr:rowOff>
    </xdr:to>
    <xdr:pic>
      <xdr:nvPicPr>
        <xdr:cNvPr id="162" name="Image 161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14575" y="53359050"/>
          <a:ext cx="266808" cy="181048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147</xdr:row>
      <xdr:rowOff>95250</xdr:rowOff>
    </xdr:from>
    <xdr:to>
      <xdr:col>6</xdr:col>
      <xdr:colOff>571627</xdr:colOff>
      <xdr:row>150</xdr:row>
      <xdr:rowOff>38308</xdr:rowOff>
    </xdr:to>
    <xdr:pic>
      <xdr:nvPicPr>
        <xdr:cNvPr id="163" name="Image 162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676650" y="53816250"/>
          <a:ext cx="314452" cy="514558"/>
        </a:xfrm>
        <a:prstGeom prst="rect">
          <a:avLst/>
        </a:prstGeom>
      </xdr:spPr>
    </xdr:pic>
    <xdr:clientData/>
  </xdr:twoCellAnchor>
  <xdr:twoCellAnchor editAs="oneCell">
    <xdr:from>
      <xdr:col>2</xdr:col>
      <xdr:colOff>638175</xdr:colOff>
      <xdr:row>141</xdr:row>
      <xdr:rowOff>104775</xdr:rowOff>
    </xdr:from>
    <xdr:to>
      <xdr:col>4</xdr:col>
      <xdr:colOff>610166</xdr:colOff>
      <xdr:row>143</xdr:row>
      <xdr:rowOff>114458</xdr:rowOff>
    </xdr:to>
    <xdr:pic>
      <xdr:nvPicPr>
        <xdr:cNvPr id="164" name="Image 163">
          <a:extLst>
            <a:ext uri="{FF2B5EF4-FFF2-40B4-BE49-F238E27FC236}">
              <a16:creationId xmlns:a16="http://schemas.microsoft.com/office/drawing/2014/main" id="{00000000-0008-0000-06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00150" y="27003375"/>
          <a:ext cx="1400741" cy="390683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150</xdr:row>
      <xdr:rowOff>9525</xdr:rowOff>
    </xdr:from>
    <xdr:to>
      <xdr:col>5</xdr:col>
      <xdr:colOff>553417</xdr:colOff>
      <xdr:row>153</xdr:row>
      <xdr:rowOff>9756</xdr:rowOff>
    </xdr:to>
    <xdr:pic>
      <xdr:nvPicPr>
        <xdr:cNvPr id="165" name="Image 164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66775" y="54492525"/>
          <a:ext cx="2391742" cy="57173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153</xdr:row>
      <xdr:rowOff>9525</xdr:rowOff>
    </xdr:from>
    <xdr:to>
      <xdr:col>5</xdr:col>
      <xdr:colOff>581815</xdr:colOff>
      <xdr:row>155</xdr:row>
      <xdr:rowOff>162141</xdr:rowOff>
    </xdr:to>
    <xdr:pic>
      <xdr:nvPicPr>
        <xdr:cNvPr id="166" name="Image 165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33500" y="55064025"/>
          <a:ext cx="1953415" cy="533616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156</xdr:row>
      <xdr:rowOff>57150</xdr:rowOff>
    </xdr:from>
    <xdr:to>
      <xdr:col>4</xdr:col>
      <xdr:colOff>610228</xdr:colOff>
      <xdr:row>158</xdr:row>
      <xdr:rowOff>181179</xdr:rowOff>
    </xdr:to>
    <xdr:pic>
      <xdr:nvPicPr>
        <xdr:cNvPr id="167" name="Image 166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047750" y="56635650"/>
          <a:ext cx="1553203" cy="50502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158</xdr:row>
      <xdr:rowOff>133350</xdr:rowOff>
    </xdr:from>
    <xdr:to>
      <xdr:col>4</xdr:col>
      <xdr:colOff>610309</xdr:colOff>
      <xdr:row>161</xdr:row>
      <xdr:rowOff>28764</xdr:rowOff>
    </xdr:to>
    <xdr:pic>
      <xdr:nvPicPr>
        <xdr:cNvPr id="168" name="Image 167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47725" y="57283350"/>
          <a:ext cx="1753309" cy="466914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29</xdr:row>
      <xdr:rowOff>66675</xdr:rowOff>
    </xdr:from>
    <xdr:to>
      <xdr:col>7</xdr:col>
      <xdr:colOff>152928</xdr:colOff>
      <xdr:row>38</xdr:row>
      <xdr:rowOff>38100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2981325" y="4638675"/>
          <a:ext cx="1305453" cy="1685925"/>
        </a:xfrm>
        <a:prstGeom prst="rect">
          <a:avLst/>
        </a:prstGeom>
      </xdr:spPr>
    </xdr:pic>
    <xdr:clientData/>
  </xdr:twoCellAnchor>
  <xdr:oneCellAnchor>
    <xdr:from>
      <xdr:col>2</xdr:col>
      <xdr:colOff>219075</xdr:colOff>
      <xdr:row>165</xdr:row>
      <xdr:rowOff>180975</xdr:rowOff>
    </xdr:from>
    <xdr:ext cx="2477501" cy="619375"/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1050" y="22088475"/>
          <a:ext cx="2477501" cy="619375"/>
        </a:xfrm>
        <a:prstGeom prst="rect">
          <a:avLst/>
        </a:prstGeom>
      </xdr:spPr>
    </xdr:pic>
    <xdr:clientData/>
  </xdr:oneCellAnchor>
  <xdr:oneCellAnchor>
    <xdr:from>
      <xdr:col>3</xdr:col>
      <xdr:colOff>581025</xdr:colOff>
      <xdr:row>169</xdr:row>
      <xdr:rowOff>76200</xdr:rowOff>
    </xdr:from>
    <xdr:ext cx="1419799" cy="466914"/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57375" y="22745700"/>
          <a:ext cx="1419799" cy="466914"/>
        </a:xfrm>
        <a:prstGeom prst="rect">
          <a:avLst/>
        </a:prstGeom>
      </xdr:spPr>
    </xdr:pic>
    <xdr:clientData/>
  </xdr:oneCellAnchor>
  <xdr:twoCellAnchor editAs="oneCell">
    <xdr:from>
      <xdr:col>2</xdr:col>
      <xdr:colOff>266700</xdr:colOff>
      <xdr:row>206</xdr:row>
      <xdr:rowOff>66675</xdr:rowOff>
    </xdr:from>
    <xdr:to>
      <xdr:col>5</xdr:col>
      <xdr:colOff>553432</xdr:colOff>
      <xdr:row>208</xdr:row>
      <xdr:rowOff>152589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28675" y="36642675"/>
          <a:ext cx="2429857" cy="466914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209</xdr:row>
      <xdr:rowOff>133350</xdr:rowOff>
    </xdr:from>
    <xdr:to>
      <xdr:col>5</xdr:col>
      <xdr:colOff>572174</xdr:colOff>
      <xdr:row>211</xdr:row>
      <xdr:rowOff>38216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609725" y="38614350"/>
          <a:ext cx="1667549" cy="285866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179</xdr:row>
      <xdr:rowOff>28575</xdr:rowOff>
    </xdr:from>
    <xdr:to>
      <xdr:col>5</xdr:col>
      <xdr:colOff>601153</xdr:colOff>
      <xdr:row>181</xdr:row>
      <xdr:rowOff>143075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38175" y="32794575"/>
          <a:ext cx="2668078" cy="4955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195</xdr:row>
      <xdr:rowOff>0</xdr:rowOff>
    </xdr:from>
    <xdr:to>
      <xdr:col>4</xdr:col>
      <xdr:colOff>581025</xdr:colOff>
      <xdr:row>197</xdr:row>
      <xdr:rowOff>161925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r="62353" b="12343"/>
        <a:stretch/>
      </xdr:blipFill>
      <xdr:spPr>
        <a:xfrm>
          <a:off x="2181225" y="33337500"/>
          <a:ext cx="1104900" cy="542925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181</xdr:row>
      <xdr:rowOff>161925</xdr:rowOff>
    </xdr:from>
    <xdr:to>
      <xdr:col>5</xdr:col>
      <xdr:colOff>571666</xdr:colOff>
      <xdr:row>183</xdr:row>
      <xdr:rowOff>89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867025" y="33499425"/>
          <a:ext cx="409741" cy="219164"/>
        </a:xfrm>
        <a:prstGeom prst="rect">
          <a:avLst/>
        </a:prstGeom>
      </xdr:spPr>
    </xdr:pic>
    <xdr:clientData/>
  </xdr:twoCellAnchor>
  <xdr:oneCellAnchor>
    <xdr:from>
      <xdr:col>11</xdr:col>
      <xdr:colOff>180975</xdr:colOff>
      <xdr:row>181</xdr:row>
      <xdr:rowOff>0</xdr:rowOff>
    </xdr:from>
    <xdr:ext cx="1305453" cy="1685925"/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00825" y="24003000"/>
          <a:ext cx="1305453" cy="1685925"/>
        </a:xfrm>
        <a:prstGeom prst="rect">
          <a:avLst/>
        </a:prstGeom>
      </xdr:spPr>
    </xdr:pic>
    <xdr:clientData/>
  </xdr:oneCellAnchor>
  <xdr:oneCellAnchor>
    <xdr:from>
      <xdr:col>2</xdr:col>
      <xdr:colOff>400050</xdr:colOff>
      <xdr:row>186</xdr:row>
      <xdr:rowOff>152400</xdr:rowOff>
    </xdr:from>
    <xdr:ext cx="1467443" cy="390683"/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2025" y="18249900"/>
          <a:ext cx="1467443" cy="390683"/>
        </a:xfrm>
        <a:prstGeom prst="rect">
          <a:avLst/>
        </a:prstGeom>
      </xdr:spPr>
    </xdr:pic>
    <xdr:clientData/>
  </xdr:oneCellAnchor>
  <xdr:oneCellAnchor>
    <xdr:from>
      <xdr:col>2</xdr:col>
      <xdr:colOff>561975</xdr:colOff>
      <xdr:row>188</xdr:row>
      <xdr:rowOff>133350</xdr:rowOff>
    </xdr:from>
    <xdr:ext cx="1295924" cy="362096"/>
    <xdr:pic>
      <xdr:nvPicPr>
        <xdr:cNvPr id="19" name="Image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950" y="18611850"/>
          <a:ext cx="1295924" cy="362096"/>
        </a:xfrm>
        <a:prstGeom prst="rect">
          <a:avLst/>
        </a:prstGeom>
      </xdr:spPr>
    </xdr:pic>
    <xdr:clientData/>
  </xdr:oneCellAnchor>
  <xdr:oneCellAnchor>
    <xdr:from>
      <xdr:col>2</xdr:col>
      <xdr:colOff>314325</xdr:colOff>
      <xdr:row>190</xdr:row>
      <xdr:rowOff>123825</xdr:rowOff>
    </xdr:from>
    <xdr:ext cx="1658020" cy="428798"/>
    <xdr:pic>
      <xdr:nvPicPr>
        <xdr:cNvPr id="20" name="Image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6300" y="18983325"/>
          <a:ext cx="1658020" cy="428798"/>
        </a:xfrm>
        <a:prstGeom prst="rect">
          <a:avLst/>
        </a:prstGeom>
      </xdr:spPr>
    </xdr:pic>
    <xdr:clientData/>
  </xdr:oneCellAnchor>
  <xdr:oneCellAnchor>
    <xdr:from>
      <xdr:col>6</xdr:col>
      <xdr:colOff>257175</xdr:colOff>
      <xdr:row>183</xdr:row>
      <xdr:rowOff>95250</xdr:rowOff>
    </xdr:from>
    <xdr:ext cx="314452" cy="505029"/>
    <xdr:pic>
      <xdr:nvPicPr>
        <xdr:cNvPr id="21" name="Image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76650" y="17621250"/>
          <a:ext cx="314452" cy="505029"/>
        </a:xfrm>
        <a:prstGeom prst="rect">
          <a:avLst/>
        </a:prstGeom>
      </xdr:spPr>
    </xdr:pic>
    <xdr:clientData/>
  </xdr:oneCellAnchor>
  <xdr:oneCellAnchor>
    <xdr:from>
      <xdr:col>11</xdr:col>
      <xdr:colOff>209550</xdr:colOff>
      <xdr:row>207</xdr:row>
      <xdr:rowOff>66675</xdr:rowOff>
    </xdr:from>
    <xdr:ext cx="1305453" cy="1685925"/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b="12411"/>
        <a:stretch/>
      </xdr:blipFill>
      <xdr:spPr>
        <a:xfrm>
          <a:off x="6629400" y="17021175"/>
          <a:ext cx="1305453" cy="1685925"/>
        </a:xfrm>
        <a:prstGeom prst="rect">
          <a:avLst/>
        </a:prstGeom>
      </xdr:spPr>
    </xdr:pic>
    <xdr:clientData/>
  </xdr:oneCellAnchor>
  <xdr:twoCellAnchor editAs="oneCell">
    <xdr:from>
      <xdr:col>6</xdr:col>
      <xdr:colOff>247650</xdr:colOff>
      <xdr:row>214</xdr:row>
      <xdr:rowOff>104775</xdr:rowOff>
    </xdr:from>
    <xdr:to>
      <xdr:col>6</xdr:col>
      <xdr:colOff>581160</xdr:colOff>
      <xdr:row>217</xdr:row>
      <xdr:rowOff>19246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667125" y="39157275"/>
          <a:ext cx="333510" cy="485971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217</xdr:row>
      <xdr:rowOff>152400</xdr:rowOff>
    </xdr:from>
    <xdr:to>
      <xdr:col>4</xdr:col>
      <xdr:colOff>591132</xdr:colOff>
      <xdr:row>219</xdr:row>
      <xdr:rowOff>152554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43000" y="39776400"/>
          <a:ext cx="1438857" cy="381154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219</xdr:row>
      <xdr:rowOff>152400</xdr:rowOff>
    </xdr:from>
    <xdr:to>
      <xdr:col>4</xdr:col>
      <xdr:colOff>619830</xdr:colOff>
      <xdr:row>221</xdr:row>
      <xdr:rowOff>181141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866775" y="40157400"/>
          <a:ext cx="1743780" cy="409741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222</xdr:row>
      <xdr:rowOff>123825</xdr:rowOff>
    </xdr:from>
    <xdr:to>
      <xdr:col>4</xdr:col>
      <xdr:colOff>581618</xdr:colOff>
      <xdr:row>224</xdr:row>
      <xdr:rowOff>181152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04900" y="40700325"/>
          <a:ext cx="1467443" cy="438327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301</xdr:row>
      <xdr:rowOff>76200</xdr:rowOff>
    </xdr:from>
    <xdr:to>
      <xdr:col>4</xdr:col>
      <xdr:colOff>638645</xdr:colOff>
      <xdr:row>303</xdr:row>
      <xdr:rowOff>123998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466850" y="47891700"/>
          <a:ext cx="1162520" cy="428798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296</xdr:row>
      <xdr:rowOff>76200</xdr:rowOff>
    </xdr:from>
    <xdr:to>
      <xdr:col>4</xdr:col>
      <xdr:colOff>610004</xdr:colOff>
      <xdr:row>298</xdr:row>
      <xdr:rowOff>133527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00200" y="47129700"/>
          <a:ext cx="1000529" cy="438327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240</xdr:row>
      <xdr:rowOff>85725</xdr:rowOff>
    </xdr:from>
    <xdr:to>
      <xdr:col>4</xdr:col>
      <xdr:colOff>629128</xdr:colOff>
      <xdr:row>242</xdr:row>
      <xdr:rowOff>143052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438275" y="44091225"/>
          <a:ext cx="1181578" cy="438327"/>
        </a:xfrm>
        <a:prstGeom prst="rect">
          <a:avLst/>
        </a:prstGeom>
      </xdr:spPr>
    </xdr:pic>
    <xdr:clientData/>
  </xdr:twoCellAnchor>
  <xdr:twoCellAnchor editAs="oneCell">
    <xdr:from>
      <xdr:col>2</xdr:col>
      <xdr:colOff>685800</xdr:colOff>
      <xdr:row>264</xdr:row>
      <xdr:rowOff>76200</xdr:rowOff>
    </xdr:from>
    <xdr:to>
      <xdr:col>6</xdr:col>
      <xdr:colOff>629782</xdr:colOff>
      <xdr:row>266</xdr:row>
      <xdr:rowOff>171643</xdr:rowOff>
    </xdr:to>
    <xdr:pic>
      <xdr:nvPicPr>
        <xdr:cNvPr id="25" name="Image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47775" y="48310800"/>
          <a:ext cx="2801482" cy="476443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266</xdr:row>
      <xdr:rowOff>171450</xdr:rowOff>
    </xdr:from>
    <xdr:to>
      <xdr:col>5</xdr:col>
      <xdr:colOff>591289</xdr:colOff>
      <xdr:row>268</xdr:row>
      <xdr:rowOff>38200</xdr:rowOff>
    </xdr:to>
    <xdr:pic>
      <xdr:nvPicPr>
        <xdr:cNvPr id="26" name="Image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466850" y="48787050"/>
          <a:ext cx="1829539" cy="247750"/>
        </a:xfrm>
        <a:prstGeom prst="rect">
          <a:avLst/>
        </a:prstGeom>
      </xdr:spPr>
    </xdr:pic>
    <xdr:clientData/>
  </xdr:twoCellAnchor>
  <xdr:twoCellAnchor editAs="oneCell">
    <xdr:from>
      <xdr:col>4</xdr:col>
      <xdr:colOff>400050</xdr:colOff>
      <xdr:row>270</xdr:row>
      <xdr:rowOff>47625</xdr:rowOff>
    </xdr:from>
    <xdr:to>
      <xdr:col>5</xdr:col>
      <xdr:colOff>609974</xdr:colOff>
      <xdr:row>272</xdr:row>
      <xdr:rowOff>171654</xdr:rowOff>
    </xdr:to>
    <xdr:pic>
      <xdr:nvPicPr>
        <xdr:cNvPr id="27" name="Image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390775" y="49425225"/>
          <a:ext cx="924299" cy="505029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273</xdr:row>
      <xdr:rowOff>28575</xdr:rowOff>
    </xdr:from>
    <xdr:to>
      <xdr:col>5</xdr:col>
      <xdr:colOff>610039</xdr:colOff>
      <xdr:row>275</xdr:row>
      <xdr:rowOff>181191</xdr:rowOff>
    </xdr:to>
    <xdr:pic>
      <xdr:nvPicPr>
        <xdr:cNvPr id="28" name="Image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228850" y="49977675"/>
          <a:ext cx="1086289" cy="533616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285750</xdr:colOff>
      <xdr:row>276</xdr:row>
      <xdr:rowOff>95250</xdr:rowOff>
    </xdr:from>
    <xdr:to>
      <xdr:col>6</xdr:col>
      <xdr:colOff>562087</xdr:colOff>
      <xdr:row>279</xdr:row>
      <xdr:rowOff>193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419600" y="50615850"/>
          <a:ext cx="276337" cy="476443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295275</xdr:colOff>
      <xdr:row>277</xdr:row>
      <xdr:rowOff>0</xdr:rowOff>
    </xdr:from>
    <xdr:to>
      <xdr:col>3</xdr:col>
      <xdr:colOff>619256</xdr:colOff>
      <xdr:row>278</xdr:row>
      <xdr:rowOff>9606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286000" y="50711100"/>
          <a:ext cx="323981" cy="200106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278</xdr:row>
      <xdr:rowOff>47625</xdr:rowOff>
    </xdr:from>
    <xdr:to>
      <xdr:col>3</xdr:col>
      <xdr:colOff>619229</xdr:colOff>
      <xdr:row>279</xdr:row>
      <xdr:rowOff>28644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352675" y="51139725"/>
          <a:ext cx="257279" cy="171519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666750</xdr:colOff>
      <xdr:row>290</xdr:row>
      <xdr:rowOff>47625</xdr:rowOff>
    </xdr:from>
    <xdr:to>
      <xdr:col>13</xdr:col>
      <xdr:colOff>247827</xdr:colOff>
      <xdr:row>291</xdr:row>
      <xdr:rowOff>28644</xdr:rowOff>
    </xdr:to>
    <xdr:pic>
      <xdr:nvPicPr>
        <xdr:cNvPr id="32" name="Image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505700" y="52854225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12</xdr:col>
      <xdr:colOff>666750</xdr:colOff>
      <xdr:row>291</xdr:row>
      <xdr:rowOff>47625</xdr:rowOff>
    </xdr:from>
    <xdr:to>
      <xdr:col>13</xdr:col>
      <xdr:colOff>247827</xdr:colOff>
      <xdr:row>292</xdr:row>
      <xdr:rowOff>28644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7505700" y="53044725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291</xdr:row>
      <xdr:rowOff>38100</xdr:rowOff>
    </xdr:from>
    <xdr:to>
      <xdr:col>6</xdr:col>
      <xdr:colOff>177</xdr:colOff>
      <xdr:row>292</xdr:row>
      <xdr:rowOff>19119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981325" y="53035200"/>
          <a:ext cx="438327" cy="17151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288</xdr:row>
      <xdr:rowOff>85725</xdr:rowOff>
    </xdr:from>
    <xdr:to>
      <xdr:col>5</xdr:col>
      <xdr:colOff>610409</xdr:colOff>
      <xdr:row>291</xdr:row>
      <xdr:rowOff>38312</xdr:rowOff>
    </xdr:to>
    <xdr:pic>
      <xdr:nvPicPr>
        <xdr:cNvPr id="36" name="Image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314450" y="52892325"/>
          <a:ext cx="2001059" cy="524087"/>
        </a:xfrm>
        <a:prstGeom prst="rect">
          <a:avLst/>
        </a:prstGeom>
      </xdr:spPr>
    </xdr:pic>
    <xdr:clientData/>
  </xdr:twoCellAnchor>
  <xdr:twoCellAnchor editAs="oneCell">
    <xdr:from>
      <xdr:col>3</xdr:col>
      <xdr:colOff>485775</xdr:colOff>
      <xdr:row>279</xdr:row>
      <xdr:rowOff>161925</xdr:rowOff>
    </xdr:from>
    <xdr:to>
      <xdr:col>5</xdr:col>
      <xdr:colOff>600699</xdr:colOff>
      <xdr:row>281</xdr:row>
      <xdr:rowOff>143021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762125" y="51254025"/>
          <a:ext cx="1543674" cy="362096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282</xdr:row>
      <xdr:rowOff>47625</xdr:rowOff>
    </xdr:from>
    <xdr:to>
      <xdr:col>5</xdr:col>
      <xdr:colOff>571997</xdr:colOff>
      <xdr:row>284</xdr:row>
      <xdr:rowOff>171654</xdr:rowOff>
    </xdr:to>
    <xdr:pic>
      <xdr:nvPicPr>
        <xdr:cNvPr id="38" name="Image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047875" y="51711225"/>
          <a:ext cx="1229222" cy="505029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400050</xdr:colOff>
      <xdr:row>285</xdr:row>
      <xdr:rowOff>0</xdr:rowOff>
    </xdr:from>
    <xdr:to>
      <xdr:col>5</xdr:col>
      <xdr:colOff>572147</xdr:colOff>
      <xdr:row>287</xdr:row>
      <xdr:rowOff>28741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76400" y="52406550"/>
          <a:ext cx="1600847" cy="4097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</xdr:row>
      <xdr:rowOff>28575</xdr:rowOff>
    </xdr:from>
    <xdr:to>
      <xdr:col>4</xdr:col>
      <xdr:colOff>205102</xdr:colOff>
      <xdr:row>19</xdr:row>
      <xdr:rowOff>166898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3648075"/>
          <a:ext cx="776602" cy="51932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20</xdr:row>
      <xdr:rowOff>76547</xdr:rowOff>
    </xdr:from>
    <xdr:to>
      <xdr:col>4</xdr:col>
      <xdr:colOff>224156</xdr:colOff>
      <xdr:row>22</xdr:row>
      <xdr:rowOff>143403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9575" y="2972147"/>
          <a:ext cx="786131" cy="447856"/>
        </a:xfrm>
        <a:prstGeom prst="rect">
          <a:avLst/>
        </a:prstGeom>
      </xdr:spPr>
    </xdr:pic>
    <xdr:clientData/>
  </xdr:twoCellAnchor>
  <xdr:twoCellAnchor editAs="oneCell">
    <xdr:from>
      <xdr:col>2</xdr:col>
      <xdr:colOff>19096</xdr:colOff>
      <xdr:row>23</xdr:row>
      <xdr:rowOff>57150</xdr:rowOff>
    </xdr:from>
    <xdr:to>
      <xdr:col>4</xdr:col>
      <xdr:colOff>195611</xdr:colOff>
      <xdr:row>25</xdr:row>
      <xdr:rowOff>176415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46" y="3524250"/>
          <a:ext cx="748015" cy="500265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17</xdr:row>
      <xdr:rowOff>94008</xdr:rowOff>
    </xdr:from>
    <xdr:to>
      <xdr:col>19</xdr:col>
      <xdr:colOff>15693</xdr:colOff>
      <xdr:row>19</xdr:row>
      <xdr:rowOff>136089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52900" y="2341908"/>
          <a:ext cx="1120593" cy="423081"/>
        </a:xfrm>
        <a:prstGeom prst="rect">
          <a:avLst/>
        </a:prstGeom>
      </xdr:spPr>
    </xdr:pic>
    <xdr:clientData/>
  </xdr:twoCellAnchor>
  <xdr:twoCellAnchor editAs="oneCell">
    <xdr:from>
      <xdr:col>15</xdr:col>
      <xdr:colOff>171450</xdr:colOff>
      <xdr:row>20</xdr:row>
      <xdr:rowOff>80411</xdr:rowOff>
    </xdr:from>
    <xdr:to>
      <xdr:col>18</xdr:col>
      <xdr:colOff>71744</xdr:colOff>
      <xdr:row>22</xdr:row>
      <xdr:rowOff>123445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2976011"/>
          <a:ext cx="757544" cy="424034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161925</xdr:colOff>
      <xdr:row>23</xdr:row>
      <xdr:rowOff>43779</xdr:rowOff>
    </xdr:from>
    <xdr:to>
      <xdr:col>18</xdr:col>
      <xdr:colOff>62219</xdr:colOff>
      <xdr:row>25</xdr:row>
      <xdr:rowOff>158280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76725" y="3510879"/>
          <a:ext cx="757544" cy="495501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161926</xdr:colOff>
      <xdr:row>26</xdr:row>
      <xdr:rowOff>43016</xdr:rowOff>
    </xdr:from>
    <xdr:to>
      <xdr:col>18</xdr:col>
      <xdr:colOff>52691</xdr:colOff>
      <xdr:row>28</xdr:row>
      <xdr:rowOff>152752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76726" y="4081616"/>
          <a:ext cx="748015" cy="490736"/>
        </a:xfrm>
        <a:prstGeom prst="rect">
          <a:avLst/>
        </a:prstGeom>
      </xdr:spPr>
    </xdr:pic>
    <xdr:clientData/>
  </xdr:twoCellAnchor>
  <xdr:twoCellAnchor editAs="oneCell">
    <xdr:from>
      <xdr:col>22</xdr:col>
      <xdr:colOff>171450</xdr:colOff>
      <xdr:row>11</xdr:row>
      <xdr:rowOff>95250</xdr:rowOff>
    </xdr:from>
    <xdr:to>
      <xdr:col>27</xdr:col>
      <xdr:colOff>237614</xdr:colOff>
      <xdr:row>15</xdr:row>
      <xdr:rowOff>206662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15075" y="2419350"/>
          <a:ext cx="1494914" cy="987712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8</xdr:col>
      <xdr:colOff>175562</xdr:colOff>
      <xdr:row>18</xdr:row>
      <xdr:rowOff>182954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43050" y="2514600"/>
          <a:ext cx="747062" cy="18295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9</xdr:col>
      <xdr:colOff>248096</xdr:colOff>
      <xdr:row>21</xdr:row>
      <xdr:rowOff>167708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43050" y="3086100"/>
          <a:ext cx="1105346" cy="16770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24</xdr:row>
      <xdr:rowOff>1</xdr:rowOff>
    </xdr:from>
    <xdr:to>
      <xdr:col>9</xdr:col>
      <xdr:colOff>126128</xdr:colOff>
      <xdr:row>24</xdr:row>
      <xdr:rowOff>175332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543050" y="3657601"/>
          <a:ext cx="983378" cy="175331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17</xdr:row>
      <xdr:rowOff>85725</xdr:rowOff>
    </xdr:from>
    <xdr:to>
      <xdr:col>22</xdr:col>
      <xdr:colOff>167939</xdr:colOff>
      <xdr:row>19</xdr:row>
      <xdr:rowOff>47763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43550" y="2409825"/>
          <a:ext cx="739439" cy="343038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161925</xdr:colOff>
      <xdr:row>21</xdr:row>
      <xdr:rowOff>0</xdr:rowOff>
    </xdr:from>
    <xdr:to>
      <xdr:col>22</xdr:col>
      <xdr:colOff>261488</xdr:colOff>
      <xdr:row>21</xdr:row>
      <xdr:rowOff>152462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133975" y="3086100"/>
          <a:ext cx="1242562" cy="152462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161926</xdr:colOff>
      <xdr:row>24</xdr:row>
      <xdr:rowOff>0</xdr:rowOff>
    </xdr:from>
    <xdr:to>
      <xdr:col>24</xdr:col>
      <xdr:colOff>2535</xdr:colOff>
      <xdr:row>24</xdr:row>
      <xdr:rowOff>152462</xdr:rowOff>
    </xdr:to>
    <xdr:pic>
      <xdr:nvPicPr>
        <xdr:cNvPr id="20" name="Image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33976" y="3657600"/>
          <a:ext cx="1555109" cy="152462"/>
        </a:xfrm>
        <a:prstGeom prst="rect">
          <a:avLst/>
        </a:prstGeom>
      </xdr:spPr>
    </xdr:pic>
    <xdr:clientData/>
  </xdr:twoCellAnchor>
  <xdr:twoCellAnchor editAs="oneCell">
    <xdr:from>
      <xdr:col>18</xdr:col>
      <xdr:colOff>161926</xdr:colOff>
      <xdr:row>26</xdr:row>
      <xdr:rowOff>133351</xdr:rowOff>
    </xdr:from>
    <xdr:to>
      <xdr:col>24</xdr:col>
      <xdr:colOff>40650</xdr:colOff>
      <xdr:row>28</xdr:row>
      <xdr:rowOff>34405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133976" y="4171951"/>
          <a:ext cx="1593224" cy="282054"/>
        </a:xfrm>
        <a:prstGeom prst="rect">
          <a:avLst/>
        </a:prstGeom>
      </xdr:spPr>
    </xdr:pic>
    <xdr:clientData/>
  </xdr:twoCellAnchor>
  <xdr:oneCellAnchor>
    <xdr:from>
      <xdr:col>2</xdr:col>
      <xdr:colOff>6022</xdr:colOff>
      <xdr:row>39</xdr:row>
      <xdr:rowOff>28575</xdr:rowOff>
    </xdr:from>
    <xdr:ext cx="764558" cy="519323"/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6072" y="6772275"/>
          <a:ext cx="764558" cy="519323"/>
        </a:xfrm>
        <a:prstGeom prst="rect">
          <a:avLst/>
        </a:prstGeom>
      </xdr:spPr>
    </xdr:pic>
    <xdr:clientData/>
  </xdr:oneCellAnchor>
  <xdr:oneCellAnchor>
    <xdr:from>
      <xdr:col>2</xdr:col>
      <xdr:colOff>17998</xdr:colOff>
      <xdr:row>42</xdr:row>
      <xdr:rowOff>38446</xdr:rowOff>
    </xdr:from>
    <xdr:ext cx="738486" cy="505029"/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8048" y="7353646"/>
          <a:ext cx="738486" cy="505029"/>
        </a:xfrm>
        <a:prstGeom prst="rect">
          <a:avLst/>
        </a:prstGeom>
      </xdr:spPr>
    </xdr:pic>
    <xdr:clientData/>
  </xdr:oneCellAnchor>
  <xdr:oneCellAnchor>
    <xdr:from>
      <xdr:col>22</xdr:col>
      <xdr:colOff>198419</xdr:colOff>
      <xdr:row>33</xdr:row>
      <xdr:rowOff>110743</xdr:rowOff>
    </xdr:from>
    <xdr:ext cx="1467443" cy="973848"/>
    <xdr:pic>
      <xdr:nvPicPr>
        <xdr:cNvPr id="27" name="Image 26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42044" y="6816343"/>
          <a:ext cx="1467443" cy="97384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1</xdr:colOff>
      <xdr:row>40</xdr:row>
      <xdr:rowOff>1691</xdr:rowOff>
    </xdr:from>
    <xdr:ext cx="668179" cy="160948"/>
    <xdr:pic>
      <xdr:nvPicPr>
        <xdr:cNvPr id="28" name="Image 27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1" y="6935891"/>
          <a:ext cx="668179" cy="160948"/>
        </a:xfrm>
        <a:prstGeom prst="rect">
          <a:avLst/>
        </a:prstGeom>
      </xdr:spPr>
    </xdr:pic>
    <xdr:clientData/>
  </xdr:oneCellAnchor>
  <xdr:oneCellAnchor>
    <xdr:from>
      <xdr:col>15</xdr:col>
      <xdr:colOff>77201</xdr:colOff>
      <xdr:row>39</xdr:row>
      <xdr:rowOff>38098</xdr:rowOff>
    </xdr:from>
    <xdr:ext cx="748015" cy="505029"/>
    <xdr:pic>
      <xdr:nvPicPr>
        <xdr:cNvPr id="35" name="Image 3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2001" y="6781798"/>
          <a:ext cx="748015" cy="505029"/>
        </a:xfrm>
        <a:prstGeom prst="rect">
          <a:avLst/>
        </a:prstGeom>
      </xdr:spPr>
    </xdr:pic>
    <xdr:clientData/>
  </xdr:oneCellAnchor>
  <xdr:oneCellAnchor>
    <xdr:from>
      <xdr:col>15</xdr:col>
      <xdr:colOff>90224</xdr:colOff>
      <xdr:row>42</xdr:row>
      <xdr:rowOff>30042</xdr:rowOff>
    </xdr:from>
    <xdr:ext cx="738486" cy="538380"/>
    <xdr:pic>
      <xdr:nvPicPr>
        <xdr:cNvPr id="36" name="Image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05024" y="7345242"/>
          <a:ext cx="738486" cy="538380"/>
        </a:xfrm>
        <a:prstGeom prst="rect">
          <a:avLst/>
        </a:prstGeom>
      </xdr:spPr>
    </xdr:pic>
    <xdr:clientData/>
  </xdr:oneCellAnchor>
  <xdr:oneCellAnchor>
    <xdr:from>
      <xdr:col>15</xdr:col>
      <xdr:colOff>85796</xdr:colOff>
      <xdr:row>45</xdr:row>
      <xdr:rowOff>29280</xdr:rowOff>
    </xdr:from>
    <xdr:ext cx="738486" cy="566967"/>
    <xdr:pic>
      <xdr:nvPicPr>
        <xdr:cNvPr id="37" name="Image 36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00596" y="7915980"/>
          <a:ext cx="738486" cy="566967"/>
        </a:xfrm>
        <a:prstGeom prst="rect">
          <a:avLst/>
        </a:prstGeom>
      </xdr:spPr>
    </xdr:pic>
    <xdr:clientData/>
  </xdr:oneCellAnchor>
  <xdr:oneCellAnchor>
    <xdr:from>
      <xdr:col>2</xdr:col>
      <xdr:colOff>5748</xdr:colOff>
      <xdr:row>58</xdr:row>
      <xdr:rowOff>90854</xdr:rowOff>
    </xdr:from>
    <xdr:ext cx="748015" cy="595553"/>
    <xdr:pic>
      <xdr:nvPicPr>
        <xdr:cNvPr id="38" name="Image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5798" y="12101879"/>
          <a:ext cx="748015" cy="595553"/>
        </a:xfrm>
        <a:prstGeom prst="rect">
          <a:avLst/>
        </a:prstGeom>
      </xdr:spPr>
    </xdr:pic>
    <xdr:clientData/>
  </xdr:oneCellAnchor>
  <xdr:oneCellAnchor>
    <xdr:from>
      <xdr:col>22</xdr:col>
      <xdr:colOff>171450</xdr:colOff>
      <xdr:row>52</xdr:row>
      <xdr:rowOff>148286</xdr:rowOff>
    </xdr:from>
    <xdr:ext cx="1320699" cy="860455"/>
    <xdr:pic>
      <xdr:nvPicPr>
        <xdr:cNvPr id="40" name="Image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86500" y="10587686"/>
          <a:ext cx="1320699" cy="860455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80740</xdr:colOff>
      <xdr:row>58</xdr:row>
      <xdr:rowOff>114300</xdr:rowOff>
    </xdr:from>
    <xdr:ext cx="752780" cy="633669"/>
    <xdr:pic>
      <xdr:nvPicPr>
        <xdr:cNvPr id="46" name="Image 4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24115" y="12125325"/>
          <a:ext cx="752780" cy="633669"/>
        </a:xfrm>
        <a:prstGeom prst="rect">
          <a:avLst/>
        </a:prstGeom>
      </xdr:spPr>
    </xdr:pic>
    <xdr:clientData/>
  </xdr:oneCellAnchor>
  <xdr:oneCellAnchor>
    <xdr:from>
      <xdr:col>2</xdr:col>
      <xdr:colOff>91312</xdr:colOff>
      <xdr:row>71</xdr:row>
      <xdr:rowOff>81329</xdr:rowOff>
    </xdr:from>
    <xdr:ext cx="677502" cy="634622"/>
    <xdr:pic>
      <xdr:nvPicPr>
        <xdr:cNvPr id="49" name="Image 4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1362" y="15016529"/>
          <a:ext cx="677502" cy="634622"/>
        </a:xfrm>
        <a:prstGeom prst="rect">
          <a:avLst/>
        </a:prstGeom>
      </xdr:spPr>
    </xdr:pic>
    <xdr:clientData/>
  </xdr:oneCellAnchor>
  <xdr:oneCellAnchor>
    <xdr:from>
      <xdr:col>22</xdr:col>
      <xdr:colOff>267122</xdr:colOff>
      <xdr:row>65</xdr:row>
      <xdr:rowOff>117965</xdr:rowOff>
    </xdr:from>
    <xdr:ext cx="1280678" cy="1040551"/>
    <xdr:pic>
      <xdr:nvPicPr>
        <xdr:cNvPr id="50" name="Image 4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0747" y="13662515"/>
          <a:ext cx="1280678" cy="1040551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114382</xdr:colOff>
      <xdr:row>71</xdr:row>
      <xdr:rowOff>76932</xdr:rowOff>
    </xdr:from>
    <xdr:ext cx="677502" cy="638910"/>
    <xdr:pic>
      <xdr:nvPicPr>
        <xdr:cNvPr id="53" name="Image 5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57757" y="15012132"/>
          <a:ext cx="677502" cy="638910"/>
        </a:xfrm>
        <a:prstGeom prst="rect">
          <a:avLst/>
        </a:prstGeom>
      </xdr:spPr>
    </xdr:pic>
    <xdr:clientData/>
  </xdr:oneCellAnchor>
  <xdr:oneCellAnchor>
    <xdr:from>
      <xdr:col>2</xdr:col>
      <xdr:colOff>26772</xdr:colOff>
      <xdr:row>84</xdr:row>
      <xdr:rowOff>38100</xdr:rowOff>
    </xdr:from>
    <xdr:ext cx="757544" cy="590789"/>
    <xdr:pic>
      <xdr:nvPicPr>
        <xdr:cNvPr id="54" name="Image 5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6822" y="17754600"/>
          <a:ext cx="757544" cy="590789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78</xdr:row>
      <xdr:rowOff>61546</xdr:rowOff>
    </xdr:from>
    <xdr:ext cx="1067231" cy="1020540"/>
    <xdr:pic>
      <xdr:nvPicPr>
        <xdr:cNvPr id="55" name="Image 5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16520746"/>
          <a:ext cx="1067231" cy="102054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84</xdr:row>
      <xdr:rowOff>66675</xdr:rowOff>
    </xdr:from>
    <xdr:ext cx="757544" cy="519323"/>
    <xdr:pic>
      <xdr:nvPicPr>
        <xdr:cNvPr id="58" name="Image 57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08125" y="17783175"/>
          <a:ext cx="757544" cy="519323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59</xdr:row>
      <xdr:rowOff>1</xdr:rowOff>
    </xdr:from>
    <xdr:to>
      <xdr:col>8</xdr:col>
      <xdr:colOff>175562</xdr:colOff>
      <xdr:row>59</xdr:row>
      <xdr:rowOff>175332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08204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43</xdr:row>
      <xdr:rowOff>1</xdr:rowOff>
    </xdr:from>
    <xdr:to>
      <xdr:col>9</xdr:col>
      <xdr:colOff>141374</xdr:colOff>
      <xdr:row>43</xdr:row>
      <xdr:rowOff>182955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543050" y="7543801"/>
          <a:ext cx="998624" cy="182954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39</xdr:row>
      <xdr:rowOff>142875</xdr:rowOff>
    </xdr:from>
    <xdr:to>
      <xdr:col>24</xdr:col>
      <xdr:colOff>183648</xdr:colOff>
      <xdr:row>40</xdr:row>
      <xdr:rowOff>72459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972051" y="6886575"/>
          <a:ext cx="1898147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43</xdr:row>
      <xdr:rowOff>0</xdr:rowOff>
    </xdr:from>
    <xdr:to>
      <xdr:col>23</xdr:col>
      <xdr:colOff>111114</xdr:colOff>
      <xdr:row>43</xdr:row>
      <xdr:rowOff>167708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972051" y="7543800"/>
          <a:ext cx="1539862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</xdr:colOff>
      <xdr:row>46</xdr:row>
      <xdr:rowOff>0</xdr:rowOff>
    </xdr:from>
    <xdr:to>
      <xdr:col>22</xdr:col>
      <xdr:colOff>23333</xdr:colOff>
      <xdr:row>46</xdr:row>
      <xdr:rowOff>167708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972051" y="8115300"/>
          <a:ext cx="1166331" cy="16770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72</xdr:row>
      <xdr:rowOff>1</xdr:rowOff>
    </xdr:from>
    <xdr:to>
      <xdr:col>8</xdr:col>
      <xdr:colOff>175562</xdr:colOff>
      <xdr:row>72</xdr:row>
      <xdr:rowOff>175332</xdr:rowOff>
    </xdr:to>
    <xdr:pic>
      <xdr:nvPicPr>
        <xdr:cNvPr id="59" name="Image 58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37160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71</xdr:row>
      <xdr:rowOff>7328</xdr:rowOff>
    </xdr:from>
    <xdr:to>
      <xdr:col>23</xdr:col>
      <xdr:colOff>141605</xdr:colOff>
      <xdr:row>71</xdr:row>
      <xdr:rowOff>190282</xdr:rowOff>
    </xdr:to>
    <xdr:pic>
      <xdr:nvPicPr>
        <xdr:cNvPr id="25" name="Image 24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972050" y="13532828"/>
          <a:ext cx="1570354" cy="182954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85</xdr:row>
      <xdr:rowOff>1</xdr:rowOff>
    </xdr:from>
    <xdr:to>
      <xdr:col>8</xdr:col>
      <xdr:colOff>175562</xdr:colOff>
      <xdr:row>85</xdr:row>
      <xdr:rowOff>175332</xdr:rowOff>
    </xdr:to>
    <xdr:pic>
      <xdr:nvPicPr>
        <xdr:cNvPr id="60" name="Image 59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43050" y="16611601"/>
          <a:ext cx="747062" cy="175331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85</xdr:row>
      <xdr:rowOff>0</xdr:rowOff>
    </xdr:from>
    <xdr:to>
      <xdr:col>22</xdr:col>
      <xdr:colOff>19405</xdr:colOff>
      <xdr:row>85</xdr:row>
      <xdr:rowOff>137215</xdr:rowOff>
    </xdr:to>
    <xdr:pic>
      <xdr:nvPicPr>
        <xdr:cNvPr id="26" name="Image 25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257800" y="16611600"/>
          <a:ext cx="876654" cy="137215"/>
        </a:xfrm>
        <a:prstGeom prst="rect">
          <a:avLst/>
        </a:prstGeom>
      </xdr:spPr>
    </xdr:pic>
    <xdr:clientData/>
  </xdr:twoCellAnchor>
  <xdr:oneCellAnchor>
    <xdr:from>
      <xdr:col>2</xdr:col>
      <xdr:colOff>26772</xdr:colOff>
      <xdr:row>148</xdr:row>
      <xdr:rowOff>18692</xdr:rowOff>
    </xdr:from>
    <xdr:ext cx="795659" cy="481207"/>
    <xdr:pic>
      <xdr:nvPicPr>
        <xdr:cNvPr id="61" name="Image 60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6822" y="31022567"/>
          <a:ext cx="795659" cy="481207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141</xdr:row>
      <xdr:rowOff>167752</xdr:rowOff>
    </xdr:from>
    <xdr:ext cx="1053891" cy="760402"/>
    <xdr:pic>
      <xdr:nvPicPr>
        <xdr:cNvPr id="62" name="Image 6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29685727"/>
          <a:ext cx="1053891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148</xdr:row>
      <xdr:rowOff>9537</xdr:rowOff>
    </xdr:from>
    <xdr:ext cx="757544" cy="462149"/>
    <xdr:pic>
      <xdr:nvPicPr>
        <xdr:cNvPr id="63" name="Image 62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308125" y="31013412"/>
          <a:ext cx="757544" cy="462149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148</xdr:row>
      <xdr:rowOff>79829</xdr:rowOff>
    </xdr:from>
    <xdr:ext cx="899523" cy="182954"/>
    <xdr:pic>
      <xdr:nvPicPr>
        <xdr:cNvPr id="64" name="Image 63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0" y="31083704"/>
          <a:ext cx="899523" cy="182954"/>
        </a:xfrm>
        <a:prstGeom prst="rect">
          <a:avLst/>
        </a:prstGeom>
      </xdr:spPr>
    </xdr:pic>
    <xdr:clientData/>
  </xdr:oneCellAnchor>
  <xdr:oneCellAnchor>
    <xdr:from>
      <xdr:col>19</xdr:col>
      <xdr:colOff>0</xdr:colOff>
      <xdr:row>148</xdr:row>
      <xdr:rowOff>75704</xdr:rowOff>
    </xdr:from>
    <xdr:ext cx="1054844" cy="145791"/>
    <xdr:pic>
      <xdr:nvPicPr>
        <xdr:cNvPr id="65" name="Image 64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6375" y="31079579"/>
          <a:ext cx="1054844" cy="145791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167</xdr:row>
      <xdr:rowOff>150890</xdr:rowOff>
    </xdr:from>
    <xdr:ext cx="1067231" cy="841852"/>
    <xdr:pic>
      <xdr:nvPicPr>
        <xdr:cNvPr id="72" name="Image 71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34964765"/>
          <a:ext cx="1067231" cy="84185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107182</xdr:colOff>
      <xdr:row>180</xdr:row>
      <xdr:rowOff>80385</xdr:rowOff>
    </xdr:from>
    <xdr:ext cx="1133457" cy="1003388"/>
    <xdr:pic>
      <xdr:nvPicPr>
        <xdr:cNvPr id="77" name="Image 76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36557" y="37780335"/>
          <a:ext cx="1133457" cy="100338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107182</xdr:colOff>
      <xdr:row>219</xdr:row>
      <xdr:rowOff>100826</xdr:rowOff>
    </xdr:from>
    <xdr:ext cx="1213976" cy="1028163"/>
    <xdr:pic>
      <xdr:nvPicPr>
        <xdr:cNvPr id="92" name="Image 91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36557" y="45773201"/>
          <a:ext cx="1213976" cy="1028163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19</xdr:col>
      <xdr:colOff>0</xdr:colOff>
      <xdr:row>58</xdr:row>
      <xdr:rowOff>152400</xdr:rowOff>
    </xdr:from>
    <xdr:to>
      <xdr:col>21</xdr:col>
      <xdr:colOff>91709</xdr:colOff>
      <xdr:row>59</xdr:row>
      <xdr:rowOff>74359</xdr:rowOff>
    </xdr:to>
    <xdr:pic>
      <xdr:nvPicPr>
        <xdr:cNvPr id="96" name="Image 95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5257800" y="10782300"/>
          <a:ext cx="663208" cy="160085"/>
        </a:xfrm>
        <a:prstGeom prst="rect">
          <a:avLst/>
        </a:prstGeom>
      </xdr:spPr>
    </xdr:pic>
    <xdr:clientData/>
  </xdr:twoCellAnchor>
  <xdr:oneCellAnchor>
    <xdr:from>
      <xdr:col>2</xdr:col>
      <xdr:colOff>26772</xdr:colOff>
      <xdr:row>199</xdr:row>
      <xdr:rowOff>75842</xdr:rowOff>
    </xdr:from>
    <xdr:ext cx="795659" cy="481207"/>
    <xdr:pic>
      <xdr:nvPicPr>
        <xdr:cNvPr id="97" name="Image 96">
          <a:extLst>
            <a:ext uri="{FF2B5EF4-FFF2-40B4-BE49-F238E27FC236}">
              <a16:creationId xmlns:a16="http://schemas.microsoft.com/office/drawing/2014/main" id="{00000000-0008-0000-07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0800000">
          <a:off x="426822" y="41747717"/>
          <a:ext cx="795659" cy="481207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193</xdr:row>
      <xdr:rowOff>186802</xdr:rowOff>
    </xdr:from>
    <xdr:ext cx="1053890" cy="760402"/>
    <xdr:pic>
      <xdr:nvPicPr>
        <xdr:cNvPr id="98" name="Image 97">
          <a:extLst>
            <a:ext uri="{FF2B5EF4-FFF2-40B4-BE49-F238E27FC236}">
              <a16:creationId xmlns:a16="http://schemas.microsoft.com/office/drawing/2014/main" id="{00000000-0008-0000-07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40420402"/>
          <a:ext cx="1053890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15</xdr:col>
      <xdr:colOff>164750</xdr:colOff>
      <xdr:row>199</xdr:row>
      <xdr:rowOff>66687</xdr:rowOff>
    </xdr:from>
    <xdr:ext cx="757544" cy="462149"/>
    <xdr:pic>
      <xdr:nvPicPr>
        <xdr:cNvPr id="99" name="Image 98">
          <a:extLst>
            <a:ext uri="{FF2B5EF4-FFF2-40B4-BE49-F238E27FC236}">
              <a16:creationId xmlns:a16="http://schemas.microsoft.com/office/drawing/2014/main" id="{00000000-0008-0000-07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0800000">
          <a:off x="4308125" y="41738562"/>
          <a:ext cx="757544" cy="462149"/>
        </a:xfrm>
        <a:prstGeom prst="rect">
          <a:avLst/>
        </a:prstGeom>
      </xdr:spPr>
    </xdr:pic>
    <xdr:clientData/>
  </xdr:oneCellAnchor>
  <xdr:oneCellAnchor>
    <xdr:from>
      <xdr:col>23</xdr:col>
      <xdr:colOff>116707</xdr:colOff>
      <xdr:row>154</xdr:row>
      <xdr:rowOff>129652</xdr:rowOff>
    </xdr:from>
    <xdr:ext cx="1053891" cy="760402"/>
    <xdr:pic>
      <xdr:nvPicPr>
        <xdr:cNvPr id="102" name="Image 101">
          <a:extLst>
            <a:ext uri="{FF2B5EF4-FFF2-40B4-BE49-F238E27FC236}">
              <a16:creationId xmlns:a16="http://schemas.microsoft.com/office/drawing/2014/main" id="{00000000-0008-0000-07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32219377"/>
          <a:ext cx="1053891" cy="760402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23</xdr:col>
      <xdr:colOff>116707</xdr:colOff>
      <xdr:row>206</xdr:row>
      <xdr:rowOff>188574</xdr:rowOff>
    </xdr:from>
    <xdr:ext cx="1200635" cy="753732"/>
    <xdr:pic>
      <xdr:nvPicPr>
        <xdr:cNvPr id="103" name="Image 102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46082" y="43136799"/>
          <a:ext cx="1200635" cy="753732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2</xdr:col>
      <xdr:colOff>57150</xdr:colOff>
      <xdr:row>160</xdr:row>
      <xdr:rowOff>85725</xdr:rowOff>
    </xdr:from>
    <xdr:to>
      <xdr:col>4</xdr:col>
      <xdr:colOff>243194</xdr:colOff>
      <xdr:row>163</xdr:row>
      <xdr:rowOff>119307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57200" y="33528000"/>
          <a:ext cx="757544" cy="605082"/>
        </a:xfrm>
        <a:prstGeom prst="rect">
          <a:avLst/>
        </a:prstGeom>
      </xdr:spPr>
    </xdr:pic>
    <xdr:clientData/>
  </xdr:twoCellAnchor>
  <xdr:twoCellAnchor editAs="oneCell">
    <xdr:from>
      <xdr:col>15</xdr:col>
      <xdr:colOff>180975</xdr:colOff>
      <xdr:row>160</xdr:row>
      <xdr:rowOff>85725</xdr:rowOff>
    </xdr:from>
    <xdr:to>
      <xdr:col>18</xdr:col>
      <xdr:colOff>66976</xdr:colOff>
      <xdr:row>163</xdr:row>
      <xdr:rowOff>143129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324350" y="33528000"/>
          <a:ext cx="743251" cy="62890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173</xdr:row>
      <xdr:rowOff>85725</xdr:rowOff>
    </xdr:from>
    <xdr:to>
      <xdr:col>4</xdr:col>
      <xdr:colOff>214616</xdr:colOff>
      <xdr:row>176</xdr:row>
      <xdr:rowOff>95544</xdr:rowOff>
    </xdr:to>
    <xdr:pic>
      <xdr:nvPicPr>
        <xdr:cNvPr id="30" name="Image 2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438151" y="36223575"/>
          <a:ext cx="748015" cy="724194"/>
        </a:xfrm>
        <a:prstGeom prst="rect">
          <a:avLst/>
        </a:prstGeom>
      </xdr:spPr>
    </xdr:pic>
    <xdr:clientData/>
  </xdr:twoCellAnchor>
  <xdr:twoCellAnchor editAs="oneCell">
    <xdr:from>
      <xdr:col>15</xdr:col>
      <xdr:colOff>104775</xdr:colOff>
      <xdr:row>173</xdr:row>
      <xdr:rowOff>85726</xdr:rowOff>
    </xdr:from>
    <xdr:to>
      <xdr:col>17</xdr:col>
      <xdr:colOff>276526</xdr:colOff>
      <xdr:row>175</xdr:row>
      <xdr:rowOff>224088</xdr:rowOff>
    </xdr:to>
    <xdr:pic>
      <xdr:nvPicPr>
        <xdr:cNvPr id="31" name="Image 30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248150" y="36223576"/>
          <a:ext cx="743251" cy="614612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186</xdr:row>
      <xdr:rowOff>76201</xdr:rowOff>
    </xdr:from>
    <xdr:to>
      <xdr:col>4</xdr:col>
      <xdr:colOff>243194</xdr:colOff>
      <xdr:row>189</xdr:row>
      <xdr:rowOff>143134</xdr:rowOff>
    </xdr:to>
    <xdr:pic>
      <xdr:nvPicPr>
        <xdr:cNvPr id="32" name="Image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57200" y="39033451"/>
          <a:ext cx="757544" cy="63843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186</xdr:row>
      <xdr:rowOff>76201</xdr:rowOff>
    </xdr:from>
    <xdr:to>
      <xdr:col>18</xdr:col>
      <xdr:colOff>52694</xdr:colOff>
      <xdr:row>189</xdr:row>
      <xdr:rowOff>143134</xdr:rowOff>
    </xdr:to>
    <xdr:pic>
      <xdr:nvPicPr>
        <xdr:cNvPr id="33" name="Image 3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4295775" y="39033451"/>
          <a:ext cx="757544" cy="638433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212</xdr:row>
      <xdr:rowOff>76200</xdr:rowOff>
    </xdr:from>
    <xdr:to>
      <xdr:col>4</xdr:col>
      <xdr:colOff>238430</xdr:colOff>
      <xdr:row>215</xdr:row>
      <xdr:rowOff>105018</xdr:rowOff>
    </xdr:to>
    <xdr:pic>
      <xdr:nvPicPr>
        <xdr:cNvPr id="34" name="Image 3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457200" y="44376975"/>
          <a:ext cx="752780" cy="600318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161926</xdr:colOff>
      <xdr:row>212</xdr:row>
      <xdr:rowOff>76200</xdr:rowOff>
    </xdr:from>
    <xdr:to>
      <xdr:col>18</xdr:col>
      <xdr:colOff>52691</xdr:colOff>
      <xdr:row>215</xdr:row>
      <xdr:rowOff>114547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4305301" y="44376975"/>
          <a:ext cx="748015" cy="609847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225</xdr:row>
      <xdr:rowOff>104776</xdr:rowOff>
    </xdr:from>
    <xdr:to>
      <xdr:col>4</xdr:col>
      <xdr:colOff>200326</xdr:colOff>
      <xdr:row>228</xdr:row>
      <xdr:rowOff>71715</xdr:rowOff>
    </xdr:to>
    <xdr:pic>
      <xdr:nvPicPr>
        <xdr:cNvPr id="41" name="Image 40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28625" y="47101126"/>
          <a:ext cx="743251" cy="681314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15</xdr:col>
      <xdr:colOff>76200</xdr:colOff>
      <xdr:row>225</xdr:row>
      <xdr:rowOff>104775</xdr:rowOff>
    </xdr:from>
    <xdr:to>
      <xdr:col>17</xdr:col>
      <xdr:colOff>247951</xdr:colOff>
      <xdr:row>227</xdr:row>
      <xdr:rowOff>233607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4219575" y="47101125"/>
          <a:ext cx="743251" cy="605082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160</xdr:row>
      <xdr:rowOff>152400</xdr:rowOff>
    </xdr:from>
    <xdr:to>
      <xdr:col>9</xdr:col>
      <xdr:colOff>90396</xdr:colOff>
      <xdr:row>161</xdr:row>
      <xdr:rowOff>156288</xdr:rowOff>
    </xdr:to>
    <xdr:pic>
      <xdr:nvPicPr>
        <xdr:cNvPr id="43" name="Image 4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543051" y="33499425"/>
          <a:ext cx="947645" cy="194388"/>
        </a:xfrm>
        <a:prstGeom prst="rect">
          <a:avLst/>
        </a:prstGeom>
      </xdr:spPr>
    </xdr:pic>
    <xdr:clientData/>
  </xdr:twoCellAnchor>
  <xdr:twoCellAnchor editAs="oneCell">
    <xdr:from>
      <xdr:col>19</xdr:col>
      <xdr:colOff>1</xdr:colOff>
      <xdr:row>160</xdr:row>
      <xdr:rowOff>152401</xdr:rowOff>
    </xdr:from>
    <xdr:to>
      <xdr:col>24</xdr:col>
      <xdr:colOff>164475</xdr:colOff>
      <xdr:row>161</xdr:row>
      <xdr:rowOff>137232</xdr:rowOff>
    </xdr:to>
    <xdr:pic>
      <xdr:nvPicPr>
        <xdr:cNvPr id="44" name="Image 4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286376" y="33499426"/>
          <a:ext cx="1593224" cy="17533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173</xdr:row>
      <xdr:rowOff>161926</xdr:rowOff>
    </xdr:from>
    <xdr:to>
      <xdr:col>9</xdr:col>
      <xdr:colOff>66096</xdr:colOff>
      <xdr:row>174</xdr:row>
      <xdr:rowOff>93891</xdr:rowOff>
    </xdr:to>
    <xdr:pic>
      <xdr:nvPicPr>
        <xdr:cNvPr id="45" name="Image 4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43050" y="36137851"/>
          <a:ext cx="923346" cy="170090"/>
        </a:xfrm>
        <a:prstGeom prst="rect">
          <a:avLst/>
        </a:prstGeom>
      </xdr:spPr>
    </xdr:pic>
    <xdr:clientData/>
  </xdr:twoCellAnchor>
  <xdr:twoCellAnchor editAs="oneCell">
    <xdr:from>
      <xdr:col>18</xdr:col>
      <xdr:colOff>66676</xdr:colOff>
      <xdr:row>173</xdr:row>
      <xdr:rowOff>9527</xdr:rowOff>
    </xdr:from>
    <xdr:to>
      <xdr:col>25</xdr:col>
      <xdr:colOff>109412</xdr:colOff>
      <xdr:row>173</xdr:row>
      <xdr:rowOff>169612</xdr:rowOff>
    </xdr:to>
    <xdr:pic>
      <xdr:nvPicPr>
        <xdr:cNvPr id="47" name="Image 4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067301" y="35985452"/>
          <a:ext cx="2042986" cy="16008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186</xdr:row>
      <xdr:rowOff>152400</xdr:rowOff>
    </xdr:from>
    <xdr:to>
      <xdr:col>8</xdr:col>
      <xdr:colOff>45970</xdr:colOff>
      <xdr:row>187</xdr:row>
      <xdr:rowOff>160100</xdr:rowOff>
    </xdr:to>
    <xdr:pic>
      <xdr:nvPicPr>
        <xdr:cNvPr id="48" name="Image 4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543050" y="38871525"/>
          <a:ext cx="617470" cy="198200"/>
        </a:xfrm>
        <a:prstGeom prst="rect">
          <a:avLst/>
        </a:prstGeom>
      </xdr:spPr>
    </xdr:pic>
    <xdr:clientData/>
  </xdr:twoCellAnchor>
  <xdr:twoCellAnchor editAs="oneCell">
    <xdr:from>
      <xdr:col>19</xdr:col>
      <xdr:colOff>1</xdr:colOff>
      <xdr:row>186</xdr:row>
      <xdr:rowOff>152400</xdr:rowOff>
    </xdr:from>
    <xdr:to>
      <xdr:col>20</xdr:col>
      <xdr:colOff>270737</xdr:colOff>
      <xdr:row>187</xdr:row>
      <xdr:rowOff>160100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5286376" y="38871525"/>
          <a:ext cx="556486" cy="198200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199</xdr:row>
      <xdr:rowOff>165554</xdr:rowOff>
    </xdr:from>
    <xdr:ext cx="899523" cy="182954"/>
    <xdr:pic>
      <xdr:nvPicPr>
        <xdr:cNvPr id="104" name="Image 103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050" y="41656454"/>
          <a:ext cx="899523" cy="182954"/>
        </a:xfrm>
        <a:prstGeom prst="rect">
          <a:avLst/>
        </a:prstGeom>
      </xdr:spPr>
    </xdr:pic>
    <xdr:clientData/>
  </xdr:oneCellAnchor>
  <xdr:oneCellAnchor>
    <xdr:from>
      <xdr:col>19</xdr:col>
      <xdr:colOff>0</xdr:colOff>
      <xdr:row>199</xdr:row>
      <xdr:rowOff>161429</xdr:rowOff>
    </xdr:from>
    <xdr:ext cx="1054844" cy="145791"/>
    <xdr:pic>
      <xdr:nvPicPr>
        <xdr:cNvPr id="105" name="Image 104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6375" y="41652329"/>
          <a:ext cx="1054844" cy="145791"/>
        </a:xfrm>
        <a:prstGeom prst="rect">
          <a:avLst/>
        </a:prstGeom>
      </xdr:spPr>
    </xdr:pic>
    <xdr:clientData/>
  </xdr:oneCellAnchor>
  <xdr:oneCellAnchor>
    <xdr:from>
      <xdr:col>19</xdr:col>
      <xdr:colOff>1</xdr:colOff>
      <xdr:row>212</xdr:row>
      <xdr:rowOff>152401</xdr:rowOff>
    </xdr:from>
    <xdr:ext cx="1593224" cy="175331"/>
    <xdr:pic>
      <xdr:nvPicPr>
        <xdr:cNvPr id="106" name="Image 105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286376" y="44357926"/>
          <a:ext cx="1593224" cy="175331"/>
        </a:xfrm>
        <a:prstGeom prst="rect">
          <a:avLst/>
        </a:prstGeom>
      </xdr:spPr>
    </xdr:pic>
    <xdr:clientData/>
  </xdr:oneCellAnchor>
  <xdr:oneCellAnchor>
    <xdr:from>
      <xdr:col>6</xdr:col>
      <xdr:colOff>1</xdr:colOff>
      <xdr:row>212</xdr:row>
      <xdr:rowOff>152400</xdr:rowOff>
    </xdr:from>
    <xdr:ext cx="947645" cy="194388"/>
    <xdr:pic>
      <xdr:nvPicPr>
        <xdr:cNvPr id="107" name="Image 106">
          <a:extLst>
            <a:ext uri="{FF2B5EF4-FFF2-40B4-BE49-F238E27FC236}">
              <a16:creationId xmlns:a16="http://schemas.microsoft.com/office/drawing/2014/main" id="{00000000-0008-0000-07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543051" y="44357925"/>
          <a:ext cx="947645" cy="194388"/>
        </a:xfrm>
        <a:prstGeom prst="rect">
          <a:avLst/>
        </a:prstGeom>
      </xdr:spPr>
    </xdr:pic>
    <xdr:clientData/>
  </xdr:oneCellAnchor>
  <xdr:oneCellAnchor>
    <xdr:from>
      <xdr:col>18</xdr:col>
      <xdr:colOff>66676</xdr:colOff>
      <xdr:row>225</xdr:row>
      <xdr:rowOff>76202</xdr:rowOff>
    </xdr:from>
    <xdr:ext cx="2042986" cy="160085"/>
    <xdr:pic>
      <xdr:nvPicPr>
        <xdr:cNvPr id="108" name="Image 107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067301" y="47072552"/>
          <a:ext cx="2042986" cy="16008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225</xdr:row>
      <xdr:rowOff>161926</xdr:rowOff>
    </xdr:from>
    <xdr:ext cx="923346" cy="170090"/>
    <xdr:pic>
      <xdr:nvPicPr>
        <xdr:cNvPr id="109" name="Image 108">
          <a:extLst>
            <a:ext uri="{FF2B5EF4-FFF2-40B4-BE49-F238E27FC236}">
              <a16:creationId xmlns:a16="http://schemas.microsoft.com/office/drawing/2014/main" id="{00000000-0008-0000-07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543050" y="46996351"/>
          <a:ext cx="923346" cy="170090"/>
        </a:xfrm>
        <a:prstGeom prst="rect">
          <a:avLst/>
        </a:prstGeom>
      </xdr:spPr>
    </xdr:pic>
    <xdr:clientData/>
  </xdr:oneCellAnchor>
  <xdr:oneCellAnchor>
    <xdr:from>
      <xdr:col>22</xdr:col>
      <xdr:colOff>223219</xdr:colOff>
      <xdr:row>92</xdr:row>
      <xdr:rowOff>42385</xdr:rowOff>
    </xdr:from>
    <xdr:ext cx="1321652" cy="869031"/>
    <xdr:pic>
      <xdr:nvPicPr>
        <xdr:cNvPr id="90" name="Image 89">
          <a:extLst>
            <a:ext uri="{FF2B5EF4-FFF2-40B4-BE49-F238E27FC236}">
              <a16:creationId xmlns:a16="http://schemas.microsoft.com/office/drawing/2014/main" id="{00000000-0008-0000-07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66844" y="19359085"/>
          <a:ext cx="1321652" cy="869031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18</xdr:col>
      <xdr:colOff>228600</xdr:colOff>
      <xdr:row>109</xdr:row>
      <xdr:rowOff>161924</xdr:rowOff>
    </xdr:from>
    <xdr:to>
      <xdr:col>21</xdr:col>
      <xdr:colOff>89349</xdr:colOff>
      <xdr:row>110</xdr:row>
      <xdr:rowOff>128650</xdr:rowOff>
    </xdr:to>
    <xdr:pic>
      <xdr:nvPicPr>
        <xdr:cNvPr id="117" name="Image 116">
          <a:extLst>
            <a:ext uri="{FF2B5EF4-FFF2-40B4-BE49-F238E27FC236}">
              <a16:creationId xmlns:a16="http://schemas.microsoft.com/office/drawing/2014/main" id="{00000000-0008-0000-07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5229225" y="22907624"/>
          <a:ext cx="717999" cy="157226"/>
        </a:xfrm>
        <a:prstGeom prst="rect">
          <a:avLst/>
        </a:prstGeom>
      </xdr:spPr>
    </xdr:pic>
    <xdr:clientData/>
  </xdr:twoCellAnchor>
  <xdr:twoCellAnchor editAs="oneCell">
    <xdr:from>
      <xdr:col>18</xdr:col>
      <xdr:colOff>219075</xdr:colOff>
      <xdr:row>106</xdr:row>
      <xdr:rowOff>161925</xdr:rowOff>
    </xdr:from>
    <xdr:to>
      <xdr:col>24</xdr:col>
      <xdr:colOff>108281</xdr:colOff>
      <xdr:row>107</xdr:row>
      <xdr:rowOff>139133</xdr:rowOff>
    </xdr:to>
    <xdr:pic>
      <xdr:nvPicPr>
        <xdr:cNvPr id="56" name="Image 55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5219700" y="22336125"/>
          <a:ext cx="1603706" cy="167708"/>
        </a:xfrm>
        <a:prstGeom prst="rect">
          <a:avLst/>
        </a:prstGeom>
      </xdr:spPr>
    </xdr:pic>
    <xdr:clientData/>
  </xdr:twoCellAnchor>
  <xdr:twoCellAnchor editAs="oneCell">
    <xdr:from>
      <xdr:col>18</xdr:col>
      <xdr:colOff>190500</xdr:colOff>
      <xdr:row>100</xdr:row>
      <xdr:rowOff>161926</xdr:rowOff>
    </xdr:from>
    <xdr:to>
      <xdr:col>22</xdr:col>
      <xdr:colOff>132360</xdr:colOff>
      <xdr:row>101</xdr:row>
      <xdr:rowOff>133893</xdr:rowOff>
    </xdr:to>
    <xdr:pic>
      <xdr:nvPicPr>
        <xdr:cNvPr id="57" name="Image 56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5191125" y="21193126"/>
          <a:ext cx="1084860" cy="162467"/>
        </a:xfrm>
        <a:prstGeom prst="rect">
          <a:avLst/>
        </a:prstGeom>
      </xdr:spPr>
    </xdr:pic>
    <xdr:clientData/>
  </xdr:twoCellAnchor>
  <xdr:twoCellAnchor editAs="oneCell">
    <xdr:from>
      <xdr:col>18</xdr:col>
      <xdr:colOff>190500</xdr:colOff>
      <xdr:row>98</xdr:row>
      <xdr:rowOff>0</xdr:rowOff>
    </xdr:from>
    <xdr:to>
      <xdr:col>22</xdr:col>
      <xdr:colOff>121878</xdr:colOff>
      <xdr:row>98</xdr:row>
      <xdr:rowOff>151985</xdr:rowOff>
    </xdr:to>
    <xdr:pic>
      <xdr:nvPicPr>
        <xdr:cNvPr id="66" name="Image 65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5191125" y="20650200"/>
          <a:ext cx="1074378" cy="151985"/>
        </a:xfrm>
        <a:prstGeom prst="rect">
          <a:avLst/>
        </a:prstGeom>
      </xdr:spPr>
    </xdr:pic>
    <xdr:clientData/>
  </xdr:twoCellAnchor>
  <xdr:twoCellAnchor editAs="oneCell">
    <xdr:from>
      <xdr:col>18</xdr:col>
      <xdr:colOff>209550</xdr:colOff>
      <xdr:row>103</xdr:row>
      <xdr:rowOff>171450</xdr:rowOff>
    </xdr:from>
    <xdr:to>
      <xdr:col>23</xdr:col>
      <xdr:colOff>201075</xdr:colOff>
      <xdr:row>104</xdr:row>
      <xdr:rowOff>127694</xdr:rowOff>
    </xdr:to>
    <xdr:pic>
      <xdr:nvPicPr>
        <xdr:cNvPr id="67" name="Image 66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5210175" y="21774150"/>
          <a:ext cx="1420275" cy="146744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97</xdr:row>
      <xdr:rowOff>171450</xdr:rowOff>
    </xdr:from>
    <xdr:to>
      <xdr:col>7</xdr:col>
      <xdr:colOff>144002</xdr:colOff>
      <xdr:row>98</xdr:row>
      <xdr:rowOff>138176</xdr:rowOff>
    </xdr:to>
    <xdr:pic>
      <xdr:nvPicPr>
        <xdr:cNvPr id="68" name="Image 67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543051" y="20631150"/>
          <a:ext cx="429751" cy="157226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100</xdr:row>
      <xdr:rowOff>171450</xdr:rowOff>
    </xdr:from>
    <xdr:to>
      <xdr:col>8</xdr:col>
      <xdr:colOff>251318</xdr:colOff>
      <xdr:row>101</xdr:row>
      <xdr:rowOff>122453</xdr:rowOff>
    </xdr:to>
    <xdr:pic>
      <xdr:nvPicPr>
        <xdr:cNvPr id="69" name="Image 68">
          <a:extLst>
            <a:ext uri="{FF2B5EF4-FFF2-40B4-BE49-F238E27FC236}">
              <a16:creationId xmlns:a16="http://schemas.microsoft.com/office/drawing/2014/main" id="{00000000-0008-0000-07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543051" y="21202650"/>
          <a:ext cx="822817" cy="14150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103</xdr:row>
      <xdr:rowOff>152400</xdr:rowOff>
    </xdr:from>
    <xdr:to>
      <xdr:col>8</xdr:col>
      <xdr:colOff>83608</xdr:colOff>
      <xdr:row>104</xdr:row>
      <xdr:rowOff>113885</xdr:rowOff>
    </xdr:to>
    <xdr:pic>
      <xdr:nvPicPr>
        <xdr:cNvPr id="70" name="Image 69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543050" y="21755100"/>
          <a:ext cx="655108" cy="151985"/>
        </a:xfrm>
        <a:prstGeom prst="rect">
          <a:avLst/>
        </a:prstGeom>
      </xdr:spPr>
    </xdr:pic>
    <xdr:clientData/>
  </xdr:twoCellAnchor>
  <xdr:twoCellAnchor editAs="oneCell">
    <xdr:from>
      <xdr:col>6</xdr:col>
      <xdr:colOff>1</xdr:colOff>
      <xdr:row>106</xdr:row>
      <xdr:rowOff>171450</xdr:rowOff>
    </xdr:from>
    <xdr:to>
      <xdr:col>9</xdr:col>
      <xdr:colOff>54662</xdr:colOff>
      <xdr:row>107</xdr:row>
      <xdr:rowOff>122453</xdr:rowOff>
    </xdr:to>
    <xdr:pic>
      <xdr:nvPicPr>
        <xdr:cNvPr id="73" name="Image 72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543051" y="22345650"/>
          <a:ext cx="911911" cy="141503"/>
        </a:xfrm>
        <a:prstGeom prst="rect">
          <a:avLst/>
        </a:prstGeom>
      </xdr:spPr>
    </xdr:pic>
    <xdr:clientData/>
  </xdr:twoCellAnchor>
  <xdr:oneCellAnchor>
    <xdr:from>
      <xdr:col>22</xdr:col>
      <xdr:colOff>26509</xdr:colOff>
      <xdr:row>128</xdr:row>
      <xdr:rowOff>147751</xdr:rowOff>
    </xdr:from>
    <xdr:ext cx="1669455" cy="670808"/>
    <xdr:pic>
      <xdr:nvPicPr>
        <xdr:cNvPr id="112" name="Image 111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70134" y="26951101"/>
          <a:ext cx="1669455" cy="670808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18</xdr:col>
      <xdr:colOff>280016</xdr:colOff>
      <xdr:row>134</xdr:row>
      <xdr:rowOff>10886</xdr:rowOff>
    </xdr:from>
    <xdr:ext cx="911910" cy="151985"/>
    <xdr:pic>
      <xdr:nvPicPr>
        <xdr:cNvPr id="116" name="Image 115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80641" y="27823886"/>
          <a:ext cx="911910" cy="151985"/>
        </a:xfrm>
        <a:prstGeom prst="rect">
          <a:avLst/>
        </a:prstGeom>
      </xdr:spPr>
    </xdr:pic>
    <xdr:clientData/>
  </xdr:oneCellAnchor>
  <xdr:oneCellAnchor>
    <xdr:from>
      <xdr:col>6</xdr:col>
      <xdr:colOff>1</xdr:colOff>
      <xdr:row>133</xdr:row>
      <xdr:rowOff>220437</xdr:rowOff>
    </xdr:from>
    <xdr:ext cx="377189" cy="156210"/>
    <xdr:pic>
      <xdr:nvPicPr>
        <xdr:cNvPr id="119" name="Image 118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 r="13068" b="646"/>
        <a:stretch/>
      </xdr:blipFill>
      <xdr:spPr>
        <a:xfrm>
          <a:off x="1543051" y="27795312"/>
          <a:ext cx="377189" cy="156210"/>
        </a:xfrm>
        <a:prstGeom prst="rect">
          <a:avLst/>
        </a:prstGeom>
      </xdr:spPr>
    </xdr:pic>
    <xdr:clientData/>
  </xdr:oneCellAnchor>
  <xdr:oneCellAnchor>
    <xdr:from>
      <xdr:col>22</xdr:col>
      <xdr:colOff>26509</xdr:colOff>
      <xdr:row>116</xdr:row>
      <xdr:rowOff>115979</xdr:rowOff>
    </xdr:from>
    <xdr:ext cx="1669455" cy="779079"/>
    <xdr:pic>
      <xdr:nvPicPr>
        <xdr:cNvPr id="123" name="Image 122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70134" y="24233279"/>
          <a:ext cx="1669455" cy="779079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6</xdr:col>
      <xdr:colOff>1</xdr:colOff>
      <xdr:row>122</xdr:row>
      <xdr:rowOff>1362</xdr:rowOff>
    </xdr:from>
    <xdr:ext cx="377189" cy="156210"/>
    <xdr:pic>
      <xdr:nvPicPr>
        <xdr:cNvPr id="125" name="Image 124">
          <a:extLst>
            <a:ext uri="{FF2B5EF4-FFF2-40B4-BE49-F238E27FC236}">
              <a16:creationId xmlns:a16="http://schemas.microsoft.com/office/drawing/2014/main" id="{00000000-0008-0000-07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 r="13068" b="646"/>
        <a:stretch/>
      </xdr:blipFill>
      <xdr:spPr>
        <a:xfrm>
          <a:off x="1543051" y="25223562"/>
          <a:ext cx="377189" cy="156210"/>
        </a:xfrm>
        <a:prstGeom prst="rect">
          <a:avLst/>
        </a:prstGeom>
      </xdr:spPr>
    </xdr:pic>
    <xdr:clientData/>
  </xdr:oneCellAnchor>
  <xdr:twoCellAnchor editAs="oneCell">
    <xdr:from>
      <xdr:col>23</xdr:col>
      <xdr:colOff>180975</xdr:colOff>
      <xdr:row>122</xdr:row>
      <xdr:rowOff>66675</xdr:rowOff>
    </xdr:from>
    <xdr:to>
      <xdr:col>24</xdr:col>
      <xdr:colOff>198242</xdr:colOff>
      <xdr:row>122</xdr:row>
      <xdr:rowOff>192456</xdr:rowOff>
    </xdr:to>
    <xdr:pic>
      <xdr:nvPicPr>
        <xdr:cNvPr id="71" name="Image 70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6610350" y="25288875"/>
          <a:ext cx="303017" cy="125781"/>
        </a:xfrm>
        <a:prstGeom prst="rect">
          <a:avLst/>
        </a:prstGeom>
      </xdr:spPr>
    </xdr:pic>
    <xdr:clientData/>
  </xdr:twoCellAnchor>
  <xdr:oneCellAnchor>
    <xdr:from>
      <xdr:col>22</xdr:col>
      <xdr:colOff>240963</xdr:colOff>
      <xdr:row>231</xdr:row>
      <xdr:rowOff>192178</xdr:rowOff>
    </xdr:from>
    <xdr:ext cx="1233986" cy="987189"/>
    <xdr:pic>
      <xdr:nvPicPr>
        <xdr:cNvPr id="94" name="Image 93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84588" y="48512503"/>
          <a:ext cx="1233986" cy="987189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22</xdr:col>
      <xdr:colOff>268723</xdr:colOff>
      <xdr:row>246</xdr:row>
      <xdr:rowOff>214427</xdr:rowOff>
    </xdr:from>
    <xdr:ext cx="1252091" cy="878179"/>
    <xdr:pic>
      <xdr:nvPicPr>
        <xdr:cNvPr id="101" name="Image 100">
          <a:extLst>
            <a:ext uri="{FF2B5EF4-FFF2-40B4-BE49-F238E27FC236}">
              <a16:creationId xmlns:a16="http://schemas.microsoft.com/office/drawing/2014/main" id="{00000000-0008-0000-07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12348" y="51792302"/>
          <a:ext cx="1252091" cy="878179"/>
        </a:xfrm>
        <a:prstGeom prst="rect">
          <a:avLst/>
        </a:prstGeom>
        <a:ln>
          <a:noFill/>
        </a:ln>
      </xdr:spPr>
    </xdr:pic>
    <xdr:clientData/>
  </xdr:oneCellAnchor>
  <xdr:twoCellAnchor editAs="oneCell">
    <xdr:from>
      <xdr:col>22</xdr:col>
      <xdr:colOff>142875</xdr:colOff>
      <xdr:row>238</xdr:row>
      <xdr:rowOff>9525</xdr:rowOff>
    </xdr:from>
    <xdr:to>
      <xdr:col>24</xdr:col>
      <xdr:colOff>158352</xdr:colOff>
      <xdr:row>238</xdr:row>
      <xdr:rowOff>209631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6286500" y="49987200"/>
          <a:ext cx="586977" cy="200106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219076</xdr:colOff>
      <xdr:row>238</xdr:row>
      <xdr:rowOff>38100</xdr:rowOff>
    </xdr:from>
    <xdr:to>
      <xdr:col>9</xdr:col>
      <xdr:colOff>162249</xdr:colOff>
      <xdr:row>238</xdr:row>
      <xdr:rowOff>218195</xdr:rowOff>
    </xdr:to>
    <xdr:pic>
      <xdr:nvPicPr>
        <xdr:cNvPr id="74" name="Image 73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62126" y="50015775"/>
          <a:ext cx="800423" cy="180095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190501</xdr:colOff>
      <xdr:row>241</xdr:row>
      <xdr:rowOff>9525</xdr:rowOff>
    </xdr:from>
    <xdr:to>
      <xdr:col>10</xdr:col>
      <xdr:colOff>174764</xdr:colOff>
      <xdr:row>241</xdr:row>
      <xdr:rowOff>189620</xdr:rowOff>
    </xdr:to>
    <xdr:pic>
      <xdr:nvPicPr>
        <xdr:cNvPr id="75" name="Image 74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33551" y="50653950"/>
          <a:ext cx="1127263" cy="180095"/>
        </a:xfrm>
        <a:prstGeom prst="rect">
          <a:avLst/>
        </a:prstGeom>
      </xdr:spPr>
    </xdr:pic>
    <xdr:clientData/>
  </xdr:twoCellAnchor>
  <xdr:oneCellAnchor>
    <xdr:from>
      <xdr:col>6</xdr:col>
      <xdr:colOff>219076</xdr:colOff>
      <xdr:row>253</xdr:row>
      <xdr:rowOff>38100</xdr:rowOff>
    </xdr:from>
    <xdr:ext cx="800423" cy="180095"/>
    <xdr:pic>
      <xdr:nvPicPr>
        <xdr:cNvPr id="120" name="Image 119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62126" y="50015775"/>
          <a:ext cx="800423" cy="180095"/>
        </a:xfrm>
        <a:prstGeom prst="rect">
          <a:avLst/>
        </a:prstGeom>
      </xdr:spPr>
    </xdr:pic>
    <xdr:clientData/>
  </xdr:oneCellAnchor>
  <xdr:oneCellAnchor>
    <xdr:from>
      <xdr:col>6</xdr:col>
      <xdr:colOff>190501</xdr:colOff>
      <xdr:row>256</xdr:row>
      <xdr:rowOff>9525</xdr:rowOff>
    </xdr:from>
    <xdr:ext cx="1127263" cy="180095"/>
    <xdr:pic>
      <xdr:nvPicPr>
        <xdr:cNvPr id="121" name="Image 120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33551" y="50653950"/>
          <a:ext cx="1127263" cy="180095"/>
        </a:xfrm>
        <a:prstGeom prst="rect">
          <a:avLst/>
        </a:prstGeom>
      </xdr:spPr>
    </xdr:pic>
    <xdr:clientData/>
  </xdr:oneCellAnchor>
  <xdr:twoCellAnchor editAs="oneCell">
    <xdr:from>
      <xdr:col>19</xdr:col>
      <xdr:colOff>0</xdr:colOff>
      <xdr:row>253</xdr:row>
      <xdr:rowOff>9525</xdr:rowOff>
    </xdr:from>
    <xdr:to>
      <xdr:col>23</xdr:col>
      <xdr:colOff>264412</xdr:colOff>
      <xdr:row>254</xdr:row>
      <xdr:rowOff>5791</xdr:rowOff>
    </xdr:to>
    <xdr:pic>
      <xdr:nvPicPr>
        <xdr:cNvPr id="76" name="Image 75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5286375" y="53168550"/>
          <a:ext cx="1407412" cy="18676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</xdr:row>
      <xdr:rowOff>0</xdr:rowOff>
    </xdr:from>
    <xdr:to>
      <xdr:col>18</xdr:col>
      <xdr:colOff>619203</xdr:colOff>
      <xdr:row>7</xdr:row>
      <xdr:rowOff>114797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9500" y="381000"/>
          <a:ext cx="4905453" cy="1229222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18</xdr:col>
      <xdr:colOff>630637</xdr:colOff>
      <xdr:row>18</xdr:row>
      <xdr:rowOff>66674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26784"/>
        <a:stretch/>
      </xdr:blipFill>
      <xdr:spPr>
        <a:xfrm>
          <a:off x="7429500" y="2343150"/>
          <a:ext cx="4916887" cy="1590674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18</xdr:col>
      <xdr:colOff>624920</xdr:colOff>
      <xdr:row>28</xdr:row>
      <xdr:rowOff>73132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429500" y="4286250"/>
          <a:ext cx="4911170" cy="1835257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43</xdr:row>
      <xdr:rowOff>123825</xdr:rowOff>
    </xdr:from>
    <xdr:to>
      <xdr:col>7</xdr:col>
      <xdr:colOff>666750</xdr:colOff>
      <xdr:row>45</xdr:row>
      <xdr:rowOff>66675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8924925"/>
          <a:ext cx="3467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57150</xdr:colOff>
      <xdr:row>58</xdr:row>
      <xdr:rowOff>123825</xdr:rowOff>
    </xdr:from>
    <xdr:ext cx="3467100" cy="323850"/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9039225"/>
          <a:ext cx="3467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31</xdr:row>
      <xdr:rowOff>0</xdr:rowOff>
    </xdr:from>
    <xdr:to>
      <xdr:col>20</xdr:col>
      <xdr:colOff>253873</xdr:colOff>
      <xdr:row>52</xdr:row>
      <xdr:rowOff>219052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429500" y="6696075"/>
          <a:ext cx="5968873" cy="4657702"/>
        </a:xfrm>
        <a:prstGeom prst="rect">
          <a:avLst/>
        </a:prstGeom>
      </xdr:spPr>
    </xdr:pic>
    <xdr:clientData/>
  </xdr:twoCellAnchor>
  <xdr:twoCellAnchor editAs="oneCell">
    <xdr:from>
      <xdr:col>5</xdr:col>
      <xdr:colOff>457200</xdr:colOff>
      <xdr:row>83</xdr:row>
      <xdr:rowOff>114300</xdr:rowOff>
    </xdr:from>
    <xdr:to>
      <xdr:col>7</xdr:col>
      <xdr:colOff>647700</xdr:colOff>
      <xdr:row>85</xdr:row>
      <xdr:rowOff>57150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7745075"/>
          <a:ext cx="1619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466725</xdr:colOff>
      <xdr:row>72</xdr:row>
      <xdr:rowOff>123825</xdr:rowOff>
    </xdr:from>
    <xdr:to>
      <xdr:col>7</xdr:col>
      <xdr:colOff>657225</xdr:colOff>
      <xdr:row>74</xdr:row>
      <xdr:rowOff>66675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5573375"/>
          <a:ext cx="161925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533400</xdr:colOff>
      <xdr:row>105</xdr:row>
      <xdr:rowOff>123825</xdr:rowOff>
    </xdr:from>
    <xdr:to>
      <xdr:col>5</xdr:col>
      <xdr:colOff>666750</xdr:colOff>
      <xdr:row>107</xdr:row>
      <xdr:rowOff>66675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21488400"/>
          <a:ext cx="1562100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552450</xdr:colOff>
      <xdr:row>98</xdr:row>
      <xdr:rowOff>9525</xdr:rowOff>
    </xdr:from>
    <xdr:to>
      <xdr:col>5</xdr:col>
      <xdr:colOff>657225</xdr:colOff>
      <xdr:row>98</xdr:row>
      <xdr:rowOff>180975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602575"/>
          <a:ext cx="1533525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106735</xdr:colOff>
      <xdr:row>37</xdr:row>
      <xdr:rowOff>19050</xdr:rowOff>
    </xdr:from>
    <xdr:to>
      <xdr:col>11</xdr:col>
      <xdr:colOff>515472</xdr:colOff>
      <xdr:row>53</xdr:row>
      <xdr:rowOff>152400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1</xdr:colOff>
      <xdr:row>56</xdr:row>
      <xdr:rowOff>0</xdr:rowOff>
    </xdr:from>
    <xdr:to>
      <xdr:col>20</xdr:col>
      <xdr:colOff>625110</xdr:colOff>
      <xdr:row>92</xdr:row>
      <xdr:rowOff>16484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82001" y="11220450"/>
          <a:ext cx="6100079" cy="7556474"/>
        </a:xfrm>
        <a:prstGeom prst="rect">
          <a:avLst/>
        </a:prstGeom>
      </xdr:spPr>
    </xdr:pic>
    <xdr:clientData/>
  </xdr:twoCellAnchor>
  <xdr:twoCellAnchor editAs="oneCell">
    <xdr:from>
      <xdr:col>14</xdr:col>
      <xdr:colOff>19050</xdr:colOff>
      <xdr:row>94</xdr:row>
      <xdr:rowOff>0</xdr:rowOff>
    </xdr:from>
    <xdr:to>
      <xdr:col>20</xdr:col>
      <xdr:colOff>587745</xdr:colOff>
      <xdr:row>136</xdr:row>
      <xdr:rowOff>95892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01050" y="19183350"/>
          <a:ext cx="6060810" cy="89350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19</xdr:col>
      <xdr:colOff>646940</xdr:colOff>
      <xdr:row>37</xdr:row>
      <xdr:rowOff>165153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2" t="653" r="3104" b="448"/>
        <a:stretch/>
      </xdr:blipFill>
      <xdr:spPr bwMode="auto">
        <a:xfrm>
          <a:off x="7429500" y="190500"/>
          <a:ext cx="5647565" cy="7708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342900</xdr:colOff>
      <xdr:row>40</xdr:row>
      <xdr:rowOff>142875</xdr:rowOff>
    </xdr:from>
    <xdr:to>
      <xdr:col>5</xdr:col>
      <xdr:colOff>304800</xdr:colOff>
      <xdr:row>43</xdr:row>
      <xdr:rowOff>47625</xdr:rowOff>
    </xdr:to>
    <xdr:grpSp>
      <xdr:nvGrpSpPr>
        <xdr:cNvPr id="12" name="Groupe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GrpSpPr/>
      </xdr:nvGrpSpPr>
      <xdr:grpSpPr>
        <a:xfrm>
          <a:off x="2676525" y="8448675"/>
          <a:ext cx="676275" cy="590550"/>
          <a:chOff x="3200400" y="10429875"/>
          <a:chExt cx="676275" cy="552450"/>
        </a:xfrm>
      </xdr:grpSpPr>
      <xdr:grpSp>
        <xdr:nvGrpSpPr>
          <xdr:cNvPr id="7" name="Groupe 6">
            <a:extLst>
              <a:ext uri="{FF2B5EF4-FFF2-40B4-BE49-F238E27FC236}">
                <a16:creationId xmlns:a16="http://schemas.microsoft.com/office/drawing/2014/main" id="{00000000-0008-0000-0A00-000007000000}"/>
              </a:ext>
            </a:extLst>
          </xdr:cNvPr>
          <xdr:cNvGrpSpPr>
            <a:grpSpLocks noChangeAspect="1"/>
          </xdr:cNvGrpSpPr>
        </xdr:nvGrpSpPr>
        <xdr:grpSpPr>
          <a:xfrm>
            <a:off x="3390900" y="10458450"/>
            <a:ext cx="403200" cy="403200"/>
            <a:chOff x="1866900" y="9515475"/>
            <a:chExt cx="504000" cy="504000"/>
          </a:xfrm>
        </xdr:grpSpPr>
        <xdr:cxnSp macro="">
          <xdr:nvCxnSpPr>
            <xdr:cNvPr id="4" name="Connecteur droit avec flèche 3">
              <a:extLst>
                <a:ext uri="{FF2B5EF4-FFF2-40B4-BE49-F238E27FC236}">
                  <a16:creationId xmlns:a16="http://schemas.microsoft.com/office/drawing/2014/main" id="{00000000-0008-0000-0A00-000004000000}"/>
                </a:ext>
              </a:extLst>
            </xdr:cNvPr>
            <xdr:cNvCxnSpPr/>
          </xdr:nvCxnSpPr>
          <xdr:spPr>
            <a:xfrm>
              <a:off x="1866900" y="10019475"/>
              <a:ext cx="504000" cy="0"/>
            </a:xfrm>
            <a:prstGeom prst="straightConnector1">
              <a:avLst/>
            </a:prstGeom>
            <a:ln w="19050">
              <a:solidFill>
                <a:srgbClr val="FF0000"/>
              </a:solidFill>
              <a:tail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5" name="Connecteur droit avec flèche 4">
              <a:extLst>
                <a:ext uri="{FF2B5EF4-FFF2-40B4-BE49-F238E27FC236}">
                  <a16:creationId xmlns:a16="http://schemas.microsoft.com/office/drawing/2014/main" id="{00000000-0008-0000-0A00-000005000000}"/>
                </a:ext>
              </a:extLst>
            </xdr:cNvPr>
            <xdr:cNvCxnSpPr/>
          </xdr:nvCxnSpPr>
          <xdr:spPr>
            <a:xfrm>
              <a:off x="1866900" y="9515475"/>
              <a:ext cx="0" cy="504000"/>
            </a:xfrm>
            <a:prstGeom prst="straightConnector1">
              <a:avLst/>
            </a:prstGeom>
            <a:ln w="19050">
              <a:solidFill>
                <a:srgbClr val="00B050"/>
              </a:solidFill>
              <a:headEnd type="triangle" w="med" len="lg"/>
              <a:tailEnd type="non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6" name="Arc 5">
              <a:extLst>
                <a:ext uri="{FF2B5EF4-FFF2-40B4-BE49-F238E27FC236}">
                  <a16:creationId xmlns:a16="http://schemas.microsoft.com/office/drawing/2014/main" id="{00000000-0008-0000-0A00-000006000000}"/>
                </a:ext>
              </a:extLst>
            </xdr:cNvPr>
            <xdr:cNvSpPr/>
          </xdr:nvSpPr>
          <xdr:spPr>
            <a:xfrm>
              <a:off x="1866900" y="9515475"/>
              <a:ext cx="504000" cy="504000"/>
            </a:xfrm>
            <a:prstGeom prst="arc">
              <a:avLst>
                <a:gd name="adj1" fmla="val 15113197"/>
                <a:gd name="adj2" fmla="val 979201"/>
              </a:avLst>
            </a:prstGeom>
            <a:ln w="19050">
              <a:solidFill>
                <a:srgbClr val="0070C0"/>
              </a:solidFill>
              <a:headEnd type="triangle" w="med" len="lg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fr-FR" sz="1100"/>
            </a:p>
          </xdr:txBody>
        </xdr:sp>
      </xdr:grpSp>
      <xdr:grpSp>
        <xdr:nvGrpSpPr>
          <xdr:cNvPr id="11" name="Groupe 10">
            <a:extLst>
              <a:ext uri="{FF2B5EF4-FFF2-40B4-BE49-F238E27FC236}">
                <a16:creationId xmlns:a16="http://schemas.microsoft.com/office/drawing/2014/main" id="{00000000-0008-0000-0A00-00000B000000}"/>
              </a:ext>
            </a:extLst>
          </xdr:cNvPr>
          <xdr:cNvGrpSpPr/>
        </xdr:nvGrpSpPr>
        <xdr:grpSpPr>
          <a:xfrm>
            <a:off x="3200400" y="10429875"/>
            <a:ext cx="676275" cy="552450"/>
            <a:chOff x="3200400" y="10429875"/>
            <a:chExt cx="676275" cy="552450"/>
          </a:xfrm>
        </xdr:grpSpPr>
        <xdr:sp macro="" textlink="">
          <xdr:nvSpPr>
            <xdr:cNvPr id="8" name="ZoneTexte 7">
              <a:extLst>
                <a:ext uri="{FF2B5EF4-FFF2-40B4-BE49-F238E27FC236}">
                  <a16:creationId xmlns:a16="http://schemas.microsoft.com/office/drawing/2014/main" id="{00000000-0008-0000-0A00-000008000000}"/>
                </a:ext>
              </a:extLst>
            </xdr:cNvPr>
            <xdr:cNvSpPr txBox="1"/>
          </xdr:nvSpPr>
          <xdr:spPr>
            <a:xfrm>
              <a:off x="3619500" y="10648950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FF0000"/>
                  </a:solidFill>
                </a:rPr>
                <a:t>x</a:t>
              </a:r>
            </a:p>
          </xdr:txBody>
        </xdr:sp>
        <xdr:sp macro="" textlink="">
          <xdr:nvSpPr>
            <xdr:cNvPr id="9" name="ZoneTexte 8">
              <a:extLst>
                <a:ext uri="{FF2B5EF4-FFF2-40B4-BE49-F238E27FC236}">
                  <a16:creationId xmlns:a16="http://schemas.microsoft.com/office/drawing/2014/main" id="{00000000-0008-0000-0A00-000009000000}"/>
                </a:ext>
              </a:extLst>
            </xdr:cNvPr>
            <xdr:cNvSpPr txBox="1"/>
          </xdr:nvSpPr>
          <xdr:spPr>
            <a:xfrm>
              <a:off x="3343275" y="10429875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00B050"/>
                  </a:solidFill>
                </a:rPr>
                <a:t>y</a:t>
              </a:r>
            </a:p>
          </xdr:txBody>
        </xdr:sp>
        <xdr:sp macro="" textlink="">
          <xdr:nvSpPr>
            <xdr:cNvPr id="10" name="ZoneTexte 9">
              <a:extLst>
                <a:ext uri="{FF2B5EF4-FFF2-40B4-BE49-F238E27FC236}">
                  <a16:creationId xmlns:a16="http://schemas.microsoft.com/office/drawing/2014/main" id="{00000000-0008-0000-0A00-00000A000000}"/>
                </a:ext>
              </a:extLst>
            </xdr:cNvPr>
            <xdr:cNvSpPr txBox="1"/>
          </xdr:nvSpPr>
          <xdr:spPr>
            <a:xfrm>
              <a:off x="3200400" y="10734675"/>
              <a:ext cx="257175" cy="2476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fr-FR" sz="1050" b="1">
                  <a:solidFill>
                    <a:srgbClr val="0070C0"/>
                  </a:solidFill>
                </a:rPr>
                <a:t>z</a:t>
              </a: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119193</xdr:colOff>
      <xdr:row>4</xdr:row>
      <xdr:rowOff>176082</xdr:rowOff>
    </xdr:from>
    <xdr:to>
      <xdr:col>10</xdr:col>
      <xdr:colOff>5773</xdr:colOff>
      <xdr:row>12</xdr:row>
      <xdr:rowOff>81973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6200000">
          <a:off x="4772025" y="1181100"/>
          <a:ext cx="1706116" cy="131533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32009</xdr:colOff>
      <xdr:row>9</xdr:row>
      <xdr:rowOff>57149</xdr:rowOff>
    </xdr:from>
    <xdr:to>
      <xdr:col>5</xdr:col>
      <xdr:colOff>0</xdr:colOff>
      <xdr:row>21</xdr:row>
      <xdr:rowOff>182801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51284" y="229552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12959</xdr:colOff>
      <xdr:row>34</xdr:row>
      <xdr:rowOff>76199</xdr:rowOff>
    </xdr:from>
    <xdr:ext cx="1806316" cy="3126027"/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8553449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12959</xdr:colOff>
      <xdr:row>57</xdr:row>
      <xdr:rowOff>76199</xdr:rowOff>
    </xdr:from>
    <xdr:ext cx="1806316" cy="3126027"/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666"/>
        <a:stretch/>
      </xdr:blipFill>
      <xdr:spPr bwMode="auto">
        <a:xfrm>
          <a:off x="1832234" y="14316074"/>
          <a:ext cx="1806316" cy="3126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258536</xdr:colOff>
      <xdr:row>26</xdr:row>
      <xdr:rowOff>40822</xdr:rowOff>
    </xdr:from>
    <xdr:to>
      <xdr:col>13</xdr:col>
      <xdr:colOff>390943</xdr:colOff>
      <xdr:row>30</xdr:row>
      <xdr:rowOff>67540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pSpPr/>
      </xdr:nvGrpSpPr>
      <xdr:grpSpPr>
        <a:xfrm>
          <a:off x="12015107" y="5170715"/>
          <a:ext cx="1112122" cy="802325"/>
          <a:chOff x="7162800" y="12696248"/>
          <a:chExt cx="1118526" cy="802325"/>
        </a:xfrm>
      </xdr:grpSpPr>
      <xdr:cxnSp macro="">
        <xdr:nvCxnSpPr>
          <xdr:cNvPr id="3" name="Connecteur droit 2">
            <a:extLst>
              <a:ext uri="{FF2B5EF4-FFF2-40B4-BE49-F238E27FC236}">
                <a16:creationId xmlns:a16="http://schemas.microsoft.com/office/drawing/2014/main" id="{00000000-0008-0000-0D00-000003000000}"/>
              </a:ext>
            </a:extLst>
          </xdr:cNvPr>
          <xdr:cNvCxnSpPr/>
        </xdr:nvCxnSpPr>
        <xdr:spPr>
          <a:xfrm>
            <a:off x="7629524" y="12792068"/>
            <a:ext cx="0" cy="561405"/>
          </a:xfrm>
          <a:prstGeom prst="line">
            <a:avLst/>
          </a:prstGeom>
          <a:ln w="28575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" name="Connecteur droit 3">
            <a:extLst>
              <a:ext uri="{FF2B5EF4-FFF2-40B4-BE49-F238E27FC236}">
                <a16:creationId xmlns:a16="http://schemas.microsoft.com/office/drawing/2014/main" id="{00000000-0008-0000-0D00-000004000000}"/>
              </a:ext>
            </a:extLst>
          </xdr:cNvPr>
          <xdr:cNvCxnSpPr/>
        </xdr:nvCxnSpPr>
        <xdr:spPr>
          <a:xfrm>
            <a:off x="7162800" y="12948954"/>
            <a:ext cx="575999" cy="0"/>
          </a:xfrm>
          <a:prstGeom prst="line">
            <a:avLst/>
          </a:prstGeom>
          <a:ln w="381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Connecteur droit avec flèche 4">
            <a:extLst>
              <a:ext uri="{FF2B5EF4-FFF2-40B4-BE49-F238E27FC236}">
                <a16:creationId xmlns:a16="http://schemas.microsoft.com/office/drawing/2014/main" id="{00000000-0008-0000-0D00-000005000000}"/>
              </a:ext>
            </a:extLst>
          </xdr:cNvPr>
          <xdr:cNvCxnSpPr/>
        </xdr:nvCxnSpPr>
        <xdr:spPr>
          <a:xfrm>
            <a:off x="7810492" y="12948954"/>
            <a:ext cx="401924" cy="0"/>
          </a:xfrm>
          <a:prstGeom prst="straightConnector1">
            <a:avLst/>
          </a:prstGeom>
          <a:ln w="38100">
            <a:solidFill>
              <a:srgbClr val="7030A0"/>
            </a:solidFill>
            <a:headEnd w="med" len="lg"/>
            <a:tailEnd type="triangle" w="med" len="lg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Forme libre : forme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SpPr/>
        </xdr:nvSpPr>
        <xdr:spPr>
          <a:xfrm>
            <a:off x="7675479" y="13044515"/>
            <a:ext cx="53009" cy="454058"/>
          </a:xfrm>
          <a:custGeom>
            <a:avLst/>
            <a:gdLst>
              <a:gd name="connsiteX0" fmla="*/ 0 w 66261"/>
              <a:gd name="connsiteY0" fmla="*/ 0 h 579782"/>
              <a:gd name="connsiteX1" fmla="*/ 0 w 66261"/>
              <a:gd name="connsiteY1" fmla="*/ 579782 h 579782"/>
              <a:gd name="connsiteX2" fmla="*/ 66261 w 66261"/>
              <a:gd name="connsiteY2" fmla="*/ 331304 h 579782"/>
              <a:gd name="connsiteX3" fmla="*/ 0 w 66261"/>
              <a:gd name="connsiteY3" fmla="*/ 339587 h 579782"/>
              <a:gd name="connsiteX4" fmla="*/ 0 w 66261"/>
              <a:gd name="connsiteY4" fmla="*/ 339587 h 57978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6261" h="579782">
                <a:moveTo>
                  <a:pt x="0" y="0"/>
                </a:moveTo>
                <a:lnTo>
                  <a:pt x="0" y="579782"/>
                </a:lnTo>
                <a:lnTo>
                  <a:pt x="66261" y="331304"/>
                </a:lnTo>
                <a:lnTo>
                  <a:pt x="0" y="339587"/>
                </a:lnTo>
                <a:lnTo>
                  <a:pt x="0" y="339587"/>
                </a:lnTo>
              </a:path>
            </a:pathLst>
          </a:custGeom>
          <a:solidFill>
            <a:srgbClr val="7030A0"/>
          </a:solidFill>
          <a:ln w="38100">
            <a:solidFill>
              <a:srgbClr val="7030A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  <xdr:cxnSp macro="">
        <xdr:nvCxnSpPr>
          <xdr:cNvPr id="7" name="Connecteur droit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CxnSpPr/>
        </xdr:nvCxnSpPr>
        <xdr:spPr>
          <a:xfrm>
            <a:off x="7235478" y="12825972"/>
            <a:ext cx="0" cy="246694"/>
          </a:xfrm>
          <a:prstGeom prst="line">
            <a:avLst/>
          </a:prstGeom>
          <a:ln w="381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" name="ZoneTexte 7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 txBox="1"/>
        </xdr:nvSpPr>
        <xdr:spPr>
          <a:xfrm>
            <a:off x="8024652" y="12696248"/>
            <a:ext cx="256674" cy="1780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N</a:t>
            </a:r>
            <a:r>
              <a:rPr lang="fr-FR" sz="1100" b="1" baseline="-25000"/>
              <a:t>t,Ed</a:t>
            </a:r>
          </a:p>
        </xdr:txBody>
      </xdr:sp>
      <xdr:sp macro="" textlink="">
        <xdr:nvSpPr>
          <xdr:cNvPr id="9" name="ZoneTexte 8">
            <a:extLst>
              <a:ext uri="{FF2B5EF4-FFF2-40B4-BE49-F238E27FC236}">
                <a16:creationId xmlns:a16="http://schemas.microsoft.com/office/drawing/2014/main" id="{00000000-0008-0000-0D00-000009000000}"/>
              </a:ext>
            </a:extLst>
          </xdr:cNvPr>
          <xdr:cNvSpPr txBox="1"/>
        </xdr:nvSpPr>
        <xdr:spPr>
          <a:xfrm>
            <a:off x="7648761" y="13091180"/>
            <a:ext cx="256673" cy="1783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overflow" horzOverflow="overflow" wrap="none" rtlCol="0" anchor="t"/>
          <a:lstStyle/>
          <a:p>
            <a:pPr algn="l"/>
            <a:r>
              <a:rPr lang="fr-FR" sz="1100" b="1"/>
              <a:t>V</a:t>
            </a:r>
            <a:r>
              <a:rPr lang="fr-FR" sz="1100" b="1" baseline="-25000"/>
              <a:t>Ed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6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5A950E6-E8AB-42AA-8838-49C90F167C70}">
  <we:reference id="WA200009404" version="1.0.0.8" store="Omex" storeType="OMEX"/>
  <we:alternateReferences>
    <we:reference id="WA200009404" version="1.0.0.8" store="WA200009404" storeType="OMEX"/>
  </we:alternateReferences>
  <we:properties>
    <we:property name="claude.fileId" value="&quot;ac2c7b26-b4f6-4508-8090-7111e15f716b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nc-sa/4.0/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coursconstructionacier.fr/" TargetMode="External"/><Relationship Id="rId1" Type="http://schemas.openxmlformats.org/officeDocument/2006/relationships/hyperlink" Target="mailto:cours.constructionacier@gmail.com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6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7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5EDC-4A4D-4F46-9543-4289B50E7FA9}">
  <sheetPr codeName="Feuil1">
    <tabColor rgb="FFFFC000"/>
  </sheetPr>
  <dimension ref="C3:AB34"/>
  <sheetViews>
    <sheetView view="pageBreakPreview" topLeftCell="A7" zoomScale="85" zoomScaleNormal="100" zoomScaleSheetLayoutView="85" workbookViewId="0">
      <selection activeCell="C5" sqref="C5:AB26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3:28" x14ac:dyDescent="0.25">
      <c r="C3" s="286" t="s">
        <v>610</v>
      </c>
      <c r="I3" s="287" t="s">
        <v>485</v>
      </c>
      <c r="K3" s="1003"/>
      <c r="L3" s="1004"/>
      <c r="M3" s="1004"/>
      <c r="N3" s="1004"/>
      <c r="O3" s="1004"/>
      <c r="P3" s="1004"/>
      <c r="Q3" s="1004"/>
      <c r="R3" s="1004"/>
      <c r="S3" s="1004"/>
      <c r="T3" s="1004"/>
      <c r="U3" s="1004"/>
      <c r="V3" s="1004"/>
      <c r="W3" s="1004"/>
      <c r="X3" s="1004"/>
      <c r="Y3" s="1004"/>
      <c r="Z3" s="1004"/>
      <c r="AA3" s="1004"/>
      <c r="AB3" s="1005"/>
    </row>
    <row r="5" spans="3:28" x14ac:dyDescent="0.25">
      <c r="C5" s="286" t="s">
        <v>611</v>
      </c>
      <c r="AA5" s="288" t="s">
        <v>612</v>
      </c>
    </row>
    <row r="6" spans="3:28" x14ac:dyDescent="0.25">
      <c r="C6" s="1006"/>
      <c r="D6" s="1007"/>
      <c r="E6" s="1007"/>
      <c r="F6" s="1007"/>
      <c r="G6" s="1007"/>
      <c r="H6" s="1007"/>
      <c r="I6" s="1007"/>
      <c r="J6" s="1007"/>
      <c r="K6" s="1007"/>
      <c r="L6" s="1007"/>
      <c r="M6" s="1007"/>
      <c r="N6" s="1007"/>
      <c r="O6" s="1007"/>
      <c r="P6" s="1007"/>
      <c r="Q6" s="1007"/>
      <c r="R6" s="1007"/>
      <c r="S6" s="1007"/>
      <c r="T6" s="1007"/>
      <c r="U6" s="1007"/>
      <c r="V6" s="1007"/>
      <c r="W6" s="1007"/>
      <c r="X6" s="1007"/>
      <c r="Y6" s="1007"/>
      <c r="Z6" s="1007"/>
      <c r="AA6" s="1007"/>
      <c r="AB6" s="1008"/>
    </row>
    <row r="7" spans="3:28" x14ac:dyDescent="0.25">
      <c r="C7" s="1009"/>
      <c r="D7" s="946"/>
      <c r="E7" s="946"/>
      <c r="F7" s="946"/>
      <c r="G7" s="946"/>
      <c r="H7" s="946"/>
      <c r="I7" s="946"/>
      <c r="J7" s="946"/>
      <c r="K7" s="946"/>
      <c r="L7" s="946"/>
      <c r="M7" s="946"/>
      <c r="N7" s="946"/>
      <c r="O7" s="946"/>
      <c r="P7" s="946"/>
      <c r="Q7" s="946"/>
      <c r="R7" s="946"/>
      <c r="S7" s="946"/>
      <c r="T7" s="946"/>
      <c r="U7" s="946"/>
      <c r="V7" s="946"/>
      <c r="W7" s="946"/>
      <c r="X7" s="946"/>
      <c r="Y7" s="946"/>
      <c r="Z7" s="946"/>
      <c r="AA7" s="946"/>
      <c r="AB7" s="1010"/>
    </row>
    <row r="8" spans="3:28" x14ac:dyDescent="0.25">
      <c r="C8" s="1009"/>
      <c r="D8" s="946"/>
      <c r="E8" s="946"/>
      <c r="F8" s="946"/>
      <c r="G8" s="946"/>
      <c r="H8" s="946"/>
      <c r="I8" s="946"/>
      <c r="J8" s="946"/>
      <c r="K8" s="946"/>
      <c r="L8" s="946"/>
      <c r="M8" s="946"/>
      <c r="N8" s="946"/>
      <c r="O8" s="946"/>
      <c r="P8" s="946"/>
      <c r="Q8" s="946"/>
      <c r="R8" s="946"/>
      <c r="S8" s="946"/>
      <c r="T8" s="946"/>
      <c r="U8" s="946"/>
      <c r="V8" s="946"/>
      <c r="W8" s="946"/>
      <c r="X8" s="946"/>
      <c r="Y8" s="946"/>
      <c r="Z8" s="946"/>
      <c r="AA8" s="946"/>
      <c r="AB8" s="1010"/>
    </row>
    <row r="9" spans="3:28" x14ac:dyDescent="0.25">
      <c r="C9" s="1009"/>
      <c r="D9" s="946"/>
      <c r="E9" s="946"/>
      <c r="F9" s="946"/>
      <c r="G9" s="946"/>
      <c r="H9" s="946"/>
      <c r="I9" s="946"/>
      <c r="J9" s="946"/>
      <c r="K9" s="946"/>
      <c r="L9" s="946"/>
      <c r="M9" s="946"/>
      <c r="N9" s="946"/>
      <c r="O9" s="946"/>
      <c r="P9" s="946"/>
      <c r="Q9" s="946"/>
      <c r="R9" s="946"/>
      <c r="S9" s="946"/>
      <c r="T9" s="946"/>
      <c r="U9" s="946"/>
      <c r="V9" s="946"/>
      <c r="W9" s="946"/>
      <c r="X9" s="946"/>
      <c r="Y9" s="946"/>
      <c r="Z9" s="946"/>
      <c r="AA9" s="946"/>
      <c r="AB9" s="1010"/>
    </row>
    <row r="10" spans="3:28" x14ac:dyDescent="0.25">
      <c r="C10" s="1009"/>
      <c r="D10" s="946"/>
      <c r="E10" s="946"/>
      <c r="F10" s="946"/>
      <c r="G10" s="946"/>
      <c r="H10" s="946"/>
      <c r="I10" s="946"/>
      <c r="J10" s="946"/>
      <c r="K10" s="946"/>
      <c r="L10" s="946"/>
      <c r="M10" s="946"/>
      <c r="N10" s="946"/>
      <c r="O10" s="946"/>
      <c r="P10" s="946"/>
      <c r="Q10" s="946"/>
      <c r="R10" s="946"/>
      <c r="S10" s="946"/>
      <c r="T10" s="946"/>
      <c r="U10" s="946"/>
      <c r="V10" s="946"/>
      <c r="W10" s="946"/>
      <c r="X10" s="946"/>
      <c r="Y10" s="946"/>
      <c r="Z10" s="946"/>
      <c r="AA10" s="946"/>
      <c r="AB10" s="1010"/>
    </row>
    <row r="11" spans="3:28" x14ac:dyDescent="0.25">
      <c r="C11" s="1009"/>
      <c r="D11" s="946"/>
      <c r="E11" s="946"/>
      <c r="F11" s="946"/>
      <c r="G11" s="946"/>
      <c r="H11" s="946"/>
      <c r="I11" s="946"/>
      <c r="J11" s="946"/>
      <c r="K11" s="946"/>
      <c r="L11" s="946"/>
      <c r="M11" s="946"/>
      <c r="N11" s="946"/>
      <c r="O11" s="946"/>
      <c r="P11" s="946"/>
      <c r="Q11" s="946"/>
      <c r="R11" s="946"/>
      <c r="S11" s="946"/>
      <c r="T11" s="946"/>
      <c r="U11" s="946"/>
      <c r="V11" s="946"/>
      <c r="W11" s="946"/>
      <c r="X11" s="946"/>
      <c r="Y11" s="946"/>
      <c r="Z11" s="946"/>
      <c r="AA11" s="946"/>
      <c r="AB11" s="1010"/>
    </row>
    <row r="12" spans="3:28" x14ac:dyDescent="0.25">
      <c r="C12" s="1009"/>
      <c r="D12" s="946"/>
      <c r="E12" s="946"/>
      <c r="F12" s="946"/>
      <c r="G12" s="946"/>
      <c r="H12" s="946"/>
      <c r="I12" s="946"/>
      <c r="J12" s="946"/>
      <c r="K12" s="946"/>
      <c r="L12" s="946"/>
      <c r="M12" s="946"/>
      <c r="N12" s="946"/>
      <c r="O12" s="946"/>
      <c r="P12" s="946"/>
      <c r="Q12" s="946"/>
      <c r="R12" s="946"/>
      <c r="S12" s="946"/>
      <c r="T12" s="946"/>
      <c r="U12" s="946"/>
      <c r="V12" s="946"/>
      <c r="W12" s="946"/>
      <c r="X12" s="946"/>
      <c r="Y12" s="946"/>
      <c r="Z12" s="946"/>
      <c r="AA12" s="946"/>
      <c r="AB12" s="1010"/>
    </row>
    <row r="13" spans="3:28" x14ac:dyDescent="0.25">
      <c r="C13" s="1009"/>
      <c r="D13" s="946"/>
      <c r="E13" s="946"/>
      <c r="F13" s="946"/>
      <c r="G13" s="946"/>
      <c r="H13" s="946"/>
      <c r="I13" s="946"/>
      <c r="J13" s="946"/>
      <c r="K13" s="946"/>
      <c r="L13" s="946"/>
      <c r="M13" s="946"/>
      <c r="N13" s="946"/>
      <c r="O13" s="946"/>
      <c r="P13" s="946"/>
      <c r="Q13" s="946"/>
      <c r="R13" s="946"/>
      <c r="S13" s="946"/>
      <c r="T13" s="946"/>
      <c r="U13" s="946"/>
      <c r="V13" s="946"/>
      <c r="W13" s="946"/>
      <c r="X13" s="946"/>
      <c r="Y13" s="946"/>
      <c r="Z13" s="946"/>
      <c r="AA13" s="946"/>
      <c r="AB13" s="1010"/>
    </row>
    <row r="14" spans="3:28" x14ac:dyDescent="0.25">
      <c r="C14" s="1009"/>
      <c r="D14" s="946"/>
      <c r="E14" s="946"/>
      <c r="F14" s="946"/>
      <c r="G14" s="946"/>
      <c r="H14" s="946"/>
      <c r="I14" s="946"/>
      <c r="J14" s="946"/>
      <c r="K14" s="946"/>
      <c r="L14" s="946"/>
      <c r="M14" s="946"/>
      <c r="N14" s="946"/>
      <c r="O14" s="946"/>
      <c r="P14" s="946"/>
      <c r="Q14" s="946"/>
      <c r="R14" s="946"/>
      <c r="S14" s="946"/>
      <c r="T14" s="946"/>
      <c r="U14" s="946"/>
      <c r="V14" s="946"/>
      <c r="W14" s="946"/>
      <c r="X14" s="946"/>
      <c r="Y14" s="946"/>
      <c r="Z14" s="946"/>
      <c r="AA14" s="946"/>
      <c r="AB14" s="1010"/>
    </row>
    <row r="15" spans="3:28" x14ac:dyDescent="0.25">
      <c r="C15" s="1009"/>
      <c r="D15" s="946"/>
      <c r="E15" s="946"/>
      <c r="F15" s="946"/>
      <c r="G15" s="946"/>
      <c r="H15" s="946"/>
      <c r="I15" s="946"/>
      <c r="J15" s="946"/>
      <c r="K15" s="946"/>
      <c r="L15" s="946"/>
      <c r="M15" s="946"/>
      <c r="N15" s="946"/>
      <c r="O15" s="946"/>
      <c r="P15" s="946"/>
      <c r="Q15" s="946"/>
      <c r="R15" s="946"/>
      <c r="S15" s="946"/>
      <c r="T15" s="946"/>
      <c r="U15" s="946"/>
      <c r="V15" s="946"/>
      <c r="W15" s="946"/>
      <c r="X15" s="946"/>
      <c r="Y15" s="946"/>
      <c r="Z15" s="946"/>
      <c r="AA15" s="946"/>
      <c r="AB15" s="1010"/>
    </row>
    <row r="16" spans="3:28" x14ac:dyDescent="0.25">
      <c r="C16" s="1009"/>
      <c r="D16" s="946"/>
      <c r="E16" s="946"/>
      <c r="F16" s="946"/>
      <c r="G16" s="946"/>
      <c r="H16" s="946"/>
      <c r="I16" s="946"/>
      <c r="J16" s="946"/>
      <c r="K16" s="946"/>
      <c r="L16" s="946"/>
      <c r="M16" s="946"/>
      <c r="N16" s="946"/>
      <c r="O16" s="946"/>
      <c r="P16" s="946"/>
      <c r="Q16" s="946"/>
      <c r="R16" s="946"/>
      <c r="S16" s="946"/>
      <c r="T16" s="946"/>
      <c r="U16" s="946"/>
      <c r="V16" s="946"/>
      <c r="W16" s="946"/>
      <c r="X16" s="946"/>
      <c r="Y16" s="946"/>
      <c r="Z16" s="946"/>
      <c r="AA16" s="946"/>
      <c r="AB16" s="1010"/>
    </row>
    <row r="17" spans="3:28" x14ac:dyDescent="0.25">
      <c r="C17" s="1009"/>
      <c r="D17" s="946"/>
      <c r="E17" s="946"/>
      <c r="F17" s="946"/>
      <c r="G17" s="946"/>
      <c r="H17" s="946"/>
      <c r="I17" s="946"/>
      <c r="J17" s="946"/>
      <c r="K17" s="946"/>
      <c r="L17" s="946"/>
      <c r="M17" s="946"/>
      <c r="N17" s="946"/>
      <c r="O17" s="946"/>
      <c r="P17" s="946"/>
      <c r="Q17" s="946"/>
      <c r="R17" s="946"/>
      <c r="S17" s="946"/>
      <c r="T17" s="946"/>
      <c r="U17" s="946"/>
      <c r="V17" s="946"/>
      <c r="W17" s="946"/>
      <c r="X17" s="946"/>
      <c r="Y17" s="946"/>
      <c r="Z17" s="946"/>
      <c r="AA17" s="946"/>
      <c r="AB17" s="1010"/>
    </row>
    <row r="18" spans="3:28" x14ac:dyDescent="0.25">
      <c r="C18" s="1009"/>
      <c r="D18" s="946"/>
      <c r="E18" s="946"/>
      <c r="F18" s="946"/>
      <c r="G18" s="946"/>
      <c r="H18" s="946"/>
      <c r="I18" s="946"/>
      <c r="J18" s="946"/>
      <c r="K18" s="946"/>
      <c r="L18" s="946"/>
      <c r="M18" s="946"/>
      <c r="N18" s="946"/>
      <c r="O18" s="946"/>
      <c r="P18" s="946"/>
      <c r="Q18" s="946"/>
      <c r="R18" s="946"/>
      <c r="S18" s="946"/>
      <c r="T18" s="946"/>
      <c r="U18" s="946"/>
      <c r="V18" s="946"/>
      <c r="W18" s="946"/>
      <c r="X18" s="946"/>
      <c r="Y18" s="946"/>
      <c r="Z18" s="946"/>
      <c r="AA18" s="946"/>
      <c r="AB18" s="1010"/>
    </row>
    <row r="19" spans="3:28" x14ac:dyDescent="0.25">
      <c r="C19" s="1009"/>
      <c r="D19" s="946"/>
      <c r="E19" s="946"/>
      <c r="F19" s="946"/>
      <c r="G19" s="946"/>
      <c r="H19" s="946"/>
      <c r="I19" s="946"/>
      <c r="J19" s="946"/>
      <c r="K19" s="946"/>
      <c r="L19" s="946"/>
      <c r="M19" s="946"/>
      <c r="N19" s="946"/>
      <c r="O19" s="946"/>
      <c r="P19" s="946"/>
      <c r="Q19" s="946"/>
      <c r="R19" s="946"/>
      <c r="S19" s="946"/>
      <c r="T19" s="946"/>
      <c r="U19" s="946"/>
      <c r="V19" s="946"/>
      <c r="W19" s="946"/>
      <c r="X19" s="946"/>
      <c r="Y19" s="946"/>
      <c r="Z19" s="946"/>
      <c r="AA19" s="946"/>
      <c r="AB19" s="1010"/>
    </row>
    <row r="20" spans="3:28" x14ac:dyDescent="0.25">
      <c r="C20" s="1009"/>
      <c r="D20" s="946"/>
      <c r="E20" s="946"/>
      <c r="F20" s="946"/>
      <c r="G20" s="946"/>
      <c r="H20" s="946"/>
      <c r="I20" s="946"/>
      <c r="J20" s="946"/>
      <c r="K20" s="946"/>
      <c r="L20" s="946"/>
      <c r="M20" s="946"/>
      <c r="N20" s="946"/>
      <c r="O20" s="946"/>
      <c r="P20" s="946"/>
      <c r="Q20" s="946"/>
      <c r="R20" s="946"/>
      <c r="S20" s="946"/>
      <c r="T20" s="946"/>
      <c r="U20" s="946"/>
      <c r="V20" s="946"/>
      <c r="W20" s="946"/>
      <c r="X20" s="946"/>
      <c r="Y20" s="946"/>
      <c r="Z20" s="946"/>
      <c r="AA20" s="946"/>
      <c r="AB20" s="1010"/>
    </row>
    <row r="21" spans="3:28" x14ac:dyDescent="0.25">
      <c r="C21" s="1009"/>
      <c r="D21" s="946"/>
      <c r="E21" s="946"/>
      <c r="F21" s="946"/>
      <c r="G21" s="946"/>
      <c r="H21" s="946"/>
      <c r="I21" s="946"/>
      <c r="J21" s="946"/>
      <c r="K21" s="946"/>
      <c r="L21" s="946"/>
      <c r="M21" s="946"/>
      <c r="N21" s="946"/>
      <c r="O21" s="946"/>
      <c r="P21" s="946"/>
      <c r="Q21" s="946"/>
      <c r="R21" s="946"/>
      <c r="S21" s="946"/>
      <c r="T21" s="946"/>
      <c r="U21" s="946"/>
      <c r="V21" s="946"/>
      <c r="W21" s="946"/>
      <c r="X21" s="946"/>
      <c r="Y21" s="946"/>
      <c r="Z21" s="946"/>
      <c r="AA21" s="946"/>
      <c r="AB21" s="1010"/>
    </row>
    <row r="22" spans="3:28" x14ac:dyDescent="0.25">
      <c r="C22" s="1009"/>
      <c r="D22" s="946"/>
      <c r="E22" s="946"/>
      <c r="F22" s="946"/>
      <c r="G22" s="946"/>
      <c r="H22" s="946"/>
      <c r="I22" s="946"/>
      <c r="J22" s="946"/>
      <c r="K22" s="946"/>
      <c r="L22" s="946"/>
      <c r="M22" s="946"/>
      <c r="N22" s="946"/>
      <c r="O22" s="946"/>
      <c r="P22" s="946"/>
      <c r="Q22" s="946"/>
      <c r="R22" s="946"/>
      <c r="S22" s="946"/>
      <c r="T22" s="946"/>
      <c r="U22" s="946"/>
      <c r="V22" s="946"/>
      <c r="W22" s="946"/>
      <c r="X22" s="946"/>
      <c r="Y22" s="946"/>
      <c r="Z22" s="946"/>
      <c r="AA22" s="946"/>
      <c r="AB22" s="1010"/>
    </row>
    <row r="23" spans="3:28" x14ac:dyDescent="0.25">
      <c r="C23" s="1009"/>
      <c r="D23" s="946"/>
      <c r="E23" s="946"/>
      <c r="F23" s="946"/>
      <c r="G23" s="946"/>
      <c r="H23" s="946"/>
      <c r="I23" s="946"/>
      <c r="J23" s="946"/>
      <c r="K23" s="946"/>
      <c r="L23" s="946"/>
      <c r="M23" s="946"/>
      <c r="N23" s="946"/>
      <c r="O23" s="946"/>
      <c r="P23" s="946"/>
      <c r="Q23" s="946"/>
      <c r="R23" s="946"/>
      <c r="S23" s="946"/>
      <c r="T23" s="946"/>
      <c r="U23" s="946"/>
      <c r="V23" s="946"/>
      <c r="W23" s="946"/>
      <c r="X23" s="946"/>
      <c r="Y23" s="946"/>
      <c r="Z23" s="946"/>
      <c r="AA23" s="946"/>
      <c r="AB23" s="1010"/>
    </row>
    <row r="24" spans="3:28" x14ac:dyDescent="0.25">
      <c r="C24" s="1009"/>
      <c r="D24" s="946"/>
      <c r="E24" s="946"/>
      <c r="F24" s="946"/>
      <c r="G24" s="946"/>
      <c r="H24" s="946"/>
      <c r="I24" s="946"/>
      <c r="J24" s="946"/>
      <c r="K24" s="946"/>
      <c r="L24" s="946"/>
      <c r="M24" s="946"/>
      <c r="N24" s="946"/>
      <c r="O24" s="946"/>
      <c r="P24" s="946"/>
      <c r="Q24" s="946"/>
      <c r="R24" s="946"/>
      <c r="S24" s="946"/>
      <c r="T24" s="946"/>
      <c r="U24" s="946"/>
      <c r="V24" s="946"/>
      <c r="W24" s="946"/>
      <c r="X24" s="946"/>
      <c r="Y24" s="946"/>
      <c r="Z24" s="946"/>
      <c r="AA24" s="946"/>
      <c r="AB24" s="1010"/>
    </row>
    <row r="25" spans="3:28" x14ac:dyDescent="0.25">
      <c r="C25" s="1009"/>
      <c r="D25" s="946"/>
      <c r="E25" s="946"/>
      <c r="F25" s="946"/>
      <c r="G25" s="946"/>
      <c r="H25" s="946"/>
      <c r="I25" s="946"/>
      <c r="J25" s="946"/>
      <c r="K25" s="946"/>
      <c r="L25" s="946"/>
      <c r="M25" s="946"/>
      <c r="N25" s="946"/>
      <c r="O25" s="946"/>
      <c r="P25" s="946"/>
      <c r="Q25" s="946"/>
      <c r="R25" s="946"/>
      <c r="S25" s="946"/>
      <c r="T25" s="946"/>
      <c r="U25" s="946"/>
      <c r="V25" s="946"/>
      <c r="W25" s="946"/>
      <c r="X25" s="946"/>
      <c r="Y25" s="946"/>
      <c r="Z25" s="946"/>
      <c r="AA25" s="946"/>
      <c r="AB25" s="1010"/>
    </row>
    <row r="26" spans="3:28" x14ac:dyDescent="0.25">
      <c r="C26" s="1009"/>
      <c r="D26" s="946"/>
      <c r="E26" s="946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946"/>
      <c r="W26" s="946"/>
      <c r="X26" s="946"/>
      <c r="Y26" s="946"/>
      <c r="Z26" s="946"/>
      <c r="AA26" s="946"/>
      <c r="AB26" s="1010"/>
    </row>
    <row r="27" spans="3:28" x14ac:dyDescent="0.25">
      <c r="C27" s="1011"/>
      <c r="D27" s="1012"/>
      <c r="E27" s="1012"/>
      <c r="F27" s="1012"/>
      <c r="G27" s="1012"/>
      <c r="H27" s="1012"/>
      <c r="I27" s="1012"/>
      <c r="J27" s="1012"/>
      <c r="K27" s="1012"/>
      <c r="L27" s="1012"/>
      <c r="M27" s="1012"/>
      <c r="N27" s="1012"/>
      <c r="O27" s="1012"/>
      <c r="P27" s="1012"/>
      <c r="Q27" s="1012"/>
      <c r="R27" s="1012"/>
      <c r="S27" s="1012"/>
      <c r="T27" s="1012"/>
      <c r="U27" s="1012"/>
      <c r="V27" s="1012"/>
      <c r="W27" s="1012"/>
      <c r="X27" s="1012"/>
      <c r="Y27" s="1012"/>
      <c r="Z27" s="1012"/>
      <c r="AA27" s="1012"/>
      <c r="AB27" s="1013"/>
    </row>
    <row r="28" spans="3:28" x14ac:dyDescent="0.25">
      <c r="C28" s="289" t="s">
        <v>619</v>
      </c>
      <c r="D28" s="290"/>
      <c r="E28" s="290"/>
      <c r="F28" s="290"/>
      <c r="G28" s="290"/>
      <c r="H28" s="290"/>
      <c r="I28" s="290"/>
      <c r="J28" s="290"/>
      <c r="K28" s="290"/>
      <c r="L28" s="290"/>
      <c r="M28" s="290"/>
      <c r="N28" s="290"/>
      <c r="O28" s="290"/>
      <c r="P28" s="290"/>
      <c r="Q28" s="290"/>
      <c r="R28" s="290"/>
      <c r="S28" s="290"/>
      <c r="T28" s="290"/>
      <c r="U28" s="290"/>
      <c r="V28" s="290"/>
      <c r="W28" s="290"/>
      <c r="X28" s="290"/>
      <c r="Y28" s="290"/>
      <c r="Z28" s="290"/>
      <c r="AA28" s="290"/>
      <c r="AB28" s="290"/>
    </row>
    <row r="34" spans="3:28" x14ac:dyDescent="0.25">
      <c r="C34" s="289" t="s">
        <v>620</v>
      </c>
      <c r="D34" s="290"/>
      <c r="E34" s="290"/>
      <c r="F34" s="290"/>
      <c r="G34" s="290"/>
      <c r="H34" s="290"/>
      <c r="I34" s="290"/>
      <c r="J34" s="290"/>
      <c r="K34" s="290"/>
      <c r="L34" s="290"/>
      <c r="M34" s="290"/>
      <c r="N34" s="290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</row>
  </sheetData>
  <sheetProtection algorithmName="SHA-512" hashValue="KOglurFSfaK3qEleYgVqLixUnFGBixviGAXIRL9pFNyEWI2OD3yTAxJowk6xRhzkO+R5TylUa0oJiwWV4nLggQ==" saltValue="3Yucye0I1KyAeYGdtGb+KA==" spinCount="100000" sheet="1" objects="1" scenarios="1"/>
  <mergeCells count="2">
    <mergeCell ref="K3:AB3"/>
    <mergeCell ref="C6:AB27"/>
  </mergeCells>
  <pageMargins left="0.7" right="0.7" top="0.75" bottom="0.75" header="0.3" footer="0.3"/>
  <pageSetup paperSize="9" scale="77" orientation="portrait" horizontalDpi="4294967292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>
                <anchor moveWithCells="1">
                  <from>
                    <xdr:col>26</xdr:col>
                    <xdr:colOff>276225</xdr:colOff>
                    <xdr:row>4</xdr:row>
                    <xdr:rowOff>28575</xdr:rowOff>
                  </from>
                  <to>
                    <xdr:col>27</xdr:col>
                    <xdr:colOff>123825</xdr:colOff>
                    <xdr:row>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Button 2">
              <controlPr defaultSize="0" print="0" autoFill="0" autoPict="0">
                <anchor moveWithCells="1">
                  <from>
                    <xdr:col>27</xdr:col>
                    <xdr:colOff>142875</xdr:colOff>
                    <xdr:row>4</xdr:row>
                    <xdr:rowOff>28575</xdr:rowOff>
                  </from>
                  <to>
                    <xdr:col>28</xdr:col>
                    <xdr:colOff>0</xdr:colOff>
                    <xdr:row>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7" r:id="rId6" name="Button 5">
              <controlPr defaultSize="0" print="0" autoFill="0" autoPict="0">
                <anchor moveWithCells="1">
                  <from>
                    <xdr:col>13</xdr:col>
                    <xdr:colOff>76200</xdr:colOff>
                    <xdr:row>4</xdr:row>
                    <xdr:rowOff>0</xdr:rowOff>
                  </from>
                  <to>
                    <xdr:col>15</xdr:col>
                    <xdr:colOff>219075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938D2-E0A0-4B73-B27F-878D309AC4CE}">
  <sheetPr codeName="Feuil8">
    <tabColor rgb="FF0070C0"/>
  </sheetPr>
  <dimension ref="C2:AB26"/>
  <sheetViews>
    <sheetView view="pageBreakPreview" zoomScale="85" zoomScaleNormal="100" zoomScaleSheetLayoutView="85" workbookViewId="0">
      <selection activeCell="C5" sqref="C5:AB26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2" spans="3:28" ht="15.75" thickBot="1" x14ac:dyDescent="0.3"/>
    <row r="3" spans="3:28" ht="15.75" thickBot="1" x14ac:dyDescent="0.3">
      <c r="C3" s="361">
        <f>'Données d''Entrées'!K3</f>
        <v>0</v>
      </c>
      <c r="Z3" s="360" t="s">
        <v>621</v>
      </c>
      <c r="AA3" s="1014">
        <f>MAX(AB74:AB823)</f>
        <v>0</v>
      </c>
      <c r="AB3" s="1015"/>
    </row>
    <row r="5" spans="3:28" x14ac:dyDescent="0.25">
      <c r="C5" s="1006"/>
      <c r="D5" s="1007"/>
      <c r="E5" s="1007"/>
      <c r="F5" s="1007"/>
      <c r="G5" s="1007"/>
      <c r="H5" s="1007"/>
      <c r="I5" s="1007"/>
      <c r="J5" s="1007"/>
      <c r="K5" s="1007"/>
      <c r="L5" s="1007"/>
      <c r="M5" s="1007"/>
      <c r="N5" s="1007"/>
      <c r="O5" s="1007"/>
      <c r="P5" s="1007"/>
      <c r="Q5" s="1007"/>
      <c r="R5" s="1007"/>
      <c r="S5" s="1007"/>
      <c r="T5" s="1007"/>
      <c r="U5" s="1007"/>
      <c r="V5" s="1007"/>
      <c r="W5" s="1007"/>
      <c r="X5" s="1007"/>
      <c r="Y5" s="1007"/>
      <c r="Z5" s="1007"/>
      <c r="AA5" s="1007"/>
      <c r="AB5" s="1008"/>
    </row>
    <row r="6" spans="3:28" x14ac:dyDescent="0.25">
      <c r="C6" s="1009"/>
      <c r="D6" s="946"/>
      <c r="E6" s="946"/>
      <c r="F6" s="946"/>
      <c r="G6" s="946"/>
      <c r="H6" s="946"/>
      <c r="I6" s="946"/>
      <c r="J6" s="946"/>
      <c r="K6" s="946"/>
      <c r="L6" s="946"/>
      <c r="M6" s="946"/>
      <c r="N6" s="946"/>
      <c r="O6" s="946"/>
      <c r="P6" s="946"/>
      <c r="Q6" s="946"/>
      <c r="R6" s="946"/>
      <c r="S6" s="946"/>
      <c r="T6" s="946"/>
      <c r="U6" s="946"/>
      <c r="V6" s="946"/>
      <c r="W6" s="946"/>
      <c r="X6" s="946"/>
      <c r="Y6" s="946"/>
      <c r="Z6" s="946"/>
      <c r="AA6" s="946"/>
      <c r="AB6" s="1010"/>
    </row>
    <row r="7" spans="3:28" x14ac:dyDescent="0.25">
      <c r="C7" s="1009"/>
      <c r="D7" s="946"/>
      <c r="E7" s="946"/>
      <c r="F7" s="946"/>
      <c r="G7" s="946"/>
      <c r="H7" s="946"/>
      <c r="I7" s="946"/>
      <c r="J7" s="946"/>
      <c r="K7" s="946"/>
      <c r="L7" s="946"/>
      <c r="M7" s="946"/>
      <c r="N7" s="946"/>
      <c r="O7" s="946"/>
      <c r="P7" s="946"/>
      <c r="Q7" s="946"/>
      <c r="R7" s="946"/>
      <c r="S7" s="946"/>
      <c r="T7" s="946"/>
      <c r="U7" s="946"/>
      <c r="V7" s="946"/>
      <c r="W7" s="946"/>
      <c r="X7" s="946"/>
      <c r="Y7" s="946"/>
      <c r="Z7" s="946"/>
      <c r="AA7" s="946"/>
      <c r="AB7" s="1010"/>
    </row>
    <row r="8" spans="3:28" x14ac:dyDescent="0.25">
      <c r="C8" s="1009"/>
      <c r="D8" s="946"/>
      <c r="E8" s="946"/>
      <c r="F8" s="946"/>
      <c r="G8" s="946"/>
      <c r="H8" s="946"/>
      <c r="I8" s="946"/>
      <c r="J8" s="946"/>
      <c r="K8" s="946"/>
      <c r="L8" s="946"/>
      <c r="M8" s="946"/>
      <c r="N8" s="946"/>
      <c r="O8" s="946"/>
      <c r="P8" s="946"/>
      <c r="Q8" s="946"/>
      <c r="R8" s="946"/>
      <c r="S8" s="946"/>
      <c r="T8" s="946"/>
      <c r="U8" s="946"/>
      <c r="V8" s="946"/>
      <c r="W8" s="946"/>
      <c r="X8" s="946"/>
      <c r="Y8" s="946"/>
      <c r="Z8" s="946"/>
      <c r="AA8" s="946"/>
      <c r="AB8" s="1010"/>
    </row>
    <row r="9" spans="3:28" x14ac:dyDescent="0.25">
      <c r="C9" s="1009"/>
      <c r="D9" s="946"/>
      <c r="E9" s="946"/>
      <c r="F9" s="946"/>
      <c r="G9" s="946"/>
      <c r="H9" s="946"/>
      <c r="I9" s="946"/>
      <c r="J9" s="946"/>
      <c r="K9" s="946"/>
      <c r="L9" s="946"/>
      <c r="M9" s="946"/>
      <c r="N9" s="946"/>
      <c r="O9" s="946"/>
      <c r="P9" s="946"/>
      <c r="Q9" s="946"/>
      <c r="R9" s="946"/>
      <c r="S9" s="946"/>
      <c r="T9" s="946"/>
      <c r="U9" s="946"/>
      <c r="V9" s="946"/>
      <c r="W9" s="946"/>
      <c r="X9" s="946"/>
      <c r="Y9" s="946"/>
      <c r="Z9" s="946"/>
      <c r="AA9" s="946"/>
      <c r="AB9" s="1010"/>
    </row>
    <row r="10" spans="3:28" x14ac:dyDescent="0.25">
      <c r="C10" s="1009"/>
      <c r="D10" s="946"/>
      <c r="E10" s="946"/>
      <c r="F10" s="946"/>
      <c r="G10" s="946"/>
      <c r="H10" s="946"/>
      <c r="I10" s="946"/>
      <c r="J10" s="946"/>
      <c r="K10" s="946"/>
      <c r="L10" s="946"/>
      <c r="M10" s="946"/>
      <c r="N10" s="946"/>
      <c r="O10" s="946"/>
      <c r="P10" s="946"/>
      <c r="Q10" s="946"/>
      <c r="R10" s="946"/>
      <c r="S10" s="946"/>
      <c r="T10" s="946"/>
      <c r="U10" s="946"/>
      <c r="V10" s="946"/>
      <c r="W10" s="946"/>
      <c r="X10" s="946"/>
      <c r="Y10" s="946"/>
      <c r="Z10" s="946"/>
      <c r="AA10" s="946"/>
      <c r="AB10" s="1010"/>
    </row>
    <row r="11" spans="3:28" x14ac:dyDescent="0.25">
      <c r="C11" s="1009"/>
      <c r="D11" s="946"/>
      <c r="E11" s="946"/>
      <c r="F11" s="946"/>
      <c r="G11" s="946"/>
      <c r="H11" s="946"/>
      <c r="I11" s="946"/>
      <c r="J11" s="946"/>
      <c r="K11" s="946"/>
      <c r="L11" s="946"/>
      <c r="M11" s="946"/>
      <c r="N11" s="946"/>
      <c r="O11" s="946"/>
      <c r="P11" s="946"/>
      <c r="Q11" s="946"/>
      <c r="R11" s="946"/>
      <c r="S11" s="946"/>
      <c r="T11" s="946"/>
      <c r="U11" s="946"/>
      <c r="V11" s="946"/>
      <c r="W11" s="946"/>
      <c r="X11" s="946"/>
      <c r="Y11" s="946"/>
      <c r="Z11" s="946"/>
      <c r="AA11" s="946"/>
      <c r="AB11" s="1010"/>
    </row>
    <row r="12" spans="3:28" x14ac:dyDescent="0.25">
      <c r="C12" s="1009"/>
      <c r="D12" s="946"/>
      <c r="E12" s="946"/>
      <c r="F12" s="946"/>
      <c r="G12" s="946"/>
      <c r="H12" s="946"/>
      <c r="I12" s="946"/>
      <c r="J12" s="946"/>
      <c r="K12" s="946"/>
      <c r="L12" s="946"/>
      <c r="M12" s="946"/>
      <c r="N12" s="946"/>
      <c r="O12" s="946"/>
      <c r="P12" s="946"/>
      <c r="Q12" s="946"/>
      <c r="R12" s="946"/>
      <c r="S12" s="946"/>
      <c r="T12" s="946"/>
      <c r="U12" s="946"/>
      <c r="V12" s="946"/>
      <c r="W12" s="946"/>
      <c r="X12" s="946"/>
      <c r="Y12" s="946"/>
      <c r="Z12" s="946"/>
      <c r="AA12" s="946"/>
      <c r="AB12" s="1010"/>
    </row>
    <row r="13" spans="3:28" x14ac:dyDescent="0.25">
      <c r="C13" s="1009"/>
      <c r="D13" s="946"/>
      <c r="E13" s="946"/>
      <c r="F13" s="946"/>
      <c r="G13" s="946"/>
      <c r="H13" s="946"/>
      <c r="I13" s="946"/>
      <c r="J13" s="946"/>
      <c r="K13" s="946"/>
      <c r="L13" s="946"/>
      <c r="M13" s="946"/>
      <c r="N13" s="946"/>
      <c r="O13" s="946"/>
      <c r="P13" s="946"/>
      <c r="Q13" s="946"/>
      <c r="R13" s="946"/>
      <c r="S13" s="946"/>
      <c r="T13" s="946"/>
      <c r="U13" s="946"/>
      <c r="V13" s="946"/>
      <c r="W13" s="946"/>
      <c r="X13" s="946"/>
      <c r="Y13" s="946"/>
      <c r="Z13" s="946"/>
      <c r="AA13" s="946"/>
      <c r="AB13" s="1010"/>
    </row>
    <row r="14" spans="3:28" x14ac:dyDescent="0.25">
      <c r="C14" s="1009"/>
      <c r="D14" s="946"/>
      <c r="E14" s="946"/>
      <c r="F14" s="946"/>
      <c r="G14" s="946"/>
      <c r="H14" s="946"/>
      <c r="I14" s="946"/>
      <c r="J14" s="946"/>
      <c r="K14" s="946"/>
      <c r="L14" s="946"/>
      <c r="M14" s="946"/>
      <c r="N14" s="946"/>
      <c r="O14" s="946"/>
      <c r="P14" s="946"/>
      <c r="Q14" s="946"/>
      <c r="R14" s="946"/>
      <c r="S14" s="946"/>
      <c r="T14" s="946"/>
      <c r="U14" s="946"/>
      <c r="V14" s="946"/>
      <c r="W14" s="946"/>
      <c r="X14" s="946"/>
      <c r="Y14" s="946"/>
      <c r="Z14" s="946"/>
      <c r="AA14" s="946"/>
      <c r="AB14" s="1010"/>
    </row>
    <row r="15" spans="3:28" x14ac:dyDescent="0.25">
      <c r="C15" s="1009"/>
      <c r="D15" s="946"/>
      <c r="E15" s="946"/>
      <c r="F15" s="946"/>
      <c r="G15" s="946"/>
      <c r="H15" s="946"/>
      <c r="I15" s="946"/>
      <c r="J15" s="946"/>
      <c r="K15" s="946"/>
      <c r="L15" s="946"/>
      <c r="M15" s="946"/>
      <c r="N15" s="946"/>
      <c r="O15" s="946"/>
      <c r="P15" s="946"/>
      <c r="Q15" s="946"/>
      <c r="R15" s="946"/>
      <c r="S15" s="946"/>
      <c r="T15" s="946"/>
      <c r="U15" s="946"/>
      <c r="V15" s="946"/>
      <c r="W15" s="946"/>
      <c r="X15" s="946"/>
      <c r="Y15" s="946"/>
      <c r="Z15" s="946"/>
      <c r="AA15" s="946"/>
      <c r="AB15" s="1010"/>
    </row>
    <row r="16" spans="3:28" x14ac:dyDescent="0.25">
      <c r="C16" s="1009"/>
      <c r="D16" s="946"/>
      <c r="E16" s="946"/>
      <c r="F16" s="946"/>
      <c r="G16" s="946"/>
      <c r="H16" s="946"/>
      <c r="I16" s="946"/>
      <c r="J16" s="946"/>
      <c r="K16" s="946"/>
      <c r="L16" s="946"/>
      <c r="M16" s="946"/>
      <c r="N16" s="946"/>
      <c r="O16" s="946"/>
      <c r="P16" s="946"/>
      <c r="Q16" s="946"/>
      <c r="R16" s="946"/>
      <c r="S16" s="946"/>
      <c r="T16" s="946"/>
      <c r="U16" s="946"/>
      <c r="V16" s="946"/>
      <c r="W16" s="946"/>
      <c r="X16" s="946"/>
      <c r="Y16" s="946"/>
      <c r="Z16" s="946"/>
      <c r="AA16" s="946"/>
      <c r="AB16" s="1010"/>
    </row>
    <row r="17" spans="3:28" x14ac:dyDescent="0.25">
      <c r="C17" s="1009"/>
      <c r="D17" s="946"/>
      <c r="E17" s="946"/>
      <c r="F17" s="946"/>
      <c r="G17" s="946"/>
      <c r="H17" s="946"/>
      <c r="I17" s="946"/>
      <c r="J17" s="946"/>
      <c r="K17" s="946"/>
      <c r="L17" s="946"/>
      <c r="M17" s="946"/>
      <c r="N17" s="946"/>
      <c r="O17" s="946"/>
      <c r="P17" s="946"/>
      <c r="Q17" s="946"/>
      <c r="R17" s="946"/>
      <c r="S17" s="946"/>
      <c r="T17" s="946"/>
      <c r="U17" s="946"/>
      <c r="V17" s="946"/>
      <c r="W17" s="946"/>
      <c r="X17" s="946"/>
      <c r="Y17" s="946"/>
      <c r="Z17" s="946"/>
      <c r="AA17" s="946"/>
      <c r="AB17" s="1010"/>
    </row>
    <row r="18" spans="3:28" x14ac:dyDescent="0.25">
      <c r="C18" s="1009"/>
      <c r="D18" s="946"/>
      <c r="E18" s="946"/>
      <c r="F18" s="946"/>
      <c r="G18" s="946"/>
      <c r="H18" s="946"/>
      <c r="I18" s="946"/>
      <c r="J18" s="946"/>
      <c r="K18" s="946"/>
      <c r="L18" s="946"/>
      <c r="M18" s="946"/>
      <c r="N18" s="946"/>
      <c r="O18" s="946"/>
      <c r="P18" s="946"/>
      <c r="Q18" s="946"/>
      <c r="R18" s="946"/>
      <c r="S18" s="946"/>
      <c r="T18" s="946"/>
      <c r="U18" s="946"/>
      <c r="V18" s="946"/>
      <c r="W18" s="946"/>
      <c r="X18" s="946"/>
      <c r="Y18" s="946"/>
      <c r="Z18" s="946"/>
      <c r="AA18" s="946"/>
      <c r="AB18" s="1010"/>
    </row>
    <row r="19" spans="3:28" x14ac:dyDescent="0.25">
      <c r="C19" s="1009"/>
      <c r="D19" s="946"/>
      <c r="E19" s="946"/>
      <c r="F19" s="946"/>
      <c r="G19" s="946"/>
      <c r="H19" s="946"/>
      <c r="I19" s="946"/>
      <c r="J19" s="946"/>
      <c r="K19" s="946"/>
      <c r="L19" s="946"/>
      <c r="M19" s="946"/>
      <c r="N19" s="946"/>
      <c r="O19" s="946"/>
      <c r="P19" s="946"/>
      <c r="Q19" s="946"/>
      <c r="R19" s="946"/>
      <c r="S19" s="946"/>
      <c r="T19" s="946"/>
      <c r="U19" s="946"/>
      <c r="V19" s="946"/>
      <c r="W19" s="946"/>
      <c r="X19" s="946"/>
      <c r="Y19" s="946"/>
      <c r="Z19" s="946"/>
      <c r="AA19" s="946"/>
      <c r="AB19" s="1010"/>
    </row>
    <row r="20" spans="3:28" x14ac:dyDescent="0.25">
      <c r="C20" s="1009"/>
      <c r="D20" s="946"/>
      <c r="E20" s="946"/>
      <c r="F20" s="946"/>
      <c r="G20" s="946"/>
      <c r="H20" s="946"/>
      <c r="I20" s="946"/>
      <c r="J20" s="946"/>
      <c r="K20" s="946"/>
      <c r="L20" s="946"/>
      <c r="M20" s="946"/>
      <c r="N20" s="946"/>
      <c r="O20" s="946"/>
      <c r="P20" s="946"/>
      <c r="Q20" s="946"/>
      <c r="R20" s="946"/>
      <c r="S20" s="946"/>
      <c r="T20" s="946"/>
      <c r="U20" s="946"/>
      <c r="V20" s="946"/>
      <c r="W20" s="946"/>
      <c r="X20" s="946"/>
      <c r="Y20" s="946"/>
      <c r="Z20" s="946"/>
      <c r="AA20" s="946"/>
      <c r="AB20" s="1010"/>
    </row>
    <row r="21" spans="3:28" x14ac:dyDescent="0.25">
      <c r="C21" s="1009"/>
      <c r="D21" s="946"/>
      <c r="E21" s="946"/>
      <c r="F21" s="946"/>
      <c r="G21" s="946"/>
      <c r="H21" s="946"/>
      <c r="I21" s="946"/>
      <c r="J21" s="946"/>
      <c r="K21" s="946"/>
      <c r="L21" s="946"/>
      <c r="M21" s="946"/>
      <c r="N21" s="946"/>
      <c r="O21" s="946"/>
      <c r="P21" s="946"/>
      <c r="Q21" s="946"/>
      <c r="R21" s="946"/>
      <c r="S21" s="946"/>
      <c r="T21" s="946"/>
      <c r="U21" s="946"/>
      <c r="V21" s="946"/>
      <c r="W21" s="946"/>
      <c r="X21" s="946"/>
      <c r="Y21" s="946"/>
      <c r="Z21" s="946"/>
      <c r="AA21" s="946"/>
      <c r="AB21" s="1010"/>
    </row>
    <row r="22" spans="3:28" x14ac:dyDescent="0.25">
      <c r="C22" s="1009"/>
      <c r="D22" s="946"/>
      <c r="E22" s="946"/>
      <c r="F22" s="946"/>
      <c r="G22" s="946"/>
      <c r="H22" s="946"/>
      <c r="I22" s="946"/>
      <c r="J22" s="946"/>
      <c r="K22" s="946"/>
      <c r="L22" s="946"/>
      <c r="M22" s="946"/>
      <c r="N22" s="946"/>
      <c r="O22" s="946"/>
      <c r="P22" s="946"/>
      <c r="Q22" s="946"/>
      <c r="R22" s="946"/>
      <c r="S22" s="946"/>
      <c r="T22" s="946"/>
      <c r="U22" s="946"/>
      <c r="V22" s="946"/>
      <c r="W22" s="946"/>
      <c r="X22" s="946"/>
      <c r="Y22" s="946"/>
      <c r="Z22" s="946"/>
      <c r="AA22" s="946"/>
      <c r="AB22" s="1010"/>
    </row>
    <row r="23" spans="3:28" x14ac:dyDescent="0.25">
      <c r="C23" s="1009"/>
      <c r="D23" s="946"/>
      <c r="E23" s="946"/>
      <c r="F23" s="946"/>
      <c r="G23" s="946"/>
      <c r="H23" s="946"/>
      <c r="I23" s="946"/>
      <c r="J23" s="946"/>
      <c r="K23" s="946"/>
      <c r="L23" s="946"/>
      <c r="M23" s="946"/>
      <c r="N23" s="946"/>
      <c r="O23" s="946"/>
      <c r="P23" s="946"/>
      <c r="Q23" s="946"/>
      <c r="R23" s="946"/>
      <c r="S23" s="946"/>
      <c r="T23" s="946"/>
      <c r="U23" s="946"/>
      <c r="V23" s="946"/>
      <c r="W23" s="946"/>
      <c r="X23" s="946"/>
      <c r="Y23" s="946"/>
      <c r="Z23" s="946"/>
      <c r="AA23" s="946"/>
      <c r="AB23" s="1010"/>
    </row>
    <row r="24" spans="3:28" x14ac:dyDescent="0.25">
      <c r="C24" s="1009"/>
      <c r="D24" s="946"/>
      <c r="E24" s="946"/>
      <c r="F24" s="946"/>
      <c r="G24" s="946"/>
      <c r="H24" s="946"/>
      <c r="I24" s="946"/>
      <c r="J24" s="946"/>
      <c r="K24" s="946"/>
      <c r="L24" s="946"/>
      <c r="M24" s="946"/>
      <c r="N24" s="946"/>
      <c r="O24" s="946"/>
      <c r="P24" s="946"/>
      <c r="Q24" s="946"/>
      <c r="R24" s="946"/>
      <c r="S24" s="946"/>
      <c r="T24" s="946"/>
      <c r="U24" s="946"/>
      <c r="V24" s="946"/>
      <c r="W24" s="946"/>
      <c r="X24" s="946"/>
      <c r="Y24" s="946"/>
      <c r="Z24" s="946"/>
      <c r="AA24" s="946"/>
      <c r="AB24" s="1010"/>
    </row>
    <row r="25" spans="3:28" x14ac:dyDescent="0.25">
      <c r="C25" s="1009"/>
      <c r="D25" s="946"/>
      <c r="E25" s="946"/>
      <c r="F25" s="946"/>
      <c r="G25" s="946"/>
      <c r="H25" s="946"/>
      <c r="I25" s="946"/>
      <c r="J25" s="946"/>
      <c r="K25" s="946"/>
      <c r="L25" s="946"/>
      <c r="M25" s="946"/>
      <c r="N25" s="946"/>
      <c r="O25" s="946"/>
      <c r="P25" s="946"/>
      <c r="Q25" s="946"/>
      <c r="R25" s="946"/>
      <c r="S25" s="946"/>
      <c r="T25" s="946"/>
      <c r="U25" s="946"/>
      <c r="V25" s="946"/>
      <c r="W25" s="946"/>
      <c r="X25" s="946"/>
      <c r="Y25" s="946"/>
      <c r="Z25" s="946"/>
      <c r="AA25" s="946"/>
      <c r="AB25" s="1010"/>
    </row>
    <row r="26" spans="3:28" x14ac:dyDescent="0.25">
      <c r="C26" s="1011"/>
      <c r="D26" s="1012"/>
      <c r="E26" s="1012"/>
      <c r="F26" s="1012"/>
      <c r="G26" s="1012"/>
      <c r="H26" s="1012"/>
      <c r="I26" s="1012"/>
      <c r="J26" s="1012"/>
      <c r="K26" s="1012"/>
      <c r="L26" s="1012"/>
      <c r="M26" s="1012"/>
      <c r="N26" s="1012"/>
      <c r="O26" s="1012"/>
      <c r="P26" s="1012"/>
      <c r="Q26" s="1012"/>
      <c r="R26" s="1012"/>
      <c r="S26" s="1012"/>
      <c r="T26" s="1012"/>
      <c r="U26" s="1012"/>
      <c r="V26" s="1012"/>
      <c r="W26" s="1012"/>
      <c r="X26" s="1012"/>
      <c r="Y26" s="1012"/>
      <c r="Z26" s="1012"/>
      <c r="AA26" s="1012"/>
      <c r="AB26" s="1013"/>
    </row>
  </sheetData>
  <sheetProtection algorithmName="SHA-512" hashValue="9zw+o+n3GS/tr5aC5Y10Ozm8/ABei3MwHkqT97Hw1xfCdHQ1CoUIg0Wgn7lnEDpSSJnD6XjH8aiUgZgGI2TPdg==" saltValue="wvFQDR7w2DoC4+kgnCeu+w==" spinCount="100000" sheet="1" objects="1" scenarios="1"/>
  <mergeCells count="2">
    <mergeCell ref="C5:AB26"/>
    <mergeCell ref="AA3:AB3"/>
  </mergeCells>
  <conditionalFormatting sqref="AA3:AB3">
    <cfRule type="cellIs" dxfId="46" priority="1" operator="lessThanOrEqual">
      <formula>1</formula>
    </cfRule>
    <cfRule type="cellIs" dxfId="45" priority="2" operator="greaterThan">
      <formula>1</formula>
    </cfRule>
  </conditionalFormatting>
  <pageMargins left="0.7" right="0.7" top="0.75" bottom="0.75" header="0.3" footer="0.3"/>
  <pageSetup paperSize="9" scale="77" orientation="portrait" horizontalDpi="4294967292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37616-92D9-43E1-9708-A0EDFD1B4E64}">
  <sheetPr codeName="Feuil9">
    <tabColor rgb="FF92D050"/>
  </sheetPr>
  <dimension ref="D3:AB129"/>
  <sheetViews>
    <sheetView tabSelected="1" view="pageBreakPreview" zoomScaleNormal="100" zoomScaleSheetLayoutView="100" workbookViewId="0">
      <selection activeCell="D3" sqref="D3:X4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4:27" ht="15" customHeight="1" x14ac:dyDescent="0.25">
      <c r="D3" s="989" t="s">
        <v>1879</v>
      </c>
      <c r="E3" s="990"/>
      <c r="F3" s="990"/>
      <c r="G3" s="990"/>
      <c r="H3" s="990"/>
      <c r="I3" s="990"/>
      <c r="J3" s="990"/>
      <c r="K3" s="990"/>
      <c r="L3" s="990"/>
      <c r="M3" s="990"/>
      <c r="N3" s="990"/>
      <c r="O3" s="990"/>
      <c r="P3" s="990"/>
      <c r="Q3" s="990"/>
      <c r="R3" s="990"/>
      <c r="S3" s="990"/>
      <c r="T3" s="990"/>
      <c r="U3" s="990"/>
      <c r="V3" s="990"/>
      <c r="W3" s="990"/>
      <c r="X3" s="990"/>
      <c r="Y3" s="972" t="s">
        <v>1960</v>
      </c>
      <c r="Z3" s="972"/>
      <c r="AA3" s="973"/>
    </row>
    <row r="4" spans="4:27" ht="15" customHeight="1" x14ac:dyDescent="0.25">
      <c r="D4" s="991"/>
      <c r="E4" s="992"/>
      <c r="F4" s="992"/>
      <c r="G4" s="992"/>
      <c r="H4" s="992"/>
      <c r="I4" s="992"/>
      <c r="J4" s="992"/>
      <c r="K4" s="992"/>
      <c r="L4" s="992"/>
      <c r="M4" s="992"/>
      <c r="N4" s="992"/>
      <c r="O4" s="992"/>
      <c r="P4" s="992"/>
      <c r="Q4" s="992"/>
      <c r="R4" s="992"/>
      <c r="S4" s="992"/>
      <c r="T4" s="992"/>
      <c r="U4" s="992"/>
      <c r="V4" s="992"/>
      <c r="W4" s="992"/>
      <c r="X4" s="992"/>
      <c r="Y4" s="974">
        <v>46114</v>
      </c>
      <c r="Z4" s="975"/>
      <c r="AA4" s="976"/>
    </row>
    <row r="6" spans="4:27" ht="15.75" thickBot="1" x14ac:dyDescent="0.3">
      <c r="D6" s="276" t="s">
        <v>480</v>
      </c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</row>
    <row r="7" spans="4:27" ht="15" customHeight="1" x14ac:dyDescent="0.25">
      <c r="D7" s="953" t="s">
        <v>506</v>
      </c>
      <c r="E7" s="953"/>
      <c r="F7" s="953"/>
      <c r="G7" s="953"/>
      <c r="H7" s="953"/>
      <c r="I7" s="953"/>
      <c r="J7" s="953"/>
      <c r="K7" s="953"/>
      <c r="L7" s="953"/>
      <c r="M7" s="953"/>
      <c r="N7" s="953"/>
      <c r="O7" s="953"/>
      <c r="P7" s="953"/>
      <c r="Q7" s="953"/>
      <c r="R7" s="953"/>
      <c r="S7" s="953"/>
      <c r="T7" s="953"/>
      <c r="U7" s="953"/>
      <c r="V7" s="953"/>
      <c r="W7" s="953"/>
      <c r="X7" s="953"/>
      <c r="Y7" s="953"/>
      <c r="Z7" s="953"/>
      <c r="AA7" s="953"/>
    </row>
    <row r="8" spans="4:27" x14ac:dyDescent="0.25">
      <c r="D8" s="954"/>
      <c r="E8" s="954"/>
      <c r="F8" s="954"/>
      <c r="G8" s="954"/>
      <c r="H8" s="954"/>
      <c r="I8" s="954"/>
      <c r="J8" s="954"/>
      <c r="K8" s="954"/>
      <c r="L8" s="954"/>
      <c r="M8" s="954"/>
      <c r="N8" s="954"/>
      <c r="O8" s="954"/>
      <c r="P8" s="954"/>
      <c r="Q8" s="954"/>
      <c r="R8" s="954"/>
      <c r="S8" s="954"/>
      <c r="T8" s="954"/>
      <c r="U8" s="954"/>
      <c r="V8" s="954"/>
      <c r="W8" s="954"/>
      <c r="X8" s="954"/>
      <c r="Y8" s="954"/>
      <c r="Z8" s="954"/>
      <c r="AA8" s="954"/>
    </row>
    <row r="9" spans="4:27" x14ac:dyDescent="0.25">
      <c r="D9" s="240" t="s">
        <v>1847</v>
      </c>
    </row>
    <row r="10" spans="4:27" x14ac:dyDescent="0.25">
      <c r="D10" s="359" t="s">
        <v>1532</v>
      </c>
      <c r="E10" s="359"/>
      <c r="F10" s="359"/>
      <c r="G10" s="359"/>
      <c r="H10" s="359"/>
      <c r="I10" s="359"/>
      <c r="J10" s="359"/>
      <c r="K10" s="359"/>
      <c r="L10" s="955" t="s">
        <v>1533</v>
      </c>
      <c r="M10" s="955"/>
      <c r="N10" s="955"/>
      <c r="O10" s="955"/>
      <c r="P10" s="955"/>
      <c r="Q10" s="955"/>
      <c r="R10" s="955"/>
      <c r="S10" s="521" t="s">
        <v>1534</v>
      </c>
      <c r="T10" s="359"/>
      <c r="U10" s="359"/>
      <c r="V10" s="359"/>
      <c r="W10" s="956" t="s">
        <v>1535</v>
      </c>
      <c r="X10" s="956"/>
      <c r="Y10" s="956"/>
      <c r="Z10" s="956"/>
      <c r="AA10" s="956"/>
    </row>
    <row r="11" spans="4:27" x14ac:dyDescent="0.25">
      <c r="D11" s="359" t="s">
        <v>1536</v>
      </c>
      <c r="E11" s="359"/>
      <c r="F11" s="359"/>
      <c r="G11" s="359"/>
      <c r="H11" s="359"/>
      <c r="I11" s="359"/>
      <c r="J11" s="738" t="s">
        <v>1537</v>
      </c>
      <c r="K11" s="359"/>
      <c r="L11" s="359"/>
      <c r="M11" s="359"/>
      <c r="N11" s="359"/>
      <c r="O11" s="359"/>
      <c r="P11" s="359"/>
      <c r="Q11" s="359"/>
      <c r="R11" s="359" t="s">
        <v>1538</v>
      </c>
      <c r="S11" s="359"/>
      <c r="T11" s="359"/>
      <c r="U11" s="359"/>
      <c r="V11" s="359"/>
      <c r="W11" s="359"/>
      <c r="X11" s="359"/>
      <c r="Y11" s="359"/>
      <c r="Z11" s="359"/>
      <c r="AA11" s="359"/>
    </row>
    <row r="13" spans="4:27" ht="15.75" thickBot="1" x14ac:dyDescent="0.3">
      <c r="D13" s="276" t="s">
        <v>481</v>
      </c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</row>
    <row r="14" spans="4:27" x14ac:dyDescent="0.25">
      <c r="D14" s="953" t="s">
        <v>1470</v>
      </c>
      <c r="E14" s="953"/>
      <c r="F14" s="953"/>
      <c r="G14" s="953"/>
      <c r="H14" s="953"/>
      <c r="I14" s="953"/>
      <c r="J14" s="953"/>
      <c r="K14" s="953"/>
      <c r="L14" s="953"/>
      <c r="M14" s="953"/>
      <c r="N14" s="953"/>
      <c r="O14" s="953"/>
      <c r="P14" s="953"/>
      <c r="Q14" s="953"/>
      <c r="R14" s="953"/>
      <c r="S14" s="953"/>
      <c r="T14" s="953"/>
      <c r="U14" s="953"/>
      <c r="V14" s="953"/>
      <c r="W14" s="953"/>
      <c r="X14" s="953"/>
      <c r="Y14" s="953"/>
      <c r="Z14" s="953"/>
      <c r="AA14" s="953"/>
    </row>
    <row r="16" spans="4:27" ht="15.75" thickBot="1" x14ac:dyDescent="0.3">
      <c r="D16" s="276" t="s">
        <v>483</v>
      </c>
      <c r="E16" s="277"/>
      <c r="F16" s="277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</row>
    <row r="17" spans="4:27" x14ac:dyDescent="0.25">
      <c r="D17" s="240" t="s">
        <v>785</v>
      </c>
    </row>
    <row r="18" spans="4:27" x14ac:dyDescent="0.25">
      <c r="D18" s="240" t="s">
        <v>786</v>
      </c>
    </row>
    <row r="19" spans="4:27" x14ac:dyDescent="0.25">
      <c r="D19" s="240" t="s">
        <v>787</v>
      </c>
    </row>
    <row r="20" spans="4:27" x14ac:dyDescent="0.25">
      <c r="D20" s="240" t="s">
        <v>788</v>
      </c>
    </row>
    <row r="21" spans="4:27" x14ac:dyDescent="0.25">
      <c r="D21" s="240" t="s">
        <v>789</v>
      </c>
    </row>
    <row r="22" spans="4:27" x14ac:dyDescent="0.25">
      <c r="D22" s="240" t="s">
        <v>1452</v>
      </c>
    </row>
    <row r="23" spans="4:27" x14ac:dyDescent="0.25">
      <c r="D23" s="240" t="s">
        <v>986</v>
      </c>
    </row>
    <row r="24" spans="4:27" x14ac:dyDescent="0.25">
      <c r="D24" s="240" t="s">
        <v>1478</v>
      </c>
    </row>
    <row r="25" spans="4:27" x14ac:dyDescent="0.25">
      <c r="D25" s="240" t="s">
        <v>1539</v>
      </c>
    </row>
    <row r="32" spans="4:27" ht="15.75" thickBot="1" x14ac:dyDescent="0.3">
      <c r="D32" s="276" t="s">
        <v>482</v>
      </c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</row>
    <row r="34" spans="4:27" x14ac:dyDescent="0.25">
      <c r="E34" s="240" t="s">
        <v>484</v>
      </c>
      <c r="X34" s="977"/>
      <c r="Y34" s="978"/>
      <c r="Z34" s="979"/>
    </row>
    <row r="36" spans="4:27" x14ac:dyDescent="0.25">
      <c r="E36" s="240" t="s">
        <v>617</v>
      </c>
      <c r="X36" s="980" t="s">
        <v>618</v>
      </c>
      <c r="Y36" s="981"/>
      <c r="Z36" s="982"/>
    </row>
    <row r="38" spans="4:27" x14ac:dyDescent="0.25">
      <c r="E38" s="240" t="s">
        <v>613</v>
      </c>
      <c r="X38" s="983"/>
      <c r="Y38" s="984"/>
      <c r="Z38" s="985"/>
    </row>
    <row r="40" spans="4:27" ht="15.75" thickBot="1" x14ac:dyDescent="0.3">
      <c r="D40" s="276" t="s">
        <v>486</v>
      </c>
      <c r="E40" s="277"/>
      <c r="F40" s="277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</row>
    <row r="42" spans="4:27" ht="15.75" x14ac:dyDescent="0.25">
      <c r="E42" s="986" t="s">
        <v>501</v>
      </c>
      <c r="F42" s="987"/>
      <c r="G42" s="987"/>
      <c r="H42" s="987"/>
      <c r="I42" s="987"/>
      <c r="J42" s="987"/>
      <c r="K42" s="987"/>
      <c r="L42" s="987"/>
      <c r="M42" s="987"/>
      <c r="N42" s="987"/>
      <c r="O42" s="987"/>
      <c r="P42" s="987"/>
      <c r="Q42" s="987"/>
      <c r="R42" s="987"/>
      <c r="S42" s="987"/>
      <c r="T42" s="987"/>
      <c r="U42" s="987"/>
      <c r="V42" s="987"/>
      <c r="W42" s="987"/>
      <c r="X42" s="987"/>
      <c r="Y42" s="987"/>
      <c r="Z42" s="988"/>
    </row>
    <row r="43" spans="4:27" x14ac:dyDescent="0.25">
      <c r="E43" s="957" t="s">
        <v>488</v>
      </c>
      <c r="F43" s="957"/>
      <c r="G43" s="957"/>
      <c r="I43" s="957" t="s">
        <v>491</v>
      </c>
      <c r="J43" s="957"/>
      <c r="K43" s="957"/>
      <c r="M43" s="957" t="s">
        <v>489</v>
      </c>
      <c r="N43" s="957"/>
      <c r="P43" s="946" t="s">
        <v>490</v>
      </c>
      <c r="Q43" s="946"/>
      <c r="S43" s="946" t="s">
        <v>499</v>
      </c>
      <c r="T43" s="946"/>
      <c r="V43" s="946" t="s">
        <v>500</v>
      </c>
      <c r="W43" s="946"/>
      <c r="Y43" s="957" t="s">
        <v>507</v>
      </c>
      <c r="Z43" s="957"/>
    </row>
    <row r="44" spans="4:27" x14ac:dyDescent="0.25">
      <c r="E44" s="998" t="s">
        <v>487</v>
      </c>
      <c r="F44" s="999"/>
      <c r="G44" s="1000"/>
      <c r="I44" s="998" t="s">
        <v>1988</v>
      </c>
      <c r="J44" s="999"/>
      <c r="K44" s="1000"/>
      <c r="M44" s="958" t="s">
        <v>653</v>
      </c>
      <c r="N44" s="959"/>
      <c r="P44" s="958" t="s">
        <v>652</v>
      </c>
      <c r="Q44" s="959"/>
      <c r="S44" s="958" t="s">
        <v>912</v>
      </c>
      <c r="T44" s="959"/>
      <c r="V44" s="958" t="s">
        <v>1367</v>
      </c>
      <c r="W44" s="959"/>
      <c r="Y44" s="958" t="s">
        <v>651</v>
      </c>
      <c r="Z44" s="959"/>
    </row>
    <row r="46" spans="4:27" x14ac:dyDescent="0.25">
      <c r="G46" s="946" t="s">
        <v>508</v>
      </c>
      <c r="H46" s="946"/>
      <c r="I46" s="946"/>
      <c r="K46" s="939" t="s">
        <v>509</v>
      </c>
      <c r="L46" s="939"/>
      <c r="N46" s="939" t="s">
        <v>510</v>
      </c>
      <c r="O46" s="939"/>
      <c r="Q46" s="957" t="s">
        <v>511</v>
      </c>
      <c r="R46" s="957"/>
      <c r="T46" s="957" t="s">
        <v>649</v>
      </c>
      <c r="U46" s="957"/>
    </row>
    <row r="47" spans="4:27" x14ac:dyDescent="0.25">
      <c r="G47" s="958" t="s">
        <v>1384</v>
      </c>
      <c r="H47" s="968"/>
      <c r="I47" s="959"/>
      <c r="K47" s="958" t="s">
        <v>1387</v>
      </c>
      <c r="L47" s="959"/>
      <c r="N47" s="958" t="s">
        <v>1281</v>
      </c>
      <c r="O47" s="959"/>
      <c r="Q47" s="958" t="s">
        <v>650</v>
      </c>
      <c r="R47" s="959"/>
      <c r="T47" s="966" t="s">
        <v>205</v>
      </c>
      <c r="U47" s="967"/>
    </row>
    <row r="49" spans="4:27" ht="15.75" x14ac:dyDescent="0.25">
      <c r="E49" s="965" t="s">
        <v>492</v>
      </c>
      <c r="F49" s="965"/>
      <c r="G49" s="965"/>
      <c r="H49" s="965"/>
      <c r="I49" s="965"/>
      <c r="J49" s="965"/>
      <c r="K49" s="965"/>
      <c r="L49" s="965"/>
      <c r="M49" s="965"/>
      <c r="N49" s="965"/>
      <c r="O49" s="965"/>
      <c r="P49" s="965"/>
      <c r="Q49" s="965"/>
      <c r="R49" s="965"/>
      <c r="S49" s="965"/>
      <c r="T49" s="965"/>
      <c r="U49" s="965"/>
      <c r="V49" s="965"/>
      <c r="W49" s="965"/>
      <c r="X49" s="965"/>
      <c r="Y49" s="965"/>
    </row>
    <row r="50" spans="4:27" x14ac:dyDescent="0.25">
      <c r="E50" s="957" t="s">
        <v>913</v>
      </c>
      <c r="F50" s="957"/>
      <c r="H50" s="957" t="s">
        <v>1368</v>
      </c>
      <c r="I50" s="957"/>
      <c r="K50" s="957" t="s">
        <v>1385</v>
      </c>
      <c r="L50" s="957"/>
      <c r="M50" s="957"/>
      <c r="O50" s="957" t="s">
        <v>1386</v>
      </c>
      <c r="P50" s="957"/>
      <c r="Q50" s="957"/>
      <c r="S50" s="957" t="s">
        <v>1474</v>
      </c>
      <c r="T50" s="957"/>
      <c r="U50" s="957"/>
      <c r="W50" s="957" t="s">
        <v>1962</v>
      </c>
      <c r="X50" s="957"/>
      <c r="Y50" s="957"/>
    </row>
    <row r="51" spans="4:27" x14ac:dyDescent="0.25">
      <c r="E51" s="962" t="s">
        <v>493</v>
      </c>
      <c r="F51" s="964"/>
      <c r="H51" s="962" t="s">
        <v>494</v>
      </c>
      <c r="I51" s="964"/>
      <c r="K51" s="962" t="s">
        <v>495</v>
      </c>
      <c r="L51" s="963"/>
      <c r="M51" s="964"/>
      <c r="O51" s="962" t="s">
        <v>496</v>
      </c>
      <c r="P51" s="963"/>
      <c r="Q51" s="964"/>
      <c r="S51" s="962" t="s">
        <v>497</v>
      </c>
      <c r="T51" s="963"/>
      <c r="U51" s="964"/>
      <c r="W51" s="962" t="s">
        <v>498</v>
      </c>
      <c r="X51" s="963"/>
      <c r="Y51" s="964"/>
    </row>
    <row r="53" spans="4:27" ht="15.75" thickBot="1" x14ac:dyDescent="0.3">
      <c r="D53" s="276" t="s">
        <v>502</v>
      </c>
      <c r="E53" s="277"/>
      <c r="F53" s="277"/>
      <c r="G53" s="277"/>
      <c r="H53" s="277"/>
      <c r="I53" s="277"/>
      <c r="J53" s="277"/>
      <c r="K53" s="277"/>
      <c r="L53" s="277"/>
      <c r="M53" s="277"/>
      <c r="N53" s="277"/>
      <c r="O53" s="277"/>
      <c r="P53" s="277"/>
      <c r="Q53" s="277"/>
      <c r="R53" s="277"/>
      <c r="S53" s="277"/>
      <c r="T53" s="277"/>
      <c r="U53" s="277"/>
      <c r="V53" s="277"/>
      <c r="W53" s="277"/>
      <c r="X53" s="277"/>
      <c r="Y53" s="277"/>
      <c r="Z53" s="277"/>
      <c r="AA53" s="277"/>
    </row>
    <row r="55" spans="4:27" x14ac:dyDescent="0.25">
      <c r="D55" s="970" t="s">
        <v>503</v>
      </c>
      <c r="E55" s="970"/>
      <c r="F55" s="971"/>
      <c r="G55" s="969" t="s">
        <v>504</v>
      </c>
      <c r="H55" s="970"/>
      <c r="I55" s="971"/>
      <c r="J55" s="969" t="s">
        <v>505</v>
      </c>
      <c r="K55" s="970"/>
      <c r="L55" s="970"/>
      <c r="M55" s="970"/>
      <c r="N55" s="970"/>
      <c r="O55" s="970"/>
      <c r="P55" s="970"/>
      <c r="Q55" s="970"/>
      <c r="R55" s="970"/>
      <c r="S55" s="970"/>
      <c r="T55" s="970"/>
      <c r="U55" s="970"/>
      <c r="V55" s="970"/>
      <c r="W55" s="970"/>
      <c r="X55" s="970"/>
      <c r="Y55" s="970"/>
      <c r="Z55" s="970"/>
      <c r="AA55" s="970"/>
    </row>
    <row r="56" spans="4:27" x14ac:dyDescent="0.25">
      <c r="D56" s="993" t="s">
        <v>796</v>
      </c>
      <c r="E56" s="993"/>
      <c r="F56" s="994"/>
      <c r="G56" s="995" t="s">
        <v>795</v>
      </c>
      <c r="H56" s="996"/>
      <c r="I56" s="997"/>
      <c r="J56" s="960" t="s">
        <v>614</v>
      </c>
      <c r="K56" s="961"/>
      <c r="L56" s="961"/>
      <c r="M56" s="961"/>
      <c r="N56" s="961"/>
      <c r="O56" s="961"/>
      <c r="P56" s="961"/>
      <c r="Q56" s="961"/>
      <c r="R56" s="961"/>
      <c r="S56" s="961"/>
      <c r="T56" s="961"/>
      <c r="U56" s="961"/>
      <c r="V56" s="961"/>
      <c r="W56" s="961"/>
      <c r="X56" s="961"/>
      <c r="Y56" s="961"/>
      <c r="Z56" s="961"/>
      <c r="AA56" s="961"/>
    </row>
    <row r="57" spans="4:27" hidden="1" x14ac:dyDescent="0.25">
      <c r="D57" s="946" t="s">
        <v>798</v>
      </c>
      <c r="E57" s="946"/>
      <c r="F57" s="947"/>
      <c r="G57" s="948">
        <v>44637</v>
      </c>
      <c r="H57" s="949"/>
      <c r="I57" s="950"/>
      <c r="J57" s="951" t="s">
        <v>799</v>
      </c>
      <c r="K57" s="952"/>
      <c r="L57" s="952"/>
      <c r="M57" s="952"/>
      <c r="N57" s="952"/>
      <c r="O57" s="952"/>
      <c r="P57" s="952"/>
      <c r="Q57" s="952"/>
      <c r="R57" s="952"/>
      <c r="S57" s="952"/>
      <c r="T57" s="952"/>
      <c r="U57" s="952"/>
      <c r="V57" s="952"/>
      <c r="W57" s="952"/>
      <c r="X57" s="952"/>
      <c r="Y57" s="952"/>
      <c r="Z57" s="952"/>
      <c r="AA57" s="952"/>
    </row>
    <row r="58" spans="4:27" hidden="1" x14ac:dyDescent="0.25">
      <c r="D58" s="946" t="s">
        <v>804</v>
      </c>
      <c r="E58" s="946"/>
      <c r="F58" s="947"/>
      <c r="G58" s="948">
        <v>44672</v>
      </c>
      <c r="H58" s="949"/>
      <c r="I58" s="950"/>
      <c r="J58" s="951" t="s">
        <v>805</v>
      </c>
      <c r="K58" s="952"/>
      <c r="L58" s="952"/>
      <c r="M58" s="952"/>
      <c r="N58" s="952"/>
      <c r="O58" s="952"/>
      <c r="P58" s="952"/>
      <c r="Q58" s="952"/>
      <c r="R58" s="952"/>
      <c r="S58" s="952"/>
      <c r="T58" s="952"/>
      <c r="U58" s="952"/>
      <c r="V58" s="952"/>
      <c r="W58" s="952"/>
      <c r="X58" s="952"/>
      <c r="Y58" s="952"/>
      <c r="Z58" s="952"/>
      <c r="AA58" s="952"/>
    </row>
    <row r="59" spans="4:27" hidden="1" x14ac:dyDescent="0.25">
      <c r="D59" s="946" t="s">
        <v>808</v>
      </c>
      <c r="E59" s="946"/>
      <c r="F59" s="947"/>
      <c r="G59" s="948" t="s">
        <v>812</v>
      </c>
      <c r="H59" s="949"/>
      <c r="I59" s="950"/>
      <c r="J59" s="951" t="s">
        <v>811</v>
      </c>
      <c r="K59" s="952"/>
      <c r="L59" s="952"/>
      <c r="M59" s="952"/>
      <c r="N59" s="952"/>
      <c r="O59" s="952"/>
      <c r="P59" s="952"/>
      <c r="Q59" s="952"/>
      <c r="R59" s="952"/>
      <c r="S59" s="952"/>
      <c r="T59" s="952"/>
      <c r="U59" s="952"/>
      <c r="V59" s="952"/>
      <c r="W59" s="952"/>
      <c r="X59" s="952"/>
      <c r="Y59" s="952"/>
      <c r="Z59" s="952"/>
      <c r="AA59" s="952"/>
    </row>
    <row r="60" spans="4:27" hidden="1" x14ac:dyDescent="0.25">
      <c r="D60" s="946" t="s">
        <v>914</v>
      </c>
      <c r="E60" s="946"/>
      <c r="F60" s="947"/>
      <c r="G60" s="948" t="s">
        <v>888</v>
      </c>
      <c r="H60" s="949"/>
      <c r="I60" s="950"/>
      <c r="J60" s="951" t="s">
        <v>855</v>
      </c>
      <c r="K60" s="952"/>
      <c r="L60" s="952"/>
      <c r="M60" s="952"/>
      <c r="N60" s="952"/>
      <c r="O60" s="952"/>
      <c r="P60" s="952"/>
      <c r="Q60" s="952"/>
      <c r="R60" s="952"/>
      <c r="S60" s="952"/>
      <c r="T60" s="952"/>
      <c r="U60" s="952"/>
      <c r="V60" s="952"/>
      <c r="W60" s="952"/>
      <c r="X60" s="952"/>
      <c r="Y60" s="952"/>
      <c r="Z60" s="952"/>
      <c r="AA60" s="952"/>
    </row>
    <row r="61" spans="4:27" hidden="1" x14ac:dyDescent="0.25">
      <c r="D61" s="946" t="s">
        <v>915</v>
      </c>
      <c r="E61" s="946"/>
      <c r="F61" s="947"/>
      <c r="G61" s="948" t="s">
        <v>888</v>
      </c>
      <c r="H61" s="949"/>
      <c r="I61" s="950"/>
      <c r="J61" s="951" t="s">
        <v>854</v>
      </c>
      <c r="K61" s="952"/>
      <c r="L61" s="952"/>
      <c r="M61" s="952"/>
      <c r="N61" s="952"/>
      <c r="O61" s="952"/>
      <c r="P61" s="952"/>
      <c r="Q61" s="952"/>
      <c r="R61" s="952"/>
      <c r="S61" s="952"/>
      <c r="T61" s="952"/>
      <c r="U61" s="952"/>
      <c r="V61" s="952"/>
      <c r="W61" s="952"/>
      <c r="X61" s="952"/>
      <c r="Y61" s="952"/>
      <c r="Z61" s="952"/>
      <c r="AA61" s="952"/>
    </row>
    <row r="62" spans="4:27" hidden="1" x14ac:dyDescent="0.25">
      <c r="D62" s="946" t="s">
        <v>916</v>
      </c>
      <c r="E62" s="946"/>
      <c r="F62" s="947"/>
      <c r="G62" s="948" t="s">
        <v>888</v>
      </c>
      <c r="H62" s="949"/>
      <c r="I62" s="950"/>
      <c r="J62" s="951" t="s">
        <v>856</v>
      </c>
      <c r="K62" s="952"/>
      <c r="L62" s="952"/>
      <c r="M62" s="952"/>
      <c r="N62" s="952"/>
      <c r="O62" s="952"/>
      <c r="P62" s="952"/>
      <c r="Q62" s="952"/>
      <c r="R62" s="952"/>
      <c r="S62" s="952"/>
      <c r="T62" s="952"/>
      <c r="U62" s="952"/>
      <c r="V62" s="952"/>
      <c r="W62" s="952"/>
      <c r="X62" s="952"/>
      <c r="Y62" s="952"/>
      <c r="Z62" s="952"/>
      <c r="AA62" s="952"/>
    </row>
    <row r="63" spans="4:27" hidden="1" x14ac:dyDescent="0.25">
      <c r="D63" s="946" t="s">
        <v>952</v>
      </c>
      <c r="E63" s="946"/>
      <c r="F63" s="947"/>
      <c r="G63" s="948" t="s">
        <v>985</v>
      </c>
      <c r="H63" s="949"/>
      <c r="I63" s="950"/>
      <c r="J63" s="951" t="s">
        <v>983</v>
      </c>
      <c r="K63" s="952"/>
      <c r="L63" s="952"/>
      <c r="M63" s="952"/>
      <c r="N63" s="952"/>
      <c r="O63" s="952"/>
      <c r="P63" s="952"/>
      <c r="Q63" s="952"/>
      <c r="R63" s="952"/>
      <c r="S63" s="952"/>
      <c r="T63" s="952"/>
      <c r="U63" s="952"/>
      <c r="V63" s="952"/>
      <c r="W63" s="952"/>
      <c r="X63" s="952"/>
      <c r="Y63" s="952"/>
      <c r="Z63" s="952"/>
      <c r="AA63" s="952"/>
    </row>
    <row r="64" spans="4:27" hidden="1" x14ac:dyDescent="0.25">
      <c r="D64" s="946" t="s">
        <v>984</v>
      </c>
      <c r="E64" s="946"/>
      <c r="F64" s="947"/>
      <c r="G64" s="948">
        <v>44805</v>
      </c>
      <c r="H64" s="949"/>
      <c r="I64" s="950"/>
      <c r="J64" s="951" t="s">
        <v>1016</v>
      </c>
      <c r="K64" s="952"/>
      <c r="L64" s="952"/>
      <c r="M64" s="952"/>
      <c r="N64" s="952"/>
      <c r="O64" s="952"/>
      <c r="P64" s="952"/>
      <c r="Q64" s="952"/>
      <c r="R64" s="952"/>
      <c r="S64" s="952"/>
      <c r="T64" s="952"/>
      <c r="U64" s="952"/>
      <c r="V64" s="952"/>
      <c r="W64" s="952"/>
      <c r="X64" s="952"/>
      <c r="Y64" s="952"/>
      <c r="Z64" s="952"/>
      <c r="AA64" s="952"/>
    </row>
    <row r="65" spans="4:27" hidden="1" x14ac:dyDescent="0.25">
      <c r="D65" s="946"/>
      <c r="E65" s="946"/>
      <c r="F65" s="947"/>
      <c r="G65" s="948"/>
      <c r="H65" s="949"/>
      <c r="I65" s="950"/>
      <c r="J65" s="951" t="s">
        <v>1017</v>
      </c>
      <c r="K65" s="952"/>
      <c r="L65" s="952"/>
      <c r="M65" s="952"/>
      <c r="N65" s="952"/>
      <c r="O65" s="952"/>
      <c r="P65" s="952"/>
      <c r="Q65" s="952"/>
      <c r="R65" s="952"/>
      <c r="S65" s="952"/>
      <c r="T65" s="952"/>
      <c r="U65" s="952"/>
      <c r="V65" s="952"/>
      <c r="W65" s="952"/>
      <c r="X65" s="952"/>
      <c r="Y65" s="952"/>
      <c r="Z65" s="952"/>
      <c r="AA65" s="952"/>
    </row>
    <row r="66" spans="4:27" hidden="1" x14ac:dyDescent="0.25">
      <c r="D66" s="946" t="s">
        <v>1018</v>
      </c>
      <c r="E66" s="946"/>
      <c r="F66" s="947"/>
      <c r="G66" s="948" t="s">
        <v>1021</v>
      </c>
      <c r="H66" s="949"/>
      <c r="I66" s="950"/>
      <c r="J66" s="951" t="s">
        <v>1019</v>
      </c>
      <c r="K66" s="952"/>
      <c r="L66" s="952"/>
      <c r="M66" s="952"/>
      <c r="N66" s="952"/>
      <c r="O66" s="952"/>
      <c r="P66" s="952"/>
      <c r="Q66" s="952"/>
      <c r="R66" s="952"/>
      <c r="S66" s="952"/>
      <c r="T66" s="952"/>
      <c r="U66" s="952"/>
      <c r="V66" s="952"/>
      <c r="W66" s="952"/>
      <c r="X66" s="952"/>
      <c r="Y66" s="952"/>
      <c r="Z66" s="952"/>
      <c r="AA66" s="952"/>
    </row>
    <row r="67" spans="4:27" hidden="1" x14ac:dyDescent="0.25">
      <c r="D67" s="946" t="s">
        <v>1020</v>
      </c>
      <c r="E67" s="946"/>
      <c r="F67" s="947"/>
      <c r="G67" s="948" t="s">
        <v>1024</v>
      </c>
      <c r="H67" s="949"/>
      <c r="I67" s="950"/>
      <c r="J67" s="951" t="s">
        <v>1025</v>
      </c>
      <c r="K67" s="952"/>
      <c r="L67" s="952"/>
      <c r="M67" s="952"/>
      <c r="N67" s="952"/>
      <c r="O67" s="952"/>
      <c r="P67" s="952"/>
      <c r="Q67" s="952"/>
      <c r="R67" s="952"/>
      <c r="S67" s="952"/>
      <c r="T67" s="952"/>
      <c r="U67" s="952"/>
      <c r="V67" s="952"/>
      <c r="W67" s="952"/>
      <c r="X67" s="952"/>
      <c r="Y67" s="952"/>
      <c r="Z67" s="952"/>
      <c r="AA67" s="952"/>
    </row>
    <row r="68" spans="4:27" hidden="1" x14ac:dyDescent="0.25">
      <c r="D68" s="946" t="s">
        <v>1027</v>
      </c>
      <c r="E68" s="946"/>
      <c r="F68" s="947"/>
      <c r="G68" s="948" t="s">
        <v>1026</v>
      </c>
      <c r="H68" s="949"/>
      <c r="I68" s="950"/>
      <c r="J68" s="951" t="s">
        <v>1028</v>
      </c>
      <c r="K68" s="952"/>
      <c r="L68" s="952"/>
      <c r="M68" s="952"/>
      <c r="N68" s="952"/>
      <c r="O68" s="952"/>
      <c r="P68" s="952"/>
      <c r="Q68" s="952"/>
      <c r="R68" s="952"/>
      <c r="S68" s="952"/>
      <c r="T68" s="952"/>
      <c r="U68" s="952"/>
      <c r="V68" s="952"/>
      <c r="W68" s="952"/>
      <c r="X68" s="952"/>
      <c r="Y68" s="952"/>
      <c r="Z68" s="952"/>
      <c r="AA68" s="952"/>
    </row>
    <row r="69" spans="4:27" hidden="1" x14ac:dyDescent="0.25">
      <c r="D69" s="946"/>
      <c r="E69" s="946"/>
      <c r="F69" s="947"/>
      <c r="G69" s="948"/>
      <c r="H69" s="949"/>
      <c r="I69" s="950"/>
      <c r="J69" s="951" t="s">
        <v>1031</v>
      </c>
      <c r="K69" s="952"/>
      <c r="L69" s="952"/>
      <c r="M69" s="952"/>
      <c r="N69" s="952"/>
      <c r="O69" s="952"/>
      <c r="P69" s="952"/>
      <c r="Q69" s="952"/>
      <c r="R69" s="952"/>
      <c r="S69" s="952"/>
      <c r="T69" s="952"/>
      <c r="U69" s="952"/>
      <c r="V69" s="952"/>
      <c r="W69" s="952"/>
      <c r="X69" s="952"/>
      <c r="Y69" s="952"/>
      <c r="Z69" s="952"/>
      <c r="AA69" s="952"/>
    </row>
    <row r="70" spans="4:27" hidden="1" x14ac:dyDescent="0.25">
      <c r="D70" s="946" t="s">
        <v>1101</v>
      </c>
      <c r="E70" s="946"/>
      <c r="F70" s="947"/>
      <c r="G70" s="948" t="s">
        <v>1163</v>
      </c>
      <c r="H70" s="949"/>
      <c r="I70" s="950"/>
      <c r="J70" s="951" t="s">
        <v>987</v>
      </c>
      <c r="K70" s="952"/>
      <c r="L70" s="952"/>
      <c r="M70" s="952"/>
      <c r="N70" s="952"/>
      <c r="O70" s="952"/>
      <c r="P70" s="952"/>
      <c r="Q70" s="952"/>
      <c r="R70" s="952"/>
      <c r="S70" s="952"/>
      <c r="T70" s="952"/>
      <c r="U70" s="952"/>
      <c r="V70" s="952"/>
      <c r="W70" s="952"/>
      <c r="X70" s="952"/>
      <c r="Y70" s="952"/>
      <c r="Z70" s="952"/>
      <c r="AA70" s="952"/>
    </row>
    <row r="71" spans="4:27" hidden="1" x14ac:dyDescent="0.25">
      <c r="D71" s="946" t="s">
        <v>1165</v>
      </c>
      <c r="E71" s="946"/>
      <c r="F71" s="947"/>
      <c r="G71" s="948" t="s">
        <v>1164</v>
      </c>
      <c r="H71" s="949"/>
      <c r="I71" s="950"/>
      <c r="J71" s="951" t="s">
        <v>1166</v>
      </c>
      <c r="K71" s="952"/>
      <c r="L71" s="952"/>
      <c r="M71" s="952"/>
      <c r="N71" s="952"/>
      <c r="O71" s="952"/>
      <c r="P71" s="952"/>
      <c r="Q71" s="952"/>
      <c r="R71" s="952"/>
      <c r="S71" s="952"/>
      <c r="T71" s="952"/>
      <c r="U71" s="952"/>
      <c r="V71" s="952"/>
      <c r="W71" s="952"/>
      <c r="X71" s="952"/>
      <c r="Y71" s="952"/>
      <c r="Z71" s="952"/>
      <c r="AA71" s="952"/>
    </row>
    <row r="72" spans="4:27" hidden="1" x14ac:dyDescent="0.25">
      <c r="D72" s="946" t="s">
        <v>1167</v>
      </c>
      <c r="E72" s="946"/>
      <c r="F72" s="947"/>
      <c r="G72" s="948" t="s">
        <v>1168</v>
      </c>
      <c r="H72" s="949"/>
      <c r="I72" s="950"/>
      <c r="J72" s="951" t="s">
        <v>1169</v>
      </c>
      <c r="K72" s="952"/>
      <c r="L72" s="952"/>
      <c r="M72" s="952"/>
      <c r="N72" s="952"/>
      <c r="O72" s="952"/>
      <c r="P72" s="952"/>
      <c r="Q72" s="952"/>
      <c r="R72" s="952"/>
      <c r="S72" s="952"/>
      <c r="T72" s="952"/>
      <c r="U72" s="952"/>
      <c r="V72" s="952"/>
      <c r="W72" s="952"/>
      <c r="X72" s="952"/>
      <c r="Y72" s="952"/>
      <c r="Z72" s="952"/>
      <c r="AA72" s="952"/>
    </row>
    <row r="73" spans="4:27" hidden="1" x14ac:dyDescent="0.25">
      <c r="D73" s="946"/>
      <c r="E73" s="946"/>
      <c r="F73" s="947"/>
      <c r="G73" s="948"/>
      <c r="H73" s="949"/>
      <c r="I73" s="950"/>
      <c r="J73" s="951" t="s">
        <v>1204</v>
      </c>
      <c r="K73" s="952"/>
      <c r="L73" s="952"/>
      <c r="M73" s="952"/>
      <c r="N73" s="952"/>
      <c r="O73" s="952"/>
      <c r="P73" s="952"/>
      <c r="Q73" s="952"/>
      <c r="R73" s="952"/>
      <c r="S73" s="952"/>
      <c r="T73" s="952"/>
      <c r="U73" s="952"/>
      <c r="V73" s="952"/>
      <c r="W73" s="952"/>
      <c r="X73" s="952"/>
      <c r="Y73" s="952"/>
      <c r="Z73" s="952"/>
      <c r="AA73" s="952"/>
    </row>
    <row r="74" spans="4:27" hidden="1" x14ac:dyDescent="0.25">
      <c r="D74" s="946" t="s">
        <v>1365</v>
      </c>
      <c r="E74" s="946"/>
      <c r="F74" s="947"/>
      <c r="G74" s="948" t="s">
        <v>1366</v>
      </c>
      <c r="H74" s="949"/>
      <c r="I74" s="950"/>
      <c r="J74" s="951" t="s">
        <v>1205</v>
      </c>
      <c r="K74" s="952"/>
      <c r="L74" s="952"/>
      <c r="M74" s="952"/>
      <c r="N74" s="952"/>
      <c r="O74" s="952"/>
      <c r="P74" s="952"/>
      <c r="Q74" s="952"/>
      <c r="R74" s="952"/>
      <c r="S74" s="952"/>
      <c r="T74" s="952"/>
      <c r="U74" s="952"/>
      <c r="V74" s="952"/>
      <c r="W74" s="952"/>
      <c r="X74" s="952"/>
      <c r="Y74" s="952"/>
      <c r="Z74" s="952"/>
      <c r="AA74" s="952"/>
    </row>
    <row r="75" spans="4:27" hidden="1" x14ac:dyDescent="0.25">
      <c r="D75" s="946" t="s">
        <v>1383</v>
      </c>
      <c r="E75" s="946"/>
      <c r="F75" s="947"/>
      <c r="G75" s="948" t="s">
        <v>1381</v>
      </c>
      <c r="H75" s="949"/>
      <c r="I75" s="950"/>
      <c r="J75" s="951" t="s">
        <v>1378</v>
      </c>
      <c r="K75" s="952"/>
      <c r="L75" s="952"/>
      <c r="M75" s="952"/>
      <c r="N75" s="952"/>
      <c r="O75" s="952"/>
      <c r="P75" s="952"/>
      <c r="Q75" s="952"/>
      <c r="R75" s="952"/>
      <c r="S75" s="952"/>
      <c r="T75" s="952"/>
      <c r="U75" s="952"/>
      <c r="V75" s="952"/>
      <c r="W75" s="952"/>
      <c r="X75" s="952"/>
      <c r="Y75" s="952"/>
      <c r="Z75" s="952"/>
      <c r="AA75" s="952"/>
    </row>
    <row r="76" spans="4:27" hidden="1" x14ac:dyDescent="0.25">
      <c r="G76" s="948"/>
      <c r="H76" s="949"/>
      <c r="I76" s="950"/>
      <c r="J76" s="1001" t="s">
        <v>1379</v>
      </c>
      <c r="K76" s="1002"/>
      <c r="L76" s="1002"/>
      <c r="M76" s="1002"/>
      <c r="N76" s="1002"/>
      <c r="O76" s="1002"/>
      <c r="P76" s="1002"/>
      <c r="Q76" s="1002"/>
      <c r="R76" s="1002"/>
      <c r="S76" s="1002"/>
      <c r="T76" s="1002"/>
      <c r="U76" s="1002"/>
      <c r="V76" s="1002"/>
      <c r="W76" s="1002"/>
      <c r="X76" s="1002"/>
      <c r="Y76" s="1002"/>
      <c r="Z76" s="1002"/>
      <c r="AA76" s="1002"/>
    </row>
    <row r="77" spans="4:27" hidden="1" x14ac:dyDescent="0.25">
      <c r="G77" s="948"/>
      <c r="H77" s="949"/>
      <c r="I77" s="950"/>
      <c r="J77" s="1001" t="s">
        <v>1380</v>
      </c>
      <c r="K77" s="1002"/>
      <c r="L77" s="1002"/>
      <c r="M77" s="1002"/>
      <c r="N77" s="1002"/>
      <c r="O77" s="1002"/>
      <c r="P77" s="1002"/>
      <c r="Q77" s="1002"/>
      <c r="R77" s="1002"/>
      <c r="S77" s="1002"/>
      <c r="T77" s="1002"/>
      <c r="U77" s="1002"/>
      <c r="V77" s="1002"/>
      <c r="W77" s="1002"/>
      <c r="X77" s="1002"/>
      <c r="Y77" s="1002"/>
      <c r="Z77" s="1002"/>
      <c r="AA77" s="1002"/>
    </row>
    <row r="78" spans="4:27" x14ac:dyDescent="0.25">
      <c r="D78" s="946" t="s">
        <v>1388</v>
      </c>
      <c r="E78" s="946"/>
      <c r="F78" s="947"/>
      <c r="G78" s="948" t="s">
        <v>1540</v>
      </c>
      <c r="H78" s="949"/>
      <c r="I78" s="950"/>
      <c r="J78" s="951" t="s">
        <v>1475</v>
      </c>
      <c r="K78" s="952"/>
      <c r="L78" s="952"/>
      <c r="M78" s="952"/>
      <c r="N78" s="952"/>
      <c r="O78" s="952"/>
      <c r="P78" s="952"/>
      <c r="Q78" s="952"/>
      <c r="R78" s="952"/>
      <c r="S78" s="952"/>
      <c r="T78" s="952"/>
      <c r="U78" s="952"/>
      <c r="V78" s="952"/>
      <c r="W78" s="952"/>
      <c r="X78" s="952"/>
      <c r="Y78" s="952"/>
      <c r="Z78" s="952"/>
      <c r="AA78" s="952"/>
    </row>
    <row r="79" spans="4:27" x14ac:dyDescent="0.25">
      <c r="D79" s="946"/>
      <c r="E79" s="946"/>
      <c r="F79" s="947"/>
      <c r="G79" s="948"/>
      <c r="H79" s="949"/>
      <c r="I79" s="950"/>
      <c r="J79" s="951" t="s">
        <v>1469</v>
      </c>
      <c r="K79" s="952"/>
      <c r="L79" s="952"/>
      <c r="M79" s="952"/>
      <c r="N79" s="952"/>
      <c r="O79" s="952"/>
      <c r="P79" s="952"/>
      <c r="Q79" s="952"/>
      <c r="R79" s="952"/>
      <c r="S79" s="952"/>
      <c r="T79" s="952"/>
      <c r="U79" s="952"/>
      <c r="V79" s="952"/>
      <c r="W79" s="952"/>
      <c r="X79" s="952"/>
      <c r="Y79" s="952"/>
      <c r="Z79" s="952"/>
      <c r="AA79" s="952"/>
    </row>
    <row r="80" spans="4:27" x14ac:dyDescent="0.25">
      <c r="D80" s="946"/>
      <c r="E80" s="946"/>
      <c r="F80" s="947"/>
      <c r="G80" s="948"/>
      <c r="H80" s="949"/>
      <c r="I80" s="950"/>
      <c r="J80" s="951" t="s">
        <v>1389</v>
      </c>
      <c r="K80" s="952"/>
      <c r="L80" s="952"/>
      <c r="M80" s="952"/>
      <c r="N80" s="952"/>
      <c r="O80" s="952"/>
      <c r="P80" s="952"/>
      <c r="Q80" s="952"/>
      <c r="R80" s="952"/>
      <c r="S80" s="952"/>
      <c r="T80" s="952"/>
      <c r="U80" s="952"/>
      <c r="V80" s="952"/>
      <c r="W80" s="952"/>
      <c r="X80" s="952"/>
      <c r="Y80" s="952"/>
      <c r="Z80" s="952"/>
      <c r="AA80" s="952"/>
    </row>
    <row r="81" spans="4:28" x14ac:dyDescent="0.25">
      <c r="D81" s="946"/>
      <c r="E81" s="946"/>
      <c r="F81" s="947"/>
      <c r="G81" s="948"/>
      <c r="H81" s="949"/>
      <c r="I81" s="950"/>
      <c r="J81" s="951" t="s">
        <v>1499</v>
      </c>
      <c r="K81" s="952"/>
      <c r="L81" s="952"/>
      <c r="M81" s="952"/>
      <c r="N81" s="952"/>
      <c r="O81" s="952"/>
      <c r="P81" s="952"/>
      <c r="Q81" s="952"/>
      <c r="R81" s="952"/>
      <c r="S81" s="952"/>
      <c r="T81" s="952"/>
      <c r="U81" s="952"/>
      <c r="V81" s="952"/>
      <c r="W81" s="952"/>
      <c r="X81" s="952"/>
      <c r="Y81" s="952"/>
      <c r="Z81" s="952"/>
      <c r="AA81" s="952"/>
    </row>
    <row r="82" spans="4:28" x14ac:dyDescent="0.25">
      <c r="D82" s="946" t="s">
        <v>1541</v>
      </c>
      <c r="E82" s="946"/>
      <c r="F82" s="947"/>
      <c r="G82" s="948" t="s">
        <v>1595</v>
      </c>
      <c r="H82" s="949"/>
      <c r="I82" s="950"/>
      <c r="J82" s="951" t="s">
        <v>1645</v>
      </c>
      <c r="K82" s="952"/>
      <c r="L82" s="952"/>
      <c r="M82" s="952"/>
      <c r="N82" s="952"/>
      <c r="O82" s="952"/>
      <c r="P82" s="952"/>
      <c r="Q82" s="952"/>
      <c r="R82" s="952"/>
      <c r="S82" s="952"/>
      <c r="T82" s="952"/>
      <c r="U82" s="952"/>
      <c r="V82" s="952"/>
      <c r="W82" s="952"/>
      <c r="X82" s="952"/>
      <c r="Y82" s="952"/>
      <c r="Z82" s="952"/>
      <c r="AA82" s="952"/>
    </row>
    <row r="83" spans="4:28" x14ac:dyDescent="0.25">
      <c r="D83" s="946"/>
      <c r="E83" s="946"/>
      <c r="F83" s="947"/>
      <c r="G83" s="948"/>
      <c r="H83" s="949"/>
      <c r="I83" s="950"/>
      <c r="J83" s="951" t="s">
        <v>1596</v>
      </c>
      <c r="K83" s="952"/>
      <c r="L83" s="952"/>
      <c r="M83" s="952"/>
      <c r="N83" s="952"/>
      <c r="O83" s="952"/>
      <c r="P83" s="952"/>
      <c r="Q83" s="952"/>
      <c r="R83" s="952"/>
      <c r="S83" s="952"/>
      <c r="T83" s="952"/>
      <c r="U83" s="952"/>
      <c r="V83" s="952"/>
      <c r="W83" s="952"/>
      <c r="X83" s="952"/>
      <c r="Y83" s="952"/>
      <c r="Z83" s="952"/>
      <c r="AA83" s="952"/>
    </row>
    <row r="84" spans="4:28" x14ac:dyDescent="0.25">
      <c r="D84" s="946"/>
      <c r="E84" s="946"/>
      <c r="F84" s="947"/>
      <c r="G84" s="948"/>
      <c r="H84" s="949"/>
      <c r="I84" s="950"/>
      <c r="J84" s="951" t="s">
        <v>1599</v>
      </c>
      <c r="K84" s="952"/>
      <c r="L84" s="952"/>
      <c r="M84" s="952"/>
      <c r="N84" s="952"/>
      <c r="O84" s="952"/>
      <c r="P84" s="952"/>
      <c r="Q84" s="952"/>
      <c r="R84" s="952"/>
      <c r="S84" s="952"/>
      <c r="T84" s="952"/>
      <c r="U84" s="952"/>
      <c r="V84" s="952"/>
      <c r="W84" s="952"/>
      <c r="X84" s="952"/>
      <c r="Y84" s="952"/>
      <c r="Z84" s="952"/>
      <c r="AA84" s="952"/>
    </row>
    <row r="85" spans="4:28" x14ac:dyDescent="0.25">
      <c r="D85" s="946"/>
      <c r="E85" s="946"/>
      <c r="F85" s="947"/>
      <c r="G85" s="948"/>
      <c r="H85" s="949"/>
      <c r="I85" s="950"/>
      <c r="J85" s="951" t="s">
        <v>1600</v>
      </c>
      <c r="K85" s="952"/>
      <c r="L85" s="952"/>
      <c r="M85" s="952"/>
      <c r="N85" s="952"/>
      <c r="O85" s="952"/>
      <c r="P85" s="952"/>
      <c r="Q85" s="952"/>
      <c r="R85" s="952"/>
      <c r="S85" s="952"/>
      <c r="T85" s="952"/>
      <c r="U85" s="952"/>
      <c r="V85" s="952"/>
      <c r="W85" s="952"/>
      <c r="X85" s="952"/>
      <c r="Y85" s="952"/>
      <c r="Z85" s="952"/>
      <c r="AA85" s="952"/>
    </row>
    <row r="86" spans="4:28" x14ac:dyDescent="0.25">
      <c r="D86" s="946" t="s">
        <v>1601</v>
      </c>
      <c r="E86" s="946"/>
      <c r="F86" s="947"/>
      <c r="G86" s="948" t="s">
        <v>1675</v>
      </c>
      <c r="H86" s="949"/>
      <c r="I86" s="950"/>
      <c r="J86" s="951" t="s">
        <v>1634</v>
      </c>
      <c r="K86" s="952"/>
      <c r="L86" s="952"/>
      <c r="M86" s="952"/>
      <c r="N86" s="952"/>
      <c r="O86" s="952"/>
      <c r="P86" s="952"/>
      <c r="Q86" s="952"/>
      <c r="R86" s="952"/>
      <c r="S86" s="952"/>
      <c r="T86" s="952"/>
      <c r="U86" s="952"/>
      <c r="V86" s="952"/>
      <c r="W86" s="952"/>
      <c r="X86" s="952"/>
      <c r="Y86" s="952"/>
      <c r="Z86" s="952"/>
      <c r="AA86" s="952"/>
    </row>
    <row r="87" spans="4:28" x14ac:dyDescent="0.25">
      <c r="D87" s="946"/>
      <c r="E87" s="946"/>
      <c r="F87" s="947"/>
      <c r="G87" s="948"/>
      <c r="H87" s="949"/>
      <c r="I87" s="950"/>
      <c r="J87" s="951" t="s">
        <v>1653</v>
      </c>
      <c r="K87" s="952"/>
      <c r="L87" s="952"/>
      <c r="M87" s="952"/>
      <c r="N87" s="952"/>
      <c r="O87" s="952"/>
      <c r="P87" s="952"/>
      <c r="Q87" s="952"/>
      <c r="R87" s="952"/>
      <c r="S87" s="952"/>
      <c r="T87" s="952"/>
      <c r="U87" s="952"/>
      <c r="V87" s="952"/>
      <c r="W87" s="952"/>
      <c r="X87" s="952"/>
      <c r="Y87" s="952"/>
      <c r="Z87" s="952"/>
      <c r="AA87" s="952"/>
    </row>
    <row r="88" spans="4:28" x14ac:dyDescent="0.25">
      <c r="D88" s="946"/>
      <c r="E88" s="946"/>
      <c r="F88" s="947"/>
      <c r="G88" s="948"/>
      <c r="H88" s="949"/>
      <c r="I88" s="950"/>
      <c r="J88" s="951" t="s">
        <v>1652</v>
      </c>
      <c r="K88" s="952"/>
      <c r="L88" s="952"/>
      <c r="M88" s="952"/>
      <c r="N88" s="952"/>
      <c r="O88" s="952"/>
      <c r="P88" s="952"/>
      <c r="Q88" s="952"/>
      <c r="R88" s="952"/>
      <c r="S88" s="952"/>
      <c r="T88" s="952"/>
      <c r="U88" s="952"/>
      <c r="V88" s="952"/>
      <c r="W88" s="952"/>
      <c r="X88" s="952"/>
      <c r="Y88" s="952"/>
      <c r="Z88" s="952"/>
      <c r="AA88" s="952"/>
    </row>
    <row r="89" spans="4:28" x14ac:dyDescent="0.25">
      <c r="D89" s="946"/>
      <c r="E89" s="946"/>
      <c r="F89" s="947"/>
      <c r="G89" s="948"/>
      <c r="H89" s="949"/>
      <c r="I89" s="950"/>
      <c r="J89" s="951" t="s">
        <v>1644</v>
      </c>
      <c r="K89" s="952"/>
      <c r="L89" s="952"/>
      <c r="M89" s="952"/>
      <c r="N89" s="952"/>
      <c r="O89" s="952"/>
      <c r="P89" s="952"/>
      <c r="Q89" s="952"/>
      <c r="R89" s="952"/>
      <c r="S89" s="952"/>
      <c r="T89" s="952"/>
      <c r="U89" s="952"/>
      <c r="V89" s="952"/>
      <c r="W89" s="952"/>
      <c r="X89" s="952"/>
      <c r="Y89" s="952"/>
      <c r="Z89" s="952"/>
      <c r="AA89" s="952"/>
    </row>
    <row r="90" spans="4:28" x14ac:dyDescent="0.25">
      <c r="D90" s="946"/>
      <c r="E90" s="946"/>
      <c r="F90" s="947"/>
      <c r="G90" s="948"/>
      <c r="H90" s="949"/>
      <c r="I90" s="950"/>
      <c r="J90" s="951" t="s">
        <v>1676</v>
      </c>
      <c r="K90" s="952"/>
      <c r="L90" s="952"/>
      <c r="M90" s="952"/>
      <c r="N90" s="952"/>
      <c r="O90" s="952"/>
      <c r="P90" s="952"/>
      <c r="Q90" s="952"/>
      <c r="R90" s="952"/>
      <c r="S90" s="952"/>
      <c r="T90" s="952"/>
      <c r="U90" s="952"/>
      <c r="V90" s="952"/>
      <c r="W90" s="952"/>
      <c r="X90" s="952"/>
      <c r="Y90" s="952"/>
      <c r="Z90" s="952"/>
      <c r="AA90" s="952"/>
    </row>
    <row r="91" spans="4:28" x14ac:dyDescent="0.25">
      <c r="D91" s="946" t="s">
        <v>1740</v>
      </c>
      <c r="E91" s="946"/>
      <c r="F91" s="947"/>
      <c r="G91" s="948" t="s">
        <v>1739</v>
      </c>
      <c r="H91" s="949"/>
      <c r="I91" s="950"/>
      <c r="J91" s="951" t="s">
        <v>1677</v>
      </c>
      <c r="K91" s="952"/>
      <c r="L91" s="952"/>
      <c r="M91" s="952"/>
      <c r="N91" s="952"/>
      <c r="O91" s="952"/>
      <c r="P91" s="952"/>
      <c r="Q91" s="952"/>
      <c r="R91" s="952"/>
      <c r="S91" s="952"/>
      <c r="T91" s="952"/>
      <c r="U91" s="952"/>
      <c r="V91" s="952"/>
      <c r="W91" s="952"/>
      <c r="X91" s="952"/>
      <c r="Y91" s="952"/>
      <c r="Z91" s="952"/>
      <c r="AA91" s="952"/>
      <c r="AB91" s="952"/>
    </row>
    <row r="92" spans="4:28" x14ac:dyDescent="0.25">
      <c r="D92" s="946"/>
      <c r="E92" s="946"/>
      <c r="F92" s="947"/>
      <c r="G92" s="948"/>
      <c r="H92" s="949"/>
      <c r="I92" s="950"/>
      <c r="J92" s="951" t="s">
        <v>1737</v>
      </c>
      <c r="K92" s="952"/>
      <c r="L92" s="952"/>
      <c r="M92" s="952"/>
      <c r="N92" s="952"/>
      <c r="O92" s="952"/>
      <c r="P92" s="952"/>
      <c r="Q92" s="952"/>
      <c r="R92" s="952"/>
      <c r="S92" s="952"/>
      <c r="T92" s="952"/>
      <c r="U92" s="952"/>
      <c r="V92" s="952"/>
      <c r="W92" s="952"/>
      <c r="X92" s="952"/>
      <c r="Y92" s="952"/>
      <c r="Z92" s="952"/>
      <c r="AA92" s="952"/>
      <c r="AB92" s="952"/>
    </row>
    <row r="93" spans="4:28" x14ac:dyDescent="0.25">
      <c r="D93" s="946"/>
      <c r="E93" s="946"/>
      <c r="F93" s="947"/>
      <c r="G93" s="948"/>
      <c r="H93" s="949"/>
      <c r="I93" s="950"/>
      <c r="J93" s="951" t="s">
        <v>1738</v>
      </c>
      <c r="K93" s="952"/>
      <c r="L93" s="952"/>
      <c r="M93" s="952"/>
      <c r="N93" s="952"/>
      <c r="O93" s="952"/>
      <c r="P93" s="952"/>
      <c r="Q93" s="952"/>
      <c r="R93" s="952"/>
      <c r="S93" s="952"/>
      <c r="T93" s="952"/>
      <c r="U93" s="952"/>
      <c r="V93" s="952"/>
      <c r="W93" s="952"/>
      <c r="X93" s="952"/>
      <c r="Y93" s="952"/>
      <c r="Z93" s="952"/>
      <c r="AA93" s="952"/>
    </row>
    <row r="94" spans="4:28" x14ac:dyDescent="0.25">
      <c r="D94" s="946" t="s">
        <v>1741</v>
      </c>
      <c r="E94" s="946"/>
      <c r="F94" s="947"/>
      <c r="G94" s="948" t="s">
        <v>1757</v>
      </c>
      <c r="H94" s="949"/>
      <c r="I94" s="950"/>
      <c r="J94" s="951" t="s">
        <v>1742</v>
      </c>
      <c r="K94" s="952"/>
      <c r="L94" s="952"/>
      <c r="M94" s="952"/>
      <c r="N94" s="952"/>
      <c r="O94" s="952"/>
      <c r="P94" s="952"/>
      <c r="Q94" s="952"/>
      <c r="R94" s="952"/>
      <c r="S94" s="952"/>
      <c r="T94" s="952"/>
      <c r="U94" s="952"/>
      <c r="V94" s="952"/>
      <c r="W94" s="952"/>
      <c r="X94" s="952"/>
      <c r="Y94" s="952"/>
      <c r="Z94" s="952"/>
      <c r="AA94" s="952"/>
    </row>
    <row r="95" spans="4:28" x14ac:dyDescent="0.25">
      <c r="D95" s="946"/>
      <c r="E95" s="946"/>
      <c r="F95" s="947"/>
      <c r="G95" s="948"/>
      <c r="H95" s="949"/>
      <c r="I95" s="950"/>
      <c r="J95" s="951" t="s">
        <v>1758</v>
      </c>
      <c r="K95" s="952"/>
      <c r="L95" s="952"/>
      <c r="M95" s="952"/>
      <c r="N95" s="952"/>
      <c r="O95" s="952"/>
      <c r="P95" s="952"/>
      <c r="Q95" s="952"/>
      <c r="R95" s="952"/>
      <c r="S95" s="952"/>
      <c r="T95" s="952"/>
      <c r="U95" s="952"/>
      <c r="V95" s="952"/>
      <c r="W95" s="952"/>
      <c r="X95" s="952"/>
      <c r="Y95" s="952"/>
      <c r="Z95" s="952"/>
      <c r="AA95" s="952"/>
    </row>
    <row r="96" spans="4:28" x14ac:dyDescent="0.25">
      <c r="D96" s="946" t="s">
        <v>1759</v>
      </c>
      <c r="E96" s="946"/>
      <c r="F96" s="947"/>
      <c r="G96" s="948">
        <v>45099</v>
      </c>
      <c r="H96" s="949"/>
      <c r="I96" s="950"/>
      <c r="J96" s="951" t="s">
        <v>1760</v>
      </c>
      <c r="K96" s="952"/>
      <c r="L96" s="952"/>
      <c r="M96" s="952"/>
      <c r="N96" s="952"/>
      <c r="O96" s="952"/>
      <c r="P96" s="952"/>
      <c r="Q96" s="952"/>
      <c r="R96" s="952"/>
      <c r="S96" s="952"/>
      <c r="T96" s="952"/>
      <c r="U96" s="952"/>
      <c r="V96" s="952"/>
      <c r="W96" s="952"/>
      <c r="X96" s="952"/>
      <c r="Y96" s="952"/>
      <c r="Z96" s="952"/>
      <c r="AA96" s="952"/>
    </row>
    <row r="97" spans="4:27" x14ac:dyDescent="0.25">
      <c r="D97" s="946" t="s">
        <v>1870</v>
      </c>
      <c r="E97" s="946"/>
      <c r="F97" s="947"/>
      <c r="G97" s="948" t="s">
        <v>1871</v>
      </c>
      <c r="H97" s="949"/>
      <c r="I97" s="950"/>
      <c r="J97" s="951" t="s">
        <v>1872</v>
      </c>
      <c r="K97" s="952"/>
      <c r="L97" s="952"/>
      <c r="M97" s="952"/>
      <c r="N97" s="952"/>
      <c r="O97" s="952"/>
      <c r="P97" s="952"/>
      <c r="Q97" s="952"/>
      <c r="R97" s="952"/>
      <c r="S97" s="952"/>
      <c r="T97" s="952"/>
      <c r="U97" s="952"/>
      <c r="V97" s="952"/>
      <c r="W97" s="952"/>
      <c r="X97" s="952"/>
      <c r="Y97" s="952"/>
      <c r="Z97" s="952"/>
      <c r="AA97" s="952"/>
    </row>
    <row r="98" spans="4:27" x14ac:dyDescent="0.25">
      <c r="D98" s="946" t="s">
        <v>1873</v>
      </c>
      <c r="E98" s="946"/>
      <c r="F98" s="947"/>
      <c r="G98" s="948" t="s">
        <v>1846</v>
      </c>
      <c r="H98" s="949"/>
      <c r="I98" s="950"/>
      <c r="J98" s="951" t="s">
        <v>1770</v>
      </c>
      <c r="K98" s="952"/>
      <c r="L98" s="952"/>
      <c r="M98" s="952"/>
      <c r="N98" s="952"/>
      <c r="O98" s="952"/>
      <c r="P98" s="952"/>
      <c r="Q98" s="952"/>
      <c r="R98" s="952"/>
      <c r="S98" s="952"/>
      <c r="T98" s="952"/>
      <c r="U98" s="952"/>
      <c r="V98" s="952"/>
      <c r="W98" s="952"/>
      <c r="X98" s="952"/>
      <c r="Y98" s="952"/>
      <c r="Z98" s="952"/>
      <c r="AA98" s="952"/>
    </row>
    <row r="99" spans="4:27" x14ac:dyDescent="0.25">
      <c r="D99" s="946"/>
      <c r="E99" s="946"/>
      <c r="F99" s="947"/>
      <c r="G99" s="948"/>
      <c r="H99" s="949"/>
      <c r="I99" s="950"/>
      <c r="J99" s="951" t="s">
        <v>1797</v>
      </c>
      <c r="K99" s="952"/>
      <c r="L99" s="952"/>
      <c r="M99" s="952"/>
      <c r="N99" s="952"/>
      <c r="O99" s="952"/>
      <c r="P99" s="952"/>
      <c r="Q99" s="952"/>
      <c r="R99" s="952"/>
      <c r="S99" s="952"/>
      <c r="T99" s="952"/>
      <c r="U99" s="952"/>
      <c r="V99" s="952"/>
      <c r="W99" s="952"/>
      <c r="X99" s="952"/>
      <c r="Y99" s="952"/>
      <c r="Z99" s="952"/>
      <c r="AA99" s="952"/>
    </row>
    <row r="100" spans="4:27" x14ac:dyDescent="0.25">
      <c r="D100" s="946"/>
      <c r="E100" s="946"/>
      <c r="F100" s="947"/>
      <c r="G100" s="948"/>
      <c r="H100" s="949"/>
      <c r="I100" s="950"/>
      <c r="J100" s="951" t="s">
        <v>1773</v>
      </c>
      <c r="K100" s="952"/>
      <c r="L100" s="952"/>
      <c r="M100" s="952"/>
      <c r="N100" s="952"/>
      <c r="O100" s="952"/>
      <c r="P100" s="952"/>
      <c r="Q100" s="952"/>
      <c r="R100" s="952"/>
      <c r="S100" s="952"/>
      <c r="T100" s="952"/>
      <c r="U100" s="952"/>
      <c r="V100" s="952"/>
      <c r="W100" s="952"/>
      <c r="X100" s="952"/>
      <c r="Y100" s="952"/>
      <c r="Z100" s="952"/>
      <c r="AA100" s="952"/>
    </row>
    <row r="101" spans="4:27" x14ac:dyDescent="0.25">
      <c r="D101" s="946"/>
      <c r="E101" s="946"/>
      <c r="F101" s="947"/>
      <c r="G101" s="948"/>
      <c r="H101" s="949"/>
      <c r="I101" s="950"/>
      <c r="J101" s="951" t="s">
        <v>1830</v>
      </c>
      <c r="K101" s="952"/>
      <c r="L101" s="952"/>
      <c r="M101" s="952"/>
      <c r="N101" s="952"/>
      <c r="O101" s="952"/>
      <c r="P101" s="952"/>
      <c r="Q101" s="952"/>
      <c r="R101" s="952"/>
      <c r="S101" s="952"/>
      <c r="T101" s="952"/>
      <c r="U101" s="952"/>
      <c r="V101" s="952"/>
      <c r="W101" s="952"/>
      <c r="X101" s="952"/>
      <c r="Y101" s="952"/>
      <c r="Z101" s="952"/>
      <c r="AA101" s="952"/>
    </row>
    <row r="102" spans="4:27" x14ac:dyDescent="0.25">
      <c r="D102" s="946" t="s">
        <v>1874</v>
      </c>
      <c r="E102" s="946"/>
      <c r="F102" s="947"/>
      <c r="G102" s="948" t="s">
        <v>1849</v>
      </c>
      <c r="H102" s="949"/>
      <c r="I102" s="950"/>
      <c r="J102" s="951" t="s">
        <v>1850</v>
      </c>
      <c r="K102" s="952"/>
      <c r="L102" s="952"/>
      <c r="M102" s="952"/>
      <c r="N102" s="952"/>
      <c r="O102" s="952"/>
      <c r="P102" s="952"/>
      <c r="Q102" s="952"/>
      <c r="R102" s="952"/>
      <c r="S102" s="952"/>
      <c r="T102" s="952"/>
      <c r="U102" s="952"/>
      <c r="V102" s="952"/>
      <c r="W102" s="952"/>
      <c r="X102" s="952"/>
      <c r="Y102" s="952"/>
      <c r="Z102" s="952"/>
      <c r="AA102" s="952"/>
    </row>
    <row r="103" spans="4:27" x14ac:dyDescent="0.25">
      <c r="D103" s="946"/>
      <c r="E103" s="946"/>
      <c r="F103" s="947"/>
      <c r="G103" s="948"/>
      <c r="H103" s="949"/>
      <c r="I103" s="950"/>
      <c r="J103" s="240" t="s">
        <v>1851</v>
      </c>
    </row>
    <row r="104" spans="4:27" x14ac:dyDescent="0.25">
      <c r="D104" s="946" t="s">
        <v>1875</v>
      </c>
      <c r="E104" s="946"/>
      <c r="F104" s="947"/>
      <c r="G104" s="948" t="s">
        <v>1865</v>
      </c>
      <c r="H104" s="949"/>
      <c r="I104" s="950"/>
      <c r="J104" s="951" t="s">
        <v>1866</v>
      </c>
      <c r="K104" s="952"/>
      <c r="L104" s="952"/>
      <c r="M104" s="952"/>
      <c r="N104" s="952"/>
      <c r="O104" s="952"/>
      <c r="P104" s="952"/>
      <c r="Q104" s="952"/>
      <c r="R104" s="952"/>
      <c r="S104" s="952"/>
      <c r="T104" s="952"/>
      <c r="U104" s="952"/>
      <c r="V104" s="952"/>
      <c r="W104" s="952"/>
      <c r="X104" s="952"/>
      <c r="Y104" s="952"/>
      <c r="Z104" s="952"/>
      <c r="AA104" s="952"/>
    </row>
    <row r="105" spans="4:27" x14ac:dyDescent="0.25">
      <c r="D105" s="946" t="s">
        <v>1876</v>
      </c>
      <c r="E105" s="946"/>
      <c r="F105" s="947"/>
      <c r="G105" s="948" t="s">
        <v>1867</v>
      </c>
      <c r="H105" s="949"/>
      <c r="I105" s="950"/>
      <c r="J105" s="951" t="s">
        <v>1868</v>
      </c>
      <c r="K105" s="952"/>
      <c r="L105" s="952"/>
      <c r="M105" s="952"/>
      <c r="N105" s="952"/>
      <c r="O105" s="952"/>
      <c r="P105" s="952"/>
      <c r="Q105" s="952"/>
      <c r="R105" s="952"/>
      <c r="S105" s="952"/>
      <c r="T105" s="952"/>
      <c r="U105" s="952"/>
      <c r="V105" s="952"/>
      <c r="W105" s="952"/>
      <c r="X105" s="952"/>
      <c r="Y105" s="952"/>
      <c r="Z105" s="952"/>
      <c r="AA105" s="952"/>
    </row>
    <row r="106" spans="4:27" x14ac:dyDescent="0.25">
      <c r="D106" s="946" t="s">
        <v>1869</v>
      </c>
      <c r="E106" s="946"/>
      <c r="F106" s="947"/>
      <c r="G106" s="948" t="s">
        <v>1877</v>
      </c>
      <c r="H106" s="949"/>
      <c r="I106" s="950"/>
      <c r="J106" s="951" t="s">
        <v>1878</v>
      </c>
      <c r="K106" s="952"/>
      <c r="L106" s="952"/>
      <c r="M106" s="952"/>
      <c r="N106" s="952"/>
      <c r="O106" s="952"/>
      <c r="P106" s="952"/>
      <c r="Q106" s="952"/>
      <c r="R106" s="952"/>
      <c r="S106" s="952"/>
      <c r="T106" s="952"/>
      <c r="U106" s="952"/>
      <c r="V106" s="952"/>
      <c r="W106" s="952"/>
      <c r="X106" s="952"/>
      <c r="Y106" s="952"/>
      <c r="Z106" s="952"/>
      <c r="AA106" s="952"/>
    </row>
    <row r="107" spans="4:27" x14ac:dyDescent="0.25">
      <c r="D107" s="946" t="s">
        <v>1880</v>
      </c>
      <c r="E107" s="946"/>
      <c r="F107" s="947"/>
      <c r="G107" s="948" t="s">
        <v>1881</v>
      </c>
      <c r="H107" s="949"/>
      <c r="I107" s="950"/>
      <c r="J107" s="951" t="s">
        <v>1882</v>
      </c>
      <c r="K107" s="952"/>
      <c r="L107" s="952"/>
      <c r="M107" s="952"/>
      <c r="N107" s="952"/>
      <c r="O107" s="952"/>
      <c r="P107" s="952"/>
      <c r="Q107" s="952"/>
      <c r="R107" s="952"/>
      <c r="S107" s="952"/>
      <c r="T107" s="952"/>
      <c r="U107" s="952"/>
      <c r="V107" s="952"/>
      <c r="W107" s="952"/>
      <c r="X107" s="952"/>
      <c r="Y107" s="952"/>
      <c r="Z107" s="952"/>
      <c r="AA107" s="952"/>
    </row>
    <row r="108" spans="4:27" x14ac:dyDescent="0.25">
      <c r="D108" s="946"/>
      <c r="E108" s="946"/>
      <c r="F108" s="947"/>
      <c r="G108" s="948"/>
      <c r="H108" s="949"/>
      <c r="I108" s="950"/>
      <c r="J108" s="951" t="s">
        <v>1883</v>
      </c>
      <c r="K108" s="952"/>
      <c r="L108" s="952"/>
      <c r="M108" s="952"/>
      <c r="N108" s="952"/>
      <c r="O108" s="952"/>
      <c r="P108" s="952"/>
      <c r="Q108" s="952"/>
      <c r="R108" s="952"/>
      <c r="S108" s="952"/>
      <c r="T108" s="952"/>
      <c r="U108" s="952"/>
      <c r="V108" s="952"/>
      <c r="W108" s="952"/>
      <c r="X108" s="952"/>
      <c r="Y108" s="952"/>
      <c r="Z108" s="952"/>
      <c r="AA108" s="952"/>
    </row>
    <row r="109" spans="4:27" x14ac:dyDescent="0.25">
      <c r="D109" s="946" t="s">
        <v>1885</v>
      </c>
      <c r="E109" s="946"/>
      <c r="F109" s="947"/>
      <c r="G109" s="948" t="s">
        <v>1886</v>
      </c>
      <c r="H109" s="949"/>
      <c r="I109" s="950"/>
      <c r="J109" s="951" t="s">
        <v>1887</v>
      </c>
      <c r="K109" s="952"/>
      <c r="L109" s="952"/>
      <c r="M109" s="952"/>
      <c r="N109" s="952"/>
      <c r="O109" s="952"/>
      <c r="P109" s="952"/>
      <c r="Q109" s="952"/>
      <c r="R109" s="952"/>
      <c r="S109" s="952"/>
      <c r="T109" s="952"/>
      <c r="U109" s="952"/>
      <c r="V109" s="952"/>
      <c r="W109" s="952"/>
      <c r="X109" s="952"/>
      <c r="Y109" s="952"/>
      <c r="Z109" s="952"/>
      <c r="AA109" s="952"/>
    </row>
    <row r="110" spans="4:27" x14ac:dyDescent="0.25">
      <c r="D110" s="946"/>
      <c r="E110" s="946"/>
      <c r="F110" s="947"/>
      <c r="G110" s="948"/>
      <c r="H110" s="949"/>
      <c r="I110" s="950"/>
      <c r="J110" s="951" t="s">
        <v>1888</v>
      </c>
      <c r="K110" s="952"/>
      <c r="L110" s="952"/>
      <c r="M110" s="952"/>
      <c r="N110" s="952"/>
      <c r="O110" s="952"/>
      <c r="P110" s="952"/>
      <c r="Q110" s="952"/>
      <c r="R110" s="952"/>
      <c r="S110" s="952"/>
      <c r="T110" s="952"/>
      <c r="U110" s="952"/>
      <c r="V110" s="952"/>
      <c r="W110" s="952"/>
      <c r="X110" s="952"/>
      <c r="Y110" s="952"/>
      <c r="Z110" s="952"/>
      <c r="AA110" s="952"/>
    </row>
    <row r="111" spans="4:27" x14ac:dyDescent="0.25">
      <c r="D111" s="946" t="s">
        <v>1890</v>
      </c>
      <c r="E111" s="946"/>
      <c r="F111" s="947"/>
      <c r="G111" s="948" t="s">
        <v>1892</v>
      </c>
      <c r="H111" s="949"/>
      <c r="I111" s="950"/>
      <c r="J111" s="951" t="s">
        <v>1893</v>
      </c>
      <c r="K111" s="952"/>
      <c r="L111" s="952"/>
      <c r="M111" s="952"/>
      <c r="N111" s="952"/>
      <c r="O111" s="952"/>
      <c r="P111" s="952"/>
      <c r="Q111" s="952"/>
      <c r="R111" s="952"/>
      <c r="S111" s="952"/>
      <c r="T111" s="952"/>
      <c r="U111" s="952"/>
      <c r="V111" s="952"/>
      <c r="W111" s="952"/>
      <c r="X111" s="952"/>
      <c r="Y111" s="952"/>
      <c r="Z111" s="952"/>
      <c r="AA111" s="952"/>
    </row>
    <row r="112" spans="4:27" x14ac:dyDescent="0.25">
      <c r="D112" s="946" t="s">
        <v>1894</v>
      </c>
      <c r="E112" s="946"/>
      <c r="F112" s="947"/>
      <c r="G112" s="948" t="s">
        <v>1895</v>
      </c>
      <c r="H112" s="949"/>
      <c r="I112" s="950"/>
      <c r="J112" s="951" t="s">
        <v>1896</v>
      </c>
      <c r="K112" s="952"/>
      <c r="L112" s="952"/>
      <c r="M112" s="952"/>
      <c r="N112" s="952"/>
      <c r="O112" s="952"/>
      <c r="P112" s="952"/>
      <c r="Q112" s="952"/>
      <c r="R112" s="952"/>
      <c r="S112" s="952"/>
      <c r="T112" s="952"/>
      <c r="U112" s="952"/>
      <c r="V112" s="952"/>
      <c r="W112" s="952"/>
      <c r="X112" s="952"/>
      <c r="Y112" s="952"/>
      <c r="Z112" s="952"/>
      <c r="AA112" s="952"/>
    </row>
    <row r="113" spans="4:27" x14ac:dyDescent="0.25">
      <c r="D113" s="946" t="s">
        <v>1899</v>
      </c>
      <c r="E113" s="946"/>
      <c r="F113" s="947"/>
      <c r="G113" s="948" t="s">
        <v>1900</v>
      </c>
      <c r="H113" s="949"/>
      <c r="I113" s="950"/>
      <c r="J113" s="951" t="s">
        <v>1901</v>
      </c>
      <c r="K113" s="952"/>
      <c r="L113" s="952"/>
      <c r="M113" s="952"/>
      <c r="N113" s="952"/>
      <c r="O113" s="952"/>
      <c r="P113" s="952"/>
      <c r="Q113" s="952"/>
      <c r="R113" s="952"/>
      <c r="S113" s="952"/>
      <c r="T113" s="952"/>
      <c r="U113" s="952"/>
      <c r="V113" s="952"/>
      <c r="W113" s="952"/>
      <c r="X113" s="952"/>
      <c r="Y113" s="952"/>
      <c r="Z113" s="952"/>
      <c r="AA113" s="952"/>
    </row>
    <row r="114" spans="4:27" x14ac:dyDescent="0.25">
      <c r="D114" s="946" t="s">
        <v>1904</v>
      </c>
      <c r="E114" s="946"/>
      <c r="F114" s="947"/>
      <c r="G114" s="948" t="s">
        <v>1905</v>
      </c>
      <c r="H114" s="949"/>
      <c r="I114" s="950"/>
      <c r="J114" s="951" t="s">
        <v>1906</v>
      </c>
      <c r="K114" s="952"/>
      <c r="L114" s="952"/>
      <c r="M114" s="952"/>
      <c r="N114" s="952"/>
      <c r="O114" s="952"/>
      <c r="P114" s="952"/>
      <c r="Q114" s="952"/>
      <c r="R114" s="952"/>
      <c r="S114" s="952"/>
      <c r="T114" s="952"/>
      <c r="U114" s="952"/>
      <c r="V114" s="952"/>
      <c r="W114" s="952"/>
      <c r="X114" s="952"/>
      <c r="Y114" s="952"/>
      <c r="Z114" s="952"/>
      <c r="AA114" s="952"/>
    </row>
    <row r="115" spans="4:27" x14ac:dyDescent="0.25">
      <c r="D115" s="946" t="s">
        <v>1907</v>
      </c>
      <c r="E115" s="946"/>
      <c r="F115" s="947"/>
      <c r="G115" s="948" t="s">
        <v>1908</v>
      </c>
      <c r="H115" s="949"/>
      <c r="I115" s="950"/>
      <c r="J115" s="951" t="s">
        <v>1909</v>
      </c>
      <c r="K115" s="952"/>
      <c r="L115" s="952"/>
      <c r="M115" s="952"/>
      <c r="N115" s="952"/>
      <c r="O115" s="952"/>
      <c r="P115" s="952"/>
      <c r="Q115" s="952"/>
      <c r="R115" s="952"/>
      <c r="S115" s="952"/>
      <c r="T115" s="952"/>
      <c r="U115" s="952"/>
      <c r="V115" s="952"/>
      <c r="W115" s="952"/>
      <c r="X115" s="952"/>
      <c r="Y115" s="952"/>
      <c r="Z115" s="952"/>
      <c r="AA115" s="952"/>
    </row>
    <row r="116" spans="4:27" x14ac:dyDescent="0.25">
      <c r="D116" s="946" t="s">
        <v>1910</v>
      </c>
      <c r="E116" s="946"/>
      <c r="F116" s="947"/>
      <c r="G116" s="948" t="s">
        <v>1919</v>
      </c>
      <c r="H116" s="949"/>
      <c r="I116" s="950"/>
      <c r="J116" s="951" t="s">
        <v>1911</v>
      </c>
      <c r="K116" s="952"/>
      <c r="L116" s="952"/>
      <c r="M116" s="952"/>
      <c r="N116" s="952"/>
      <c r="O116" s="952"/>
      <c r="P116" s="952"/>
      <c r="Q116" s="952"/>
      <c r="R116" s="952"/>
      <c r="S116" s="952"/>
      <c r="T116" s="952"/>
      <c r="U116" s="952"/>
      <c r="V116" s="952"/>
      <c r="W116" s="952"/>
      <c r="X116" s="952"/>
      <c r="Y116" s="952"/>
      <c r="Z116" s="952"/>
      <c r="AA116" s="952"/>
    </row>
    <row r="117" spans="4:27" x14ac:dyDescent="0.25">
      <c r="D117" s="946"/>
      <c r="E117" s="946"/>
      <c r="F117" s="947"/>
      <c r="G117" s="948"/>
      <c r="H117" s="949"/>
      <c r="I117" s="950"/>
      <c r="J117" s="951" t="s">
        <v>1918</v>
      </c>
      <c r="K117" s="952"/>
      <c r="L117" s="952"/>
      <c r="M117" s="952"/>
      <c r="N117" s="952"/>
      <c r="O117" s="952"/>
      <c r="P117" s="952"/>
      <c r="Q117" s="952"/>
      <c r="R117" s="952"/>
      <c r="S117" s="952"/>
      <c r="T117" s="952"/>
      <c r="U117" s="952"/>
      <c r="V117" s="952"/>
      <c r="W117" s="952"/>
      <c r="X117" s="952"/>
      <c r="Y117" s="952"/>
      <c r="Z117" s="952"/>
      <c r="AA117" s="952"/>
    </row>
    <row r="118" spans="4:27" ht="18" x14ac:dyDescent="0.35">
      <c r="D118" s="946"/>
      <c r="E118" s="946"/>
      <c r="F118" s="947"/>
      <c r="G118" s="948"/>
      <c r="H118" s="949"/>
      <c r="I118" s="950"/>
      <c r="J118" s="951" t="s">
        <v>1927</v>
      </c>
      <c r="K118" s="952"/>
      <c r="L118" s="952"/>
      <c r="M118" s="952"/>
      <c r="N118" s="952"/>
      <c r="O118" s="952"/>
      <c r="P118" s="952"/>
      <c r="Q118" s="952"/>
      <c r="R118" s="952"/>
      <c r="S118" s="952"/>
      <c r="T118" s="952"/>
      <c r="U118" s="952"/>
      <c r="V118" s="952"/>
      <c r="W118" s="952"/>
      <c r="X118" s="952"/>
      <c r="Y118" s="952"/>
      <c r="Z118" s="952"/>
      <c r="AA118" s="952"/>
    </row>
    <row r="119" spans="4:27" x14ac:dyDescent="0.25">
      <c r="D119" s="946" t="s">
        <v>1928</v>
      </c>
      <c r="E119" s="946"/>
      <c r="F119" s="947"/>
      <c r="G119" s="948" t="s">
        <v>1929</v>
      </c>
      <c r="H119" s="949"/>
      <c r="I119" s="950"/>
      <c r="J119" s="951" t="s">
        <v>1930</v>
      </c>
      <c r="K119" s="952"/>
      <c r="L119" s="952"/>
      <c r="M119" s="952"/>
      <c r="N119" s="952"/>
      <c r="O119" s="952"/>
      <c r="P119" s="952"/>
      <c r="Q119" s="952"/>
      <c r="R119" s="952"/>
      <c r="S119" s="952"/>
      <c r="T119" s="952"/>
      <c r="U119" s="952"/>
      <c r="V119" s="952"/>
      <c r="W119" s="952"/>
      <c r="X119" s="952"/>
      <c r="Y119" s="952"/>
      <c r="Z119" s="952"/>
      <c r="AA119" s="952"/>
    </row>
    <row r="120" spans="4:27" x14ac:dyDescent="0.25">
      <c r="D120" s="946" t="s">
        <v>1931</v>
      </c>
      <c r="E120" s="946"/>
      <c r="F120" s="947"/>
      <c r="G120" s="948" t="s">
        <v>1942</v>
      </c>
      <c r="H120" s="949"/>
      <c r="I120" s="950"/>
      <c r="J120" s="951" t="s">
        <v>1932</v>
      </c>
      <c r="K120" s="952"/>
      <c r="L120" s="952"/>
      <c r="M120" s="952"/>
      <c r="N120" s="952"/>
      <c r="O120" s="952"/>
      <c r="P120" s="952"/>
      <c r="Q120" s="952"/>
      <c r="R120" s="952"/>
      <c r="S120" s="952"/>
      <c r="T120" s="952"/>
      <c r="U120" s="952"/>
      <c r="V120" s="952"/>
      <c r="W120" s="952"/>
      <c r="X120" s="952"/>
      <c r="Y120" s="952"/>
      <c r="Z120" s="952"/>
      <c r="AA120" s="952"/>
    </row>
    <row r="121" spans="4:27" x14ac:dyDescent="0.25">
      <c r="D121" s="946"/>
      <c r="E121" s="946"/>
      <c r="F121" s="947"/>
      <c r="G121" s="948"/>
      <c r="H121" s="949"/>
      <c r="I121" s="950"/>
      <c r="J121" s="951" t="s">
        <v>1938</v>
      </c>
      <c r="K121" s="952"/>
      <c r="L121" s="952"/>
      <c r="M121" s="952"/>
      <c r="N121" s="952"/>
      <c r="O121" s="952"/>
      <c r="P121" s="952"/>
      <c r="Q121" s="952"/>
      <c r="R121" s="952"/>
      <c r="S121" s="952"/>
      <c r="T121" s="952"/>
      <c r="U121" s="952"/>
      <c r="V121" s="952"/>
      <c r="W121" s="952"/>
      <c r="X121" s="952"/>
      <c r="Y121" s="952"/>
      <c r="Z121" s="952"/>
      <c r="AA121" s="952"/>
    </row>
    <row r="122" spans="4:27" x14ac:dyDescent="0.25">
      <c r="D122" s="946"/>
      <c r="E122" s="946"/>
      <c r="F122" s="947"/>
      <c r="G122" s="948"/>
      <c r="H122" s="949"/>
      <c r="I122" s="950"/>
      <c r="J122" s="951" t="s">
        <v>1941</v>
      </c>
      <c r="K122" s="952"/>
      <c r="L122" s="952"/>
      <c r="M122" s="952"/>
      <c r="N122" s="952"/>
      <c r="O122" s="952"/>
      <c r="P122" s="952"/>
      <c r="Q122" s="952"/>
      <c r="R122" s="952"/>
      <c r="S122" s="952"/>
      <c r="T122" s="952"/>
      <c r="U122" s="952"/>
      <c r="V122" s="952"/>
      <c r="W122" s="952"/>
      <c r="X122" s="952"/>
      <c r="Y122" s="952"/>
      <c r="Z122" s="952"/>
      <c r="AA122" s="952"/>
    </row>
    <row r="123" spans="4:27" x14ac:dyDescent="0.25">
      <c r="D123" s="946"/>
      <c r="E123" s="946"/>
      <c r="F123" s="947"/>
      <c r="G123" s="948"/>
      <c r="H123" s="949"/>
      <c r="I123" s="950"/>
      <c r="J123" s="951" t="s">
        <v>1944</v>
      </c>
      <c r="K123" s="952"/>
      <c r="L123" s="952"/>
      <c r="M123" s="952"/>
      <c r="N123" s="952"/>
      <c r="O123" s="952"/>
      <c r="P123" s="952"/>
      <c r="Q123" s="952"/>
      <c r="R123" s="952"/>
      <c r="S123" s="952"/>
      <c r="T123" s="952"/>
      <c r="U123" s="952"/>
      <c r="V123" s="952"/>
      <c r="W123" s="952"/>
      <c r="X123" s="952"/>
      <c r="Y123" s="952"/>
      <c r="Z123" s="952"/>
      <c r="AA123" s="952"/>
    </row>
    <row r="124" spans="4:27" x14ac:dyDescent="0.25">
      <c r="D124" s="946" t="s">
        <v>1949</v>
      </c>
      <c r="E124" s="946"/>
      <c r="F124" s="947"/>
      <c r="G124" s="948" t="s">
        <v>1950</v>
      </c>
      <c r="H124" s="949"/>
      <c r="I124" s="950"/>
      <c r="J124" s="951" t="s">
        <v>1951</v>
      </c>
      <c r="K124" s="952"/>
      <c r="L124" s="952"/>
      <c r="M124" s="952"/>
      <c r="N124" s="952"/>
      <c r="O124" s="952"/>
      <c r="P124" s="952"/>
      <c r="Q124" s="952"/>
      <c r="R124" s="952"/>
      <c r="S124" s="952"/>
      <c r="T124" s="952"/>
      <c r="U124" s="952"/>
      <c r="V124" s="952"/>
      <c r="W124" s="952"/>
      <c r="X124" s="952"/>
      <c r="Y124" s="952"/>
      <c r="Z124" s="952"/>
      <c r="AA124" s="952"/>
    </row>
    <row r="125" spans="4:27" x14ac:dyDescent="0.25">
      <c r="D125" s="946" t="s">
        <v>1953</v>
      </c>
      <c r="E125" s="946"/>
      <c r="F125" s="947"/>
      <c r="G125" s="948" t="s">
        <v>1954</v>
      </c>
      <c r="H125" s="949"/>
      <c r="I125" s="950"/>
      <c r="J125" s="951" t="s">
        <v>1955</v>
      </c>
      <c r="K125" s="952"/>
      <c r="L125" s="952"/>
      <c r="M125" s="952"/>
      <c r="N125" s="952"/>
      <c r="O125" s="952"/>
      <c r="P125" s="952"/>
      <c r="Q125" s="952"/>
      <c r="R125" s="952"/>
      <c r="S125" s="952"/>
      <c r="T125" s="952"/>
      <c r="U125" s="952"/>
      <c r="V125" s="952"/>
      <c r="W125" s="952"/>
      <c r="X125" s="952"/>
      <c r="Y125" s="952"/>
      <c r="Z125" s="952"/>
      <c r="AA125" s="952"/>
    </row>
    <row r="126" spans="4:27" ht="18" x14ac:dyDescent="0.35">
      <c r="D126" s="946" t="s">
        <v>1957</v>
      </c>
      <c r="E126" s="946"/>
      <c r="F126" s="947"/>
      <c r="G126" s="948" t="s">
        <v>1959</v>
      </c>
      <c r="H126" s="949"/>
      <c r="I126" s="950"/>
      <c r="J126" s="951" t="s">
        <v>1958</v>
      </c>
      <c r="K126" s="952"/>
      <c r="L126" s="952"/>
      <c r="M126" s="952"/>
      <c r="N126" s="952"/>
      <c r="O126" s="952"/>
      <c r="P126" s="952"/>
      <c r="Q126" s="952"/>
      <c r="R126" s="952"/>
      <c r="S126" s="952"/>
      <c r="T126" s="952"/>
      <c r="U126" s="952"/>
      <c r="V126" s="952"/>
      <c r="W126" s="952"/>
      <c r="X126" s="952"/>
      <c r="Y126" s="952"/>
      <c r="Z126" s="952"/>
      <c r="AA126" s="952"/>
    </row>
    <row r="127" spans="4:27" x14ac:dyDescent="0.25">
      <c r="D127" s="946" t="s">
        <v>1960</v>
      </c>
      <c r="E127" s="946"/>
      <c r="F127" s="947"/>
      <c r="G127" s="948" t="s">
        <v>1985</v>
      </c>
      <c r="H127" s="949"/>
      <c r="I127" s="950"/>
      <c r="J127" s="951" t="s">
        <v>1961</v>
      </c>
      <c r="K127" s="952"/>
      <c r="L127" s="952"/>
      <c r="M127" s="952"/>
      <c r="N127" s="952"/>
      <c r="O127" s="952"/>
      <c r="P127" s="952"/>
      <c r="Q127" s="952"/>
      <c r="R127" s="952"/>
      <c r="S127" s="952"/>
      <c r="T127" s="952"/>
      <c r="U127" s="952"/>
      <c r="V127" s="952"/>
      <c r="W127" s="952"/>
      <c r="X127" s="952"/>
      <c r="Y127" s="952"/>
      <c r="Z127" s="952"/>
      <c r="AA127" s="952"/>
    </row>
    <row r="128" spans="4:27" x14ac:dyDescent="0.25">
      <c r="D128" s="946"/>
      <c r="E128" s="946"/>
      <c r="F128" s="947"/>
      <c r="G128" s="948"/>
      <c r="H128" s="949"/>
      <c r="I128" s="950"/>
      <c r="J128" s="951" t="s">
        <v>1986</v>
      </c>
      <c r="K128" s="952"/>
      <c r="L128" s="952"/>
      <c r="M128" s="952"/>
      <c r="N128" s="952"/>
      <c r="O128" s="952"/>
      <c r="P128" s="952"/>
      <c r="Q128" s="952"/>
      <c r="R128" s="952"/>
      <c r="S128" s="952"/>
      <c r="T128" s="952"/>
      <c r="U128" s="952"/>
      <c r="V128" s="952"/>
      <c r="W128" s="952"/>
      <c r="X128" s="952"/>
      <c r="Y128" s="952"/>
      <c r="Z128" s="952"/>
      <c r="AA128" s="952"/>
    </row>
    <row r="129" spans="4:27" x14ac:dyDescent="0.25">
      <c r="D129" s="946"/>
      <c r="E129" s="946"/>
      <c r="F129" s="947"/>
      <c r="G129" s="948"/>
      <c r="H129" s="949"/>
      <c r="I129" s="950"/>
      <c r="J129" s="951" t="s">
        <v>1987</v>
      </c>
      <c r="K129" s="952"/>
      <c r="L129" s="952"/>
      <c r="M129" s="952"/>
      <c r="N129" s="952"/>
      <c r="O129" s="952"/>
      <c r="P129" s="952"/>
      <c r="Q129" s="952"/>
      <c r="R129" s="952"/>
      <c r="S129" s="952"/>
      <c r="T129" s="952"/>
      <c r="U129" s="952"/>
      <c r="V129" s="952"/>
      <c r="W129" s="952"/>
      <c r="X129" s="952"/>
      <c r="Y129" s="952"/>
      <c r="Z129" s="952"/>
      <c r="AA129" s="952"/>
    </row>
  </sheetData>
  <sheetProtection algorithmName="SHA-512" hashValue="v6BAzPSQRRnx2K/YEiDcf/PFD1aI1c5/wBnbf/Kl/SKb2TUbb6aooh4nRQhS92hvPgxS+bSqLVQtlUM7RNHYKg==" saltValue="xo4KYXkFpKg/1xUdOgk+3g==" spinCount="100000" sheet="1" objects="1" scenarios="1"/>
  <mergeCells count="268">
    <mergeCell ref="D129:F129"/>
    <mergeCell ref="G129:I129"/>
    <mergeCell ref="J129:AA129"/>
    <mergeCell ref="I43:K43"/>
    <mergeCell ref="I44:K44"/>
    <mergeCell ref="D127:F127"/>
    <mergeCell ref="G127:I127"/>
    <mergeCell ref="J127:AA127"/>
    <mergeCell ref="D128:F128"/>
    <mergeCell ref="G128:I128"/>
    <mergeCell ref="J128:AA128"/>
    <mergeCell ref="J116:AA116"/>
    <mergeCell ref="D117:F117"/>
    <mergeCell ref="D125:F125"/>
    <mergeCell ref="G125:I125"/>
    <mergeCell ref="J125:AA125"/>
    <mergeCell ref="D122:F122"/>
    <mergeCell ref="G122:I122"/>
    <mergeCell ref="J122:AA122"/>
    <mergeCell ref="D123:F123"/>
    <mergeCell ref="G123:I123"/>
    <mergeCell ref="J123:AA123"/>
    <mergeCell ref="D124:F124"/>
    <mergeCell ref="G124:I124"/>
    <mergeCell ref="J124:AA124"/>
    <mergeCell ref="D121:F121"/>
    <mergeCell ref="G121:I121"/>
    <mergeCell ref="J121:AA121"/>
    <mergeCell ref="D108:F108"/>
    <mergeCell ref="G108:I108"/>
    <mergeCell ref="J108:AA108"/>
    <mergeCell ref="D106:F106"/>
    <mergeCell ref="G106:I106"/>
    <mergeCell ref="J106:AA106"/>
    <mergeCell ref="D120:F120"/>
    <mergeCell ref="G120:I120"/>
    <mergeCell ref="J120:AA120"/>
    <mergeCell ref="D111:F111"/>
    <mergeCell ref="G111:I111"/>
    <mergeCell ref="J111:AA111"/>
    <mergeCell ref="D109:F109"/>
    <mergeCell ref="G109:I109"/>
    <mergeCell ref="J109:AA109"/>
    <mergeCell ref="J110:AA110"/>
    <mergeCell ref="D110:F110"/>
    <mergeCell ref="G110:I110"/>
    <mergeCell ref="J112:AA112"/>
    <mergeCell ref="G112:I112"/>
    <mergeCell ref="D112:F112"/>
    <mergeCell ref="G117:I117"/>
    <mergeCell ref="J117:AA117"/>
    <mergeCell ref="G116:I116"/>
    <mergeCell ref="D107:F107"/>
    <mergeCell ref="G107:I107"/>
    <mergeCell ref="J107:AA107"/>
    <mergeCell ref="J105:AA105"/>
    <mergeCell ref="J104:AA104"/>
    <mergeCell ref="G102:I102"/>
    <mergeCell ref="J102:AA102"/>
    <mergeCell ref="D103:F103"/>
    <mergeCell ref="G103:I103"/>
    <mergeCell ref="D104:F104"/>
    <mergeCell ref="G104:I104"/>
    <mergeCell ref="D102:F102"/>
    <mergeCell ref="D105:F105"/>
    <mergeCell ref="G105:I105"/>
    <mergeCell ref="D80:F80"/>
    <mergeCell ref="D81:F81"/>
    <mergeCell ref="G87:I87"/>
    <mergeCell ref="G86:I86"/>
    <mergeCell ref="D93:F93"/>
    <mergeCell ref="G90:I90"/>
    <mergeCell ref="D90:F90"/>
    <mergeCell ref="D85:F85"/>
    <mergeCell ref="D86:F86"/>
    <mergeCell ref="D89:F89"/>
    <mergeCell ref="D87:F87"/>
    <mergeCell ref="G91:I91"/>
    <mergeCell ref="D92:F92"/>
    <mergeCell ref="G92:I92"/>
    <mergeCell ref="G93:I93"/>
    <mergeCell ref="G89:I89"/>
    <mergeCell ref="D91:F91"/>
    <mergeCell ref="G85:I85"/>
    <mergeCell ref="D84:F84"/>
    <mergeCell ref="D82:F82"/>
    <mergeCell ref="G62:I62"/>
    <mergeCell ref="D57:F57"/>
    <mergeCell ref="G57:I57"/>
    <mergeCell ref="D55:F55"/>
    <mergeCell ref="J67:AA67"/>
    <mergeCell ref="J76:AA76"/>
    <mergeCell ref="J77:AA77"/>
    <mergeCell ref="G77:I77"/>
    <mergeCell ref="G68:I68"/>
    <mergeCell ref="J68:AA68"/>
    <mergeCell ref="G71:I71"/>
    <mergeCell ref="D67:F67"/>
    <mergeCell ref="G63:I63"/>
    <mergeCell ref="D61:F61"/>
    <mergeCell ref="G61:I61"/>
    <mergeCell ref="D62:F62"/>
    <mergeCell ref="G59:I59"/>
    <mergeCell ref="G66:I66"/>
    <mergeCell ref="J65:AA65"/>
    <mergeCell ref="J58:AA58"/>
    <mergeCell ref="J59:AA59"/>
    <mergeCell ref="J64:AA64"/>
    <mergeCell ref="J60:AA60"/>
    <mergeCell ref="J66:AA66"/>
    <mergeCell ref="G69:I69"/>
    <mergeCell ref="D3:X4"/>
    <mergeCell ref="D88:F88"/>
    <mergeCell ref="H50:I50"/>
    <mergeCell ref="D56:F56"/>
    <mergeCell ref="G56:I56"/>
    <mergeCell ref="E51:F51"/>
    <mergeCell ref="H51:I51"/>
    <mergeCell ref="G60:I60"/>
    <mergeCell ref="D59:F59"/>
    <mergeCell ref="D64:F64"/>
    <mergeCell ref="G64:I64"/>
    <mergeCell ref="D63:F63"/>
    <mergeCell ref="D60:F60"/>
    <mergeCell ref="J81:AA81"/>
    <mergeCell ref="J82:AA82"/>
    <mergeCell ref="J63:AA63"/>
    <mergeCell ref="G72:I72"/>
    <mergeCell ref="J71:AA71"/>
    <mergeCell ref="D58:F58"/>
    <mergeCell ref="E50:F50"/>
    <mergeCell ref="D78:F78"/>
    <mergeCell ref="G58:I58"/>
    <mergeCell ref="E44:G44"/>
    <mergeCell ref="G55:I55"/>
    <mergeCell ref="S44:T44"/>
    <mergeCell ref="V44:W44"/>
    <mergeCell ref="Y44:Z44"/>
    <mergeCell ref="Y3:AA3"/>
    <mergeCell ref="Y4:AA4"/>
    <mergeCell ref="J89:AA89"/>
    <mergeCell ref="J83:AA83"/>
    <mergeCell ref="J84:AA84"/>
    <mergeCell ref="J85:AA85"/>
    <mergeCell ref="J86:AA86"/>
    <mergeCell ref="D14:AA14"/>
    <mergeCell ref="X34:Z34"/>
    <mergeCell ref="X36:Z36"/>
    <mergeCell ref="E43:G43"/>
    <mergeCell ref="X38:Z38"/>
    <mergeCell ref="E42:Z42"/>
    <mergeCell ref="M43:N43"/>
    <mergeCell ref="S43:T43"/>
    <mergeCell ref="P43:Q43"/>
    <mergeCell ref="V43:W43"/>
    <mergeCell ref="Y43:Z43"/>
    <mergeCell ref="M44:N44"/>
    <mergeCell ref="J55:AA55"/>
    <mergeCell ref="O50:Q50"/>
    <mergeCell ref="S50:U50"/>
    <mergeCell ref="W50:Y50"/>
    <mergeCell ref="K47:L47"/>
    <mergeCell ref="K51:M51"/>
    <mergeCell ref="O51:Q51"/>
    <mergeCell ref="S51:U51"/>
    <mergeCell ref="W51:Y51"/>
    <mergeCell ref="Q46:R46"/>
    <mergeCell ref="N47:O47"/>
    <mergeCell ref="E49:Y49"/>
    <mergeCell ref="T47:U47"/>
    <mergeCell ref="Q47:R47"/>
    <mergeCell ref="G47:I47"/>
    <mergeCell ref="J87:AA87"/>
    <mergeCell ref="D79:F79"/>
    <mergeCell ref="D7:AA8"/>
    <mergeCell ref="L10:R10"/>
    <mergeCell ref="W10:AA10"/>
    <mergeCell ref="D73:F73"/>
    <mergeCell ref="D75:F75"/>
    <mergeCell ref="G75:I75"/>
    <mergeCell ref="J75:AA75"/>
    <mergeCell ref="G67:I67"/>
    <mergeCell ref="D68:F68"/>
    <mergeCell ref="G73:I73"/>
    <mergeCell ref="D72:F72"/>
    <mergeCell ref="J72:AA72"/>
    <mergeCell ref="D71:F71"/>
    <mergeCell ref="D70:F70"/>
    <mergeCell ref="G70:I70"/>
    <mergeCell ref="J70:AA70"/>
    <mergeCell ref="T46:U46"/>
    <mergeCell ref="K50:M50"/>
    <mergeCell ref="P44:Q44"/>
    <mergeCell ref="G46:I46"/>
    <mergeCell ref="J57:AA57"/>
    <mergeCell ref="J56:AA56"/>
    <mergeCell ref="J97:AA97"/>
    <mergeCell ref="G95:I95"/>
    <mergeCell ref="D95:F95"/>
    <mergeCell ref="G96:I96"/>
    <mergeCell ref="G98:I98"/>
    <mergeCell ref="D65:F65"/>
    <mergeCell ref="D83:F83"/>
    <mergeCell ref="G88:I88"/>
    <mergeCell ref="G65:I65"/>
    <mergeCell ref="D66:F66"/>
    <mergeCell ref="D69:F69"/>
    <mergeCell ref="J78:AA78"/>
    <mergeCell ref="J73:AA73"/>
    <mergeCell ref="G74:I74"/>
    <mergeCell ref="J74:AA74"/>
    <mergeCell ref="J79:AA79"/>
    <mergeCell ref="J80:AA80"/>
    <mergeCell ref="G79:I79"/>
    <mergeCell ref="G80:I80"/>
    <mergeCell ref="G81:I81"/>
    <mergeCell ref="G78:I78"/>
    <mergeCell ref="G82:I82"/>
    <mergeCell ref="G83:I83"/>
    <mergeCell ref="G84:I84"/>
    <mergeCell ref="J91:AB91"/>
    <mergeCell ref="J88:AA88"/>
    <mergeCell ref="G101:I101"/>
    <mergeCell ref="J90:AA90"/>
    <mergeCell ref="D98:F98"/>
    <mergeCell ref="J100:AA100"/>
    <mergeCell ref="J101:AA101"/>
    <mergeCell ref="J93:AA93"/>
    <mergeCell ref="J95:AA95"/>
    <mergeCell ref="D96:F96"/>
    <mergeCell ref="D99:F99"/>
    <mergeCell ref="D100:F100"/>
    <mergeCell ref="D101:F101"/>
    <mergeCell ref="G94:I94"/>
    <mergeCell ref="G99:I99"/>
    <mergeCell ref="D94:F94"/>
    <mergeCell ref="J92:AB92"/>
    <mergeCell ref="G100:I100"/>
    <mergeCell ref="J94:AA94"/>
    <mergeCell ref="J96:AA96"/>
    <mergeCell ref="J98:AA98"/>
    <mergeCell ref="J99:AA99"/>
    <mergeCell ref="D97:F97"/>
    <mergeCell ref="G97:I97"/>
    <mergeCell ref="D126:F126"/>
    <mergeCell ref="G126:I126"/>
    <mergeCell ref="J126:AA126"/>
    <mergeCell ref="J62:AA62"/>
    <mergeCell ref="J61:AA61"/>
    <mergeCell ref="J69:AA69"/>
    <mergeCell ref="G76:I76"/>
    <mergeCell ref="D74:F74"/>
    <mergeCell ref="D119:F119"/>
    <mergeCell ref="G119:I119"/>
    <mergeCell ref="J119:AA119"/>
    <mergeCell ref="D114:F114"/>
    <mergeCell ref="G114:I114"/>
    <mergeCell ref="J114:AA114"/>
    <mergeCell ref="D113:F113"/>
    <mergeCell ref="G113:I113"/>
    <mergeCell ref="J113:AA113"/>
    <mergeCell ref="D118:F118"/>
    <mergeCell ref="G118:I118"/>
    <mergeCell ref="J118:AA118"/>
    <mergeCell ref="D115:F115"/>
    <mergeCell ref="G115:I115"/>
    <mergeCell ref="J115:AA115"/>
    <mergeCell ref="D116:F116"/>
  </mergeCells>
  <phoneticPr fontId="70" type="noConversion"/>
  <hyperlinks>
    <hyperlink ref="J11" r:id="rId1" xr:uid="{5630DE58-BA6B-46B1-85D3-F414A4D4B53F}"/>
    <hyperlink ref="L10:Q10" r:id="rId2" display="http://coursconstructionacier.fr" xr:uid="{46CF4A89-9EF7-4357-97B4-FFCD0310627E}"/>
    <hyperlink ref="W10:AA10" r:id="rId3" display="CreativeCommon" xr:uid="{732FC550-5EAB-4D7C-B6AA-FA4D387D3D19}"/>
  </hyperlinks>
  <pageMargins left="0.7" right="0.7" top="0.75" bottom="0.75" header="0.3" footer="0.3"/>
  <pageSetup paperSize="9" scale="76" orientation="portrait" horizontalDpi="4294967292" verticalDpi="1200" r:id="rId4"/>
  <rowBreaks count="1" manualBreakCount="1">
    <brk id="52" min="1" max="27" man="1"/>
  </rowBreaks>
  <drawing r:id="rId5"/>
  <legacyDrawing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03131-CD1A-45B4-B5E4-4A4071753637}">
  <sheetPr>
    <tabColor rgb="FF92D050"/>
  </sheetPr>
  <dimension ref="D3:AA24"/>
  <sheetViews>
    <sheetView view="pageBreakPreview" zoomScaleNormal="100" zoomScaleSheetLayoutView="100" workbookViewId="0">
      <selection activeCell="D3" sqref="D3:X4"/>
    </sheetView>
  </sheetViews>
  <sheetFormatPr baseColWidth="10" defaultColWidth="4.28515625" defaultRowHeight="15" x14ac:dyDescent="0.25"/>
  <cols>
    <col min="1" max="1" width="4.28515625" style="240"/>
    <col min="2" max="2" width="1.7109375" style="240" customWidth="1"/>
    <col min="3" max="28" width="4.28515625" style="240"/>
    <col min="29" max="29" width="1.7109375" style="240" customWidth="1"/>
    <col min="30" max="16384" width="4.28515625" style="240"/>
  </cols>
  <sheetData>
    <row r="3" spans="4:27" x14ac:dyDescent="0.25">
      <c r="D3" s="989" t="s">
        <v>1963</v>
      </c>
      <c r="E3" s="990"/>
      <c r="F3" s="990"/>
      <c r="G3" s="990"/>
      <c r="H3" s="990"/>
      <c r="I3" s="990"/>
      <c r="J3" s="990"/>
      <c r="K3" s="990"/>
      <c r="L3" s="990"/>
      <c r="M3" s="990"/>
      <c r="N3" s="990"/>
      <c r="O3" s="990"/>
      <c r="P3" s="990"/>
      <c r="Q3" s="990"/>
      <c r="R3" s="990"/>
      <c r="S3" s="990"/>
      <c r="T3" s="990"/>
      <c r="U3" s="990"/>
      <c r="V3" s="990"/>
      <c r="W3" s="990"/>
      <c r="X3" s="990"/>
      <c r="Y3" s="972" t="s">
        <v>1964</v>
      </c>
      <c r="Z3" s="972"/>
      <c r="AA3" s="973"/>
    </row>
    <row r="4" spans="4:27" x14ac:dyDescent="0.25">
      <c r="D4" s="991"/>
      <c r="E4" s="992"/>
      <c r="F4" s="992"/>
      <c r="G4" s="992"/>
      <c r="H4" s="992"/>
      <c r="I4" s="992"/>
      <c r="J4" s="992"/>
      <c r="K4" s="992"/>
      <c r="L4" s="992"/>
      <c r="M4" s="992"/>
      <c r="N4" s="992"/>
      <c r="O4" s="992"/>
      <c r="P4" s="992"/>
      <c r="Q4" s="992"/>
      <c r="R4" s="992"/>
      <c r="S4" s="992"/>
      <c r="T4" s="992"/>
      <c r="U4" s="992"/>
      <c r="V4" s="992"/>
      <c r="W4" s="992"/>
      <c r="X4" s="992"/>
      <c r="Y4" s="1017" t="s">
        <v>1965</v>
      </c>
      <c r="Z4" s="1017"/>
      <c r="AA4" s="1018"/>
    </row>
    <row r="6" spans="4:27" ht="15.75" thickBot="1" x14ac:dyDescent="0.3">
      <c r="D6" s="276" t="s">
        <v>1966</v>
      </c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</row>
    <row r="7" spans="4:27" ht="15" customHeight="1" x14ac:dyDescent="0.25">
      <c r="D7" s="943"/>
      <c r="E7" s="943"/>
      <c r="F7" s="943"/>
      <c r="G7" s="943"/>
      <c r="H7" s="943"/>
      <c r="I7" s="943"/>
      <c r="J7" s="943"/>
      <c r="K7" s="943"/>
      <c r="L7" s="943"/>
      <c r="M7" s="943"/>
      <c r="N7" s="943"/>
      <c r="O7" s="943"/>
      <c r="P7" s="943"/>
      <c r="Q7" s="943"/>
      <c r="R7" s="943"/>
      <c r="S7" s="943"/>
      <c r="T7" s="943"/>
      <c r="U7" s="943"/>
      <c r="V7" s="943"/>
      <c r="W7" s="943"/>
      <c r="X7" s="943"/>
      <c r="Y7" s="943"/>
      <c r="Z7" s="943"/>
      <c r="AA7" s="943"/>
    </row>
    <row r="8" spans="4:27" x14ac:dyDescent="0.25">
      <c r="F8" s="942" t="s">
        <v>1976</v>
      </c>
      <c r="H8" s="1016">
        <v>1</v>
      </c>
      <c r="I8" s="1016"/>
      <c r="K8" s="944" t="s">
        <v>1967</v>
      </c>
      <c r="M8" s="944"/>
      <c r="N8" s="944"/>
      <c r="O8" s="944"/>
      <c r="P8" s="944"/>
      <c r="Q8" s="944"/>
      <c r="R8" s="944"/>
      <c r="S8" s="944"/>
      <c r="T8" s="944"/>
      <c r="U8" s="944"/>
      <c r="V8" s="944"/>
      <c r="W8" s="944"/>
      <c r="X8" s="944"/>
      <c r="Y8" s="944"/>
      <c r="Z8" s="944"/>
      <c r="AA8" s="944"/>
    </row>
    <row r="9" spans="4:27" x14ac:dyDescent="0.25">
      <c r="F9" s="942"/>
      <c r="K9" s="944"/>
      <c r="M9" s="944"/>
      <c r="N9" s="944"/>
      <c r="O9" s="944"/>
      <c r="P9" s="944"/>
      <c r="Q9" s="944"/>
      <c r="R9" s="944"/>
      <c r="S9" s="944"/>
      <c r="T9" s="944"/>
      <c r="U9" s="944"/>
      <c r="V9" s="944"/>
      <c r="W9" s="944"/>
      <c r="X9" s="944"/>
      <c r="Y9" s="944"/>
      <c r="Z9" s="944"/>
      <c r="AA9" s="944"/>
    </row>
    <row r="10" spans="4:27" x14ac:dyDescent="0.25">
      <c r="F10" s="942" t="s">
        <v>1977</v>
      </c>
      <c r="H10" s="1016">
        <v>1</v>
      </c>
      <c r="I10" s="1016"/>
      <c r="K10" s="240" t="s">
        <v>1968</v>
      </c>
    </row>
    <row r="11" spans="4:27" x14ac:dyDescent="0.25">
      <c r="F11" s="942"/>
    </row>
    <row r="12" spans="4:27" x14ac:dyDescent="0.25">
      <c r="F12" s="942" t="s">
        <v>1978</v>
      </c>
      <c r="H12" s="1016">
        <v>1.25</v>
      </c>
      <c r="I12" s="1016"/>
      <c r="K12" s="359" t="s">
        <v>1969</v>
      </c>
      <c r="M12" s="738"/>
      <c r="N12" s="738"/>
      <c r="O12" s="738"/>
      <c r="P12" s="738"/>
      <c r="Q12" s="738"/>
      <c r="R12" s="738"/>
      <c r="S12" s="521"/>
      <c r="T12" s="359"/>
      <c r="U12" s="359"/>
      <c r="V12" s="359"/>
      <c r="W12" s="941"/>
      <c r="X12" s="941"/>
      <c r="Y12" s="941"/>
      <c r="Z12" s="941"/>
      <c r="AA12" s="941"/>
    </row>
    <row r="13" spans="4:27" x14ac:dyDescent="0.25">
      <c r="F13" s="942"/>
      <c r="K13" s="359"/>
      <c r="M13" s="738"/>
      <c r="N13" s="738"/>
      <c r="O13" s="738"/>
      <c r="P13" s="738"/>
      <c r="Q13" s="738"/>
      <c r="R13" s="738"/>
      <c r="S13" s="521"/>
      <c r="T13" s="359"/>
      <c r="U13" s="359"/>
      <c r="V13" s="359"/>
      <c r="W13" s="941"/>
      <c r="X13" s="941"/>
      <c r="Y13" s="941"/>
      <c r="Z13" s="941"/>
      <c r="AA13" s="941"/>
    </row>
    <row r="14" spans="4:27" x14ac:dyDescent="0.25">
      <c r="F14" s="942" t="s">
        <v>1979</v>
      </c>
      <c r="H14" s="1016">
        <v>1.25</v>
      </c>
      <c r="I14" s="1016"/>
      <c r="K14" s="359" t="s">
        <v>1974</v>
      </c>
      <c r="M14" s="359"/>
      <c r="N14" s="359"/>
      <c r="O14" s="359"/>
      <c r="P14" s="359"/>
      <c r="Q14" s="359"/>
      <c r="R14" s="359"/>
      <c r="S14" s="359"/>
      <c r="T14" s="359"/>
      <c r="U14" s="359"/>
      <c r="V14" s="359"/>
      <c r="W14" s="359"/>
      <c r="X14" s="359"/>
      <c r="Y14" s="359"/>
      <c r="Z14" s="359"/>
      <c r="AA14" s="359"/>
    </row>
    <row r="15" spans="4:27" x14ac:dyDescent="0.25">
      <c r="F15" s="942"/>
      <c r="K15" s="359"/>
      <c r="M15" s="359"/>
      <c r="N15" s="359"/>
      <c r="O15" s="359"/>
      <c r="P15" s="359"/>
      <c r="Q15" s="359"/>
      <c r="R15" s="359"/>
      <c r="S15" s="359"/>
      <c r="T15" s="359"/>
      <c r="U15" s="359"/>
      <c r="V15" s="359"/>
      <c r="W15" s="359"/>
      <c r="X15" s="359"/>
      <c r="Y15" s="359"/>
      <c r="Z15" s="359"/>
      <c r="AA15" s="359"/>
    </row>
    <row r="16" spans="4:27" x14ac:dyDescent="0.25">
      <c r="F16" s="360" t="s">
        <v>1980</v>
      </c>
      <c r="H16" s="1016">
        <v>1.1000000000000001</v>
      </c>
      <c r="I16" s="1016"/>
      <c r="K16" s="240" t="s">
        <v>1975</v>
      </c>
    </row>
    <row r="17" spans="6:11" x14ac:dyDescent="0.25">
      <c r="F17" s="360"/>
    </row>
    <row r="18" spans="6:11" x14ac:dyDescent="0.25">
      <c r="F18" s="360" t="s">
        <v>1981</v>
      </c>
      <c r="H18" s="1016">
        <v>1</v>
      </c>
      <c r="I18" s="1016"/>
      <c r="K18" s="240" t="s">
        <v>1970</v>
      </c>
    </row>
    <row r="19" spans="6:11" x14ac:dyDescent="0.25">
      <c r="F19" s="360"/>
    </row>
    <row r="20" spans="6:11" x14ac:dyDescent="0.25">
      <c r="F20" s="360" t="s">
        <v>1982</v>
      </c>
      <c r="H20" s="1016">
        <v>1</v>
      </c>
      <c r="I20" s="1016"/>
      <c r="K20" s="240" t="s">
        <v>1971</v>
      </c>
    </row>
    <row r="21" spans="6:11" x14ac:dyDescent="0.25">
      <c r="F21" s="360"/>
    </row>
    <row r="22" spans="6:11" x14ac:dyDescent="0.25">
      <c r="F22" s="360" t="s">
        <v>1983</v>
      </c>
      <c r="H22" s="1016">
        <v>1.1000000000000001</v>
      </c>
      <c r="I22" s="1016"/>
      <c r="K22" s="240" t="s">
        <v>1972</v>
      </c>
    </row>
    <row r="23" spans="6:11" x14ac:dyDescent="0.25">
      <c r="F23" s="360"/>
    </row>
    <row r="24" spans="6:11" x14ac:dyDescent="0.25">
      <c r="F24" s="360" t="s">
        <v>1984</v>
      </c>
      <c r="H24" s="1016">
        <v>1.1000000000000001</v>
      </c>
      <c r="I24" s="1016"/>
      <c r="K24" s="240" t="s">
        <v>1973</v>
      </c>
    </row>
  </sheetData>
  <sheetProtection algorithmName="SHA-512" hashValue="RQQjE5RZrL5g7l2m4Gjqp/vcRdq8CMSoTE2Ymc3Cyo6M7htShpdZJSi0QN5mnyBzFjK5FWNbBbc5h/ISJ2INsQ==" saltValue="VZnRAB/zHEAII/gf/ppBQw==" spinCount="100000" sheet="1" objects="1" scenarios="1"/>
  <mergeCells count="12">
    <mergeCell ref="H16:I16"/>
    <mergeCell ref="H18:I18"/>
    <mergeCell ref="H20:I20"/>
    <mergeCell ref="H22:I22"/>
    <mergeCell ref="H24:I24"/>
    <mergeCell ref="H14:I14"/>
    <mergeCell ref="D3:X4"/>
    <mergeCell ref="Y3:AA3"/>
    <mergeCell ref="Y4:AA4"/>
    <mergeCell ref="H8:I8"/>
    <mergeCell ref="H10:I10"/>
    <mergeCell ref="H12:I12"/>
  </mergeCells>
  <dataValidations count="1">
    <dataValidation type="list" allowBlank="1" showInputMessage="1" showErrorMessage="1" sqref="Y4:AA4" xr:uid="{89CA40A3-3CB3-49A4-AAC2-1322B1780FC7}">
      <formula1>"FR,EN"</formula1>
    </dataValidation>
  </dataValidations>
  <pageMargins left="0.7" right="0.7" top="0.75" bottom="0.75" header="0.3" footer="0.3"/>
  <pageSetup paperSize="9" scale="76" orientation="portrait" horizontalDpi="4294967292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D0FF2-5A90-4480-B6B6-0E4F5774AC1E}">
  <sheetPr codeName="Feuil14">
    <tabColor rgb="FF0070C0"/>
    <pageSetUpPr fitToPage="1"/>
  </sheetPr>
  <dimension ref="B1:AA173"/>
  <sheetViews>
    <sheetView zoomScaleNormal="100" zoomScaleSheetLayoutView="100" workbookViewId="0">
      <selection activeCell="D4" sqref="D4"/>
    </sheetView>
  </sheetViews>
  <sheetFormatPr baseColWidth="10" defaultColWidth="10.7109375" defaultRowHeight="15" x14ac:dyDescent="0.25"/>
  <cols>
    <col min="1" max="1" width="6.28515625" style="377" customWidth="1"/>
    <col min="2" max="2" width="2.140625" style="377" customWidth="1"/>
    <col min="3" max="10" width="10.7109375" style="377" customWidth="1"/>
    <col min="11" max="11" width="2.140625" style="377" customWidth="1"/>
    <col min="12" max="12" width="6.28515625" style="377" customWidth="1"/>
    <col min="13" max="13" width="10.7109375" style="377"/>
    <col min="14" max="14" width="15.7109375" style="377" customWidth="1"/>
    <col min="15" max="15" width="10.7109375" style="377"/>
    <col min="16" max="16" width="15.7109375" style="377" customWidth="1"/>
    <col min="17" max="17" width="10.7109375" style="377" customWidth="1"/>
    <col min="18" max="16384" width="10.7109375" style="377"/>
  </cols>
  <sheetData>
    <row r="1" spans="2:27" x14ac:dyDescent="0.25">
      <c r="Q1" s="359"/>
      <c r="R1" s="359"/>
      <c r="S1" s="359"/>
    </row>
    <row r="2" spans="2:27" x14ac:dyDescent="0.25">
      <c r="B2" s="444"/>
      <c r="C2" s="445"/>
      <c r="D2" s="445"/>
      <c r="E2" s="445"/>
      <c r="F2" s="445"/>
      <c r="G2" s="445"/>
      <c r="H2" s="445"/>
      <c r="I2" s="510"/>
      <c r="J2" s="445"/>
      <c r="K2" s="446"/>
      <c r="M2" s="392"/>
      <c r="N2" s="394"/>
    </row>
    <row r="3" spans="2:27" ht="15" customHeight="1" x14ac:dyDescent="0.25">
      <c r="B3" s="447"/>
      <c r="C3" s="531" t="str">
        <f>IF(Configuration!$Y$4="EN","Bolt resistance","Résistance des boulons")</f>
        <v>Résistance des boulons</v>
      </c>
      <c r="I3" s="645" t="s">
        <v>1776</v>
      </c>
      <c r="J3" s="433">
        <f>MAX(I10,I8,I13)</f>
        <v>0.24432516061980347</v>
      </c>
      <c r="K3" s="448"/>
      <c r="M3" s="392"/>
      <c r="N3" s="392"/>
      <c r="O3" s="392"/>
      <c r="P3" s="392"/>
      <c r="Q3" s="392"/>
      <c r="R3" s="392"/>
      <c r="S3" s="392"/>
      <c r="T3" s="392"/>
      <c r="U3" s="392"/>
      <c r="V3" s="392"/>
    </row>
    <row r="4" spans="2:27" ht="15" customHeight="1" x14ac:dyDescent="0.25">
      <c r="B4" s="447"/>
      <c r="C4" s="925" t="s">
        <v>735</v>
      </c>
      <c r="D4" s="703">
        <v>2200</v>
      </c>
      <c r="E4" s="925" t="s">
        <v>733</v>
      </c>
      <c r="F4" s="796">
        <v>12</v>
      </c>
      <c r="G4" s="927" t="str">
        <f>IF(Configuration!$Y$4="EN","Class","Classe")</f>
        <v>Classe</v>
      </c>
      <c r="H4" s="678">
        <v>8.8000000000000007</v>
      </c>
      <c r="I4" s="925" t="str">
        <f>IF(Configuration!$Y$4="EN","Sheared in","Cissaillé dans")</f>
        <v>Cissaillé dans</v>
      </c>
      <c r="J4" s="926" t="s">
        <v>1772</v>
      </c>
      <c r="K4" s="448"/>
      <c r="M4" s="392"/>
      <c r="N4" s="392"/>
      <c r="O4" s="392"/>
      <c r="P4" s="392"/>
      <c r="Q4" s="392"/>
      <c r="R4" s="392"/>
      <c r="S4" s="392"/>
      <c r="T4" s="392"/>
      <c r="U4" s="392"/>
      <c r="V4" s="392"/>
    </row>
    <row r="5" spans="2:27" ht="15" customHeight="1" x14ac:dyDescent="0.25">
      <c r="B5" s="447"/>
      <c r="C5" s="925" t="s">
        <v>689</v>
      </c>
      <c r="D5" s="703">
        <v>2000</v>
      </c>
      <c r="E5" s="927" t="str">
        <f>IF(Configuration!$Y$4="EN","No. Bolts =","Nb Bls =")</f>
        <v>Nb Bls =</v>
      </c>
      <c r="F5" s="678">
        <v>4</v>
      </c>
      <c r="G5" s="1032" t="str">
        <f>IF(Configuration!$Y$4="EN","Number of shear planes =","Nombre de plans de cisaillement =")</f>
        <v>Nombre de plans de cisaillement =</v>
      </c>
      <c r="H5" s="1032"/>
      <c r="I5" s="1032"/>
      <c r="J5" s="678">
        <v>1</v>
      </c>
      <c r="K5" s="448"/>
      <c r="M5" s="392"/>
      <c r="N5" s="392"/>
      <c r="O5" s="392"/>
      <c r="P5" s="392"/>
      <c r="Q5" s="392"/>
      <c r="R5" s="392"/>
      <c r="S5" s="392"/>
      <c r="T5" s="392"/>
      <c r="U5" s="392"/>
      <c r="V5" s="392"/>
    </row>
    <row r="6" spans="2:27" ht="15" customHeight="1" x14ac:dyDescent="0.25">
      <c r="B6" s="447"/>
      <c r="C6" s="531"/>
      <c r="D6" s="760" t="s">
        <v>1670</v>
      </c>
      <c r="E6" s="928">
        <f>VLOOKUP(F4,Data!$K$3:$P$20,4)</f>
        <v>113</v>
      </c>
      <c r="F6" s="760" t="s">
        <v>1913</v>
      </c>
      <c r="G6" s="929">
        <f>VLOOKUP(H4,Data!$F$3:$H$16,2)</f>
        <v>64</v>
      </c>
      <c r="H6" s="760" t="s">
        <v>1915</v>
      </c>
      <c r="I6" s="930">
        <f>VLOOKUP(H4,Data!$F$2:$I$16,4)</f>
        <v>0.6</v>
      </c>
      <c r="K6" s="448"/>
      <c r="M6" s="392"/>
      <c r="N6" s="392"/>
      <c r="O6" s="392"/>
      <c r="P6" s="392"/>
      <c r="Q6" s="392"/>
      <c r="R6" s="392"/>
      <c r="S6" s="392"/>
      <c r="T6" s="392"/>
      <c r="U6" s="392"/>
      <c r="V6" s="392"/>
    </row>
    <row r="7" spans="2:27" ht="15" customHeight="1" x14ac:dyDescent="0.25">
      <c r="B7" s="447"/>
      <c r="C7" s="531"/>
      <c r="D7" s="760" t="s">
        <v>1912</v>
      </c>
      <c r="E7" s="928">
        <f>VLOOKUP(F4,Data!$K$3:$P$20,5)</f>
        <v>84</v>
      </c>
      <c r="F7" s="760" t="s">
        <v>1914</v>
      </c>
      <c r="G7" s="929">
        <f>VLOOKUP(H4,Data!$F$3:$H$16,3)</f>
        <v>80</v>
      </c>
      <c r="I7" s="413"/>
      <c r="K7" s="448"/>
      <c r="M7" s="392"/>
      <c r="N7" s="392"/>
      <c r="Q7" s="392"/>
      <c r="R7" s="392"/>
      <c r="S7" s="392"/>
      <c r="T7" s="392"/>
      <c r="U7" s="392"/>
      <c r="V7" s="392"/>
    </row>
    <row r="8" spans="2:27" x14ac:dyDescent="0.25">
      <c r="B8" s="447"/>
      <c r="C8" s="550" t="str">
        <f>IF(Configuration!$Y$4="EN","Bolt resistance per shear plane in "&amp;J4,"Résistance par boulon par plan de cisaillemment dans la "&amp;J4)</f>
        <v>Résistance par boulon par plan de cisaillemment dans la Partie Filetée</v>
      </c>
      <c r="I8" s="435">
        <f>(D4/(F5*J5))/E9</f>
        <v>0.1705109126984127</v>
      </c>
      <c r="K8" s="448"/>
      <c r="M8" s="392"/>
      <c r="N8" s="392"/>
      <c r="O8" s="392"/>
      <c r="P8" s="392"/>
      <c r="Q8" s="392"/>
      <c r="R8" s="392"/>
      <c r="S8" s="392"/>
      <c r="T8" s="392"/>
      <c r="U8" s="392"/>
      <c r="V8" s="392"/>
    </row>
    <row r="9" spans="2:27" x14ac:dyDescent="0.25">
      <c r="B9" s="447"/>
      <c r="D9" s="360" t="s">
        <v>736</v>
      </c>
      <c r="E9" s="1031">
        <f>IF(J4="Partie NON Filetée",(0.6*G7*E6)/G_M2,(I6*G7*E7)/G_M2)</f>
        <v>3225.6</v>
      </c>
      <c r="F9" s="1031"/>
      <c r="K9" s="448"/>
      <c r="M9" s="392"/>
      <c r="N9" s="392"/>
      <c r="O9" s="392"/>
      <c r="P9" s="392"/>
      <c r="Q9" s="392"/>
      <c r="R9" s="392"/>
      <c r="S9" s="392"/>
      <c r="T9" s="392"/>
      <c r="U9" s="392"/>
      <c r="V9" s="392"/>
    </row>
    <row r="10" spans="2:27" x14ac:dyDescent="0.25">
      <c r="B10" s="447"/>
      <c r="C10" s="550" t="str">
        <f>IF(Configuration!$Y$4="EN","Bolt resistance in tension only","Résistance par boulon en traction seule")</f>
        <v>Résistance par boulon en traction seule</v>
      </c>
      <c r="I10" s="435">
        <f>(D5/F5)/E11</f>
        <v>0.10333994708994709</v>
      </c>
      <c r="K10" s="448"/>
      <c r="M10" s="392"/>
      <c r="N10" s="392"/>
      <c r="O10" s="392"/>
      <c r="P10" s="392"/>
      <c r="Q10" s="392"/>
      <c r="R10" s="392"/>
      <c r="S10" s="392"/>
      <c r="T10" s="392"/>
      <c r="U10" s="392"/>
      <c r="V10" s="392"/>
    </row>
    <row r="11" spans="2:27" x14ac:dyDescent="0.25">
      <c r="B11" s="447"/>
      <c r="D11" s="360" t="s">
        <v>734</v>
      </c>
      <c r="E11" s="1031">
        <f>(0.9*G7*E7)/G_M2</f>
        <v>4838.3999999999996</v>
      </c>
      <c r="F11" s="1031"/>
      <c r="K11" s="448"/>
      <c r="M11" s="392"/>
      <c r="N11" s="392"/>
      <c r="O11" s="392"/>
      <c r="P11" s="392"/>
      <c r="Q11" s="392"/>
      <c r="R11" s="392"/>
      <c r="S11" s="392"/>
      <c r="T11" s="392"/>
      <c r="U11" s="392"/>
      <c r="V11" s="392"/>
    </row>
    <row r="12" spans="2:27" x14ac:dyDescent="0.25">
      <c r="B12" s="447"/>
      <c r="C12" s="550" t="str">
        <f>IF(Configuration!$Y$4="EN","Bolt resistance in tension and shear","Résistance par boulon en traction et cisaillement")</f>
        <v>Résistance par boulon en traction et cisaillement</v>
      </c>
      <c r="E12" s="525"/>
      <c r="F12" s="525"/>
      <c r="H12" s="240"/>
      <c r="K12" s="448"/>
      <c r="M12" s="392"/>
      <c r="N12" s="392"/>
      <c r="O12" s="392"/>
      <c r="P12" s="392"/>
      <c r="Q12" s="392"/>
      <c r="R12" s="392"/>
      <c r="S12" s="392"/>
      <c r="T12" s="392"/>
      <c r="U12" s="392"/>
      <c r="V12" s="392"/>
    </row>
    <row r="13" spans="2:27" ht="18" x14ac:dyDescent="0.25">
      <c r="B13" s="447"/>
      <c r="D13" s="360"/>
      <c r="E13" s="756"/>
      <c r="F13" s="756"/>
      <c r="G13" s="288" t="s">
        <v>1771</v>
      </c>
      <c r="H13" s="377" t="str">
        <f>IF(I13&lt;=1,"≤","&gt;")</f>
        <v>≤</v>
      </c>
      <c r="I13" s="435">
        <f>I8+(D5/F5)/(1.4*E11)</f>
        <v>0.24432516061980347</v>
      </c>
      <c r="K13" s="448"/>
      <c r="M13" s="392"/>
      <c r="N13" s="392"/>
      <c r="O13" s="392"/>
      <c r="P13" s="392"/>
      <c r="Q13" s="392"/>
      <c r="R13" s="392"/>
      <c r="S13" s="392"/>
      <c r="T13" s="392"/>
      <c r="U13" s="392"/>
      <c r="V13" s="392"/>
    </row>
    <row r="14" spans="2:27" x14ac:dyDescent="0.25">
      <c r="B14" s="447"/>
      <c r="D14" s="360"/>
      <c r="E14" s="756"/>
      <c r="F14" s="756"/>
      <c r="G14" s="288"/>
      <c r="I14" s="435"/>
      <c r="K14" s="448"/>
      <c r="M14" s="392"/>
      <c r="N14" s="392"/>
      <c r="O14" s="392"/>
      <c r="P14" s="392"/>
      <c r="Q14" s="392"/>
      <c r="R14" s="392"/>
      <c r="S14" s="392"/>
      <c r="T14" s="392"/>
      <c r="U14" s="392"/>
      <c r="V14" s="392"/>
    </row>
    <row r="15" spans="2:27" x14ac:dyDescent="0.25">
      <c r="B15" s="447"/>
      <c r="C15" s="1019" t="s">
        <v>810</v>
      </c>
      <c r="D15" s="1019"/>
      <c r="E15" s="1019"/>
      <c r="F15" s="1019"/>
      <c r="G15" s="1019"/>
      <c r="H15" s="1019"/>
      <c r="I15" s="1019"/>
      <c r="J15" s="1019"/>
      <c r="K15" s="448"/>
    </row>
    <row r="16" spans="2:27" ht="16.5" thickBot="1" x14ac:dyDescent="0.3">
      <c r="B16" s="447"/>
      <c r="C16" s="531" t="str">
        <f>IF(Configuration!$Y$4="EN","Bearing resistance: general case","Pression diamétrale : cas général")</f>
        <v>Pression diamétrale : cas général</v>
      </c>
      <c r="I16" s="645" t="s">
        <v>1776</v>
      </c>
      <c r="J16" s="433">
        <f>MAX(I19,I26,I33)</f>
        <v>4.7958537437584423E-2</v>
      </c>
      <c r="K16" s="448"/>
      <c r="M16" s="432" t="s">
        <v>1774</v>
      </c>
      <c r="O16" s="398"/>
      <c r="P16" s="398"/>
      <c r="AA16" s="359"/>
    </row>
    <row r="17" spans="2:17" ht="18" x14ac:dyDescent="0.25">
      <c r="B17" s="447"/>
      <c r="C17" s="528"/>
      <c r="E17" s="443" t="str">
        <f>O21&amp;" * Boulons M"&amp;O19&amp;" - "&amp;O20&amp;" / Plat ép. "&amp;O18&amp;" mm - "&amp;Q18</f>
        <v>8 * Boulons M12 - 8.8 / Plat ép. 8 mm - S275</v>
      </c>
      <c r="K17" s="448"/>
      <c r="M17" s="772" t="s">
        <v>1281</v>
      </c>
      <c r="N17" s="761" t="s">
        <v>721</v>
      </c>
      <c r="O17" s="690">
        <v>1700</v>
      </c>
      <c r="P17" s="761" t="s">
        <v>724</v>
      </c>
      <c r="Q17" s="762">
        <v>1400</v>
      </c>
    </row>
    <row r="18" spans="2:17" x14ac:dyDescent="0.25">
      <c r="B18" s="447"/>
      <c r="C18" s="528"/>
      <c r="E18" s="443" t="str">
        <f>"e1 = "&amp;N24&amp;" mm - p1 = "&amp;N25&amp;" mm - e2 = "&amp;N26&amp;" mm - p2 = "&amp;N27&amp;" mm"</f>
        <v>e1 = 63 mm - p1 = 56 mm - e2 = 22 mm - p2 = 100 mm</v>
      </c>
      <c r="F18" s="443"/>
      <c r="G18" s="443"/>
      <c r="H18" s="443"/>
      <c r="J18" s="433"/>
      <c r="K18" s="448"/>
      <c r="M18" s="773" t="s">
        <v>741</v>
      </c>
      <c r="N18" s="768" t="s">
        <v>628</v>
      </c>
      <c r="O18" s="691">
        <v>8</v>
      </c>
      <c r="P18" s="768" t="s">
        <v>423</v>
      </c>
      <c r="Q18" s="769" t="s">
        <v>437</v>
      </c>
    </row>
    <row r="19" spans="2:17" ht="18" x14ac:dyDescent="0.25">
      <c r="B19" s="447"/>
      <c r="C19" s="753" t="str">
        <f>IF(Configuration!$Y$4="EN","Longitudinal bearing","Pression longitudinale")</f>
        <v>Pression longitudinale</v>
      </c>
      <c r="F19" s="437" t="s">
        <v>1925</v>
      </c>
      <c r="G19" s="931">
        <f>O17</f>
        <v>1700</v>
      </c>
      <c r="H19" s="288" t="s">
        <v>1791</v>
      </c>
      <c r="I19" s="435">
        <f>(O17/O21)/E24</f>
        <v>2.5738856589147287E-2</v>
      </c>
      <c r="K19" s="448"/>
      <c r="M19" s="774" t="s">
        <v>653</v>
      </c>
      <c r="N19" s="758" t="s">
        <v>653</v>
      </c>
      <c r="O19" s="759">
        <v>12</v>
      </c>
      <c r="P19" s="760" t="s">
        <v>1775</v>
      </c>
      <c r="Q19" s="763">
        <f>VLOOKUP(Q18,Data!$A$3:$D$34,3,FALSE)</f>
        <v>43</v>
      </c>
    </row>
    <row r="20" spans="2:17" ht="18" x14ac:dyDescent="0.25">
      <c r="B20" s="447"/>
      <c r="D20" s="288" t="s">
        <v>1778</v>
      </c>
      <c r="E20" s="757">
        <f>Q21/Q19</f>
        <v>1.8604651162790697</v>
      </c>
      <c r="F20" s="757">
        <f>N24/(3*Q20)</f>
        <v>1.5</v>
      </c>
      <c r="G20" s="757">
        <f>IF((N25/(3*Q20))-0.25&lt;0,1,(N25/(3*Q20))-0.25)</f>
        <v>1.0833333333333333</v>
      </c>
      <c r="H20" s="377" t="s">
        <v>1780</v>
      </c>
      <c r="K20" s="448"/>
      <c r="M20" s="518"/>
      <c r="N20" s="758" t="s">
        <v>566</v>
      </c>
      <c r="O20" s="681">
        <v>8.8000000000000007</v>
      </c>
      <c r="P20" s="760" t="s">
        <v>729</v>
      </c>
      <c r="Q20" s="764">
        <f>VLOOKUP(O19,Data!$K$3:$Q$20,6,FALSE)</f>
        <v>14</v>
      </c>
    </row>
    <row r="21" spans="2:17" ht="18.75" thickBot="1" x14ac:dyDescent="0.3">
      <c r="B21" s="447"/>
      <c r="C21" s="521"/>
      <c r="D21" s="462" t="s">
        <v>1784</v>
      </c>
      <c r="E21" s="776">
        <f>MIN(E20,F20,G20,1)</f>
        <v>1</v>
      </c>
      <c r="K21" s="448"/>
      <c r="M21" s="519"/>
      <c r="N21" s="765" t="s">
        <v>732</v>
      </c>
      <c r="O21" s="700">
        <v>8</v>
      </c>
      <c r="P21" s="766" t="s">
        <v>731</v>
      </c>
      <c r="Q21" s="767">
        <f>VLOOKUP(O20,Data!$F$3:$I$16,3,FALSE)</f>
        <v>80</v>
      </c>
    </row>
    <row r="22" spans="2:17" ht="18.75" thickBot="1" x14ac:dyDescent="0.3">
      <c r="B22" s="447"/>
      <c r="D22" s="288" t="s">
        <v>1777</v>
      </c>
      <c r="E22" s="757">
        <f>(2.8*N26/Q20)-1.7</f>
        <v>2.6999999999999993</v>
      </c>
      <c r="F22" s="757">
        <f>IF(N27=0,2.5,(1.4*N27/Q20)-1.7)</f>
        <v>8.3000000000000007</v>
      </c>
      <c r="G22" s="377" t="s">
        <v>1779</v>
      </c>
      <c r="K22" s="448"/>
    </row>
    <row r="23" spans="2:17" ht="18" x14ac:dyDescent="0.25">
      <c r="B23" s="447"/>
      <c r="D23" s="462" t="s">
        <v>1785</v>
      </c>
      <c r="E23" s="777">
        <f>MIN(E22,F22,2.5)</f>
        <v>2.5</v>
      </c>
      <c r="F23" s="374"/>
      <c r="K23" s="448"/>
      <c r="M23" s="399"/>
      <c r="N23" s="1033" t="s">
        <v>1790</v>
      </c>
      <c r="O23" s="1034"/>
      <c r="P23" s="376" t="s">
        <v>722</v>
      </c>
      <c r="Q23" s="400" t="s">
        <v>723</v>
      </c>
    </row>
    <row r="24" spans="2:17" ht="18" x14ac:dyDescent="0.25">
      <c r="B24" s="447"/>
      <c r="D24" s="288" t="s">
        <v>1781</v>
      </c>
      <c r="E24" s="1035">
        <f>E23*E21*Q19*O19*O18/G_M2</f>
        <v>8256</v>
      </c>
      <c r="F24" s="1035"/>
      <c r="G24" s="1035"/>
      <c r="K24" s="448"/>
      <c r="M24" s="401" t="s">
        <v>725</v>
      </c>
      <c r="N24" s="691">
        <v>63</v>
      </c>
      <c r="O24" s="402">
        <f>IF(OR(N24&lt;P24,N24&gt;Q24),2,0)</f>
        <v>0</v>
      </c>
      <c r="P24" s="403">
        <f>1.2*Q20</f>
        <v>16.8</v>
      </c>
      <c r="Q24" s="404">
        <f>4*O18+40</f>
        <v>72</v>
      </c>
    </row>
    <row r="25" spans="2:17" x14ac:dyDescent="0.25">
      <c r="B25" s="447"/>
      <c r="K25" s="448"/>
      <c r="M25" s="401" t="s">
        <v>727</v>
      </c>
      <c r="N25" s="691">
        <v>56</v>
      </c>
      <c r="O25" s="402">
        <f>IF(N25=0,1,IF(OR(N25&lt;P25,N25&gt;Q25),2,0))</f>
        <v>0</v>
      </c>
      <c r="P25" s="403">
        <f>2.2*Q20</f>
        <v>30.800000000000004</v>
      </c>
      <c r="Q25" s="404">
        <f>MIN(200,14*O18)</f>
        <v>112</v>
      </c>
    </row>
    <row r="26" spans="2:17" ht="18" x14ac:dyDescent="0.25">
      <c r="B26" s="447"/>
      <c r="C26" s="753" t="str">
        <f>IF(Configuration!$Y$4="EN","Transverse bearing","Pression transversale")</f>
        <v>Pression transversale</v>
      </c>
      <c r="D26" s="288"/>
      <c r="E26" s="521"/>
      <c r="F26" s="437" t="s">
        <v>1926</v>
      </c>
      <c r="G26" s="931">
        <f>Q17</f>
        <v>1400</v>
      </c>
      <c r="H26" s="288" t="s">
        <v>1792</v>
      </c>
      <c r="I26" s="435">
        <f>(Q17/O21)/E31</f>
        <v>4.0466437632135296E-2</v>
      </c>
      <c r="K26" s="448"/>
      <c r="M26" s="401" t="s">
        <v>728</v>
      </c>
      <c r="N26" s="691">
        <v>22</v>
      </c>
      <c r="O26" s="402">
        <f>IF(OR(N26&lt;P26,N26&gt;Q26),2,0)</f>
        <v>0</v>
      </c>
      <c r="P26" s="403">
        <f>1.2*Q20</f>
        <v>16.8</v>
      </c>
      <c r="Q26" s="404">
        <f>4*O18+40</f>
        <v>72</v>
      </c>
    </row>
    <row r="27" spans="2:17" ht="18.75" thickBot="1" x14ac:dyDescent="0.3">
      <c r="B27" s="447"/>
      <c r="D27" s="288" t="s">
        <v>1782</v>
      </c>
      <c r="E27" s="757">
        <f>Q21/Q19</f>
        <v>1.8604651162790697</v>
      </c>
      <c r="F27" s="757">
        <f>N26/(3*Q20)</f>
        <v>0.52380952380952384</v>
      </c>
      <c r="G27" s="757">
        <f>IF((N27/(3*Q20))-0.25&lt;0,1,(N27/(3*Q20))-0.25)</f>
        <v>2.1309523809523809</v>
      </c>
      <c r="H27" s="377" t="s">
        <v>1780</v>
      </c>
      <c r="K27" s="448"/>
      <c r="M27" s="405" t="s">
        <v>730</v>
      </c>
      <c r="N27" s="692">
        <v>100</v>
      </c>
      <c r="O27" s="406">
        <f>IF(N27=0,1,IF(OR(N27&lt;P27,N27&gt;Q27),2,0))</f>
        <v>0</v>
      </c>
      <c r="P27" s="407">
        <f>2.4*Q20</f>
        <v>33.6</v>
      </c>
      <c r="Q27" s="408">
        <f>MIN(200,14*O18)</f>
        <v>112</v>
      </c>
    </row>
    <row r="28" spans="2:17" ht="18" x14ac:dyDescent="0.25">
      <c r="B28" s="447"/>
      <c r="D28" s="462" t="s">
        <v>1786</v>
      </c>
      <c r="E28" s="777">
        <f>MIN(E27,F27,G27,1)</f>
        <v>0.52380952380952384</v>
      </c>
      <c r="K28" s="448"/>
    </row>
    <row r="29" spans="2:17" ht="18" x14ac:dyDescent="0.25">
      <c r="B29" s="447"/>
      <c r="D29" s="288" t="s">
        <v>1783</v>
      </c>
      <c r="E29" s="757">
        <f>(2.8*N24/Q20)-1.7</f>
        <v>10.899999999999999</v>
      </c>
      <c r="F29" s="757">
        <f>IF(N25=0,2.5,(1.4*N25/Q20)-1.7)</f>
        <v>3.8999999999999995</v>
      </c>
      <c r="G29" s="377" t="s">
        <v>1779</v>
      </c>
      <c r="K29" s="448"/>
      <c r="M29" s="392"/>
      <c r="N29" s="394"/>
    </row>
    <row r="30" spans="2:17" ht="18" x14ac:dyDescent="0.25">
      <c r="B30" s="447"/>
      <c r="D30" s="462" t="s">
        <v>1787</v>
      </c>
      <c r="E30" s="778">
        <f>MIN(E29,F29,2.5)</f>
        <v>2.5</v>
      </c>
      <c r="K30" s="448"/>
      <c r="M30" s="392"/>
      <c r="N30" s="394"/>
    </row>
    <row r="31" spans="2:17" ht="18" x14ac:dyDescent="0.25">
      <c r="B31" s="447"/>
      <c r="D31" s="288" t="s">
        <v>726</v>
      </c>
      <c r="E31" s="1035">
        <f>E30*E28*Q19*O19*O18/G_M2</f>
        <v>4324.5714285714294</v>
      </c>
      <c r="F31" s="1035"/>
      <c r="G31" s="1035"/>
      <c r="K31" s="448"/>
      <c r="M31" s="392"/>
      <c r="N31" s="394"/>
    </row>
    <row r="32" spans="2:17" x14ac:dyDescent="0.25">
      <c r="B32" s="447"/>
      <c r="I32" s="441"/>
      <c r="K32" s="448"/>
      <c r="M32" s="392"/>
      <c r="N32" s="394"/>
    </row>
    <row r="33" spans="2:17" ht="18" x14ac:dyDescent="0.25">
      <c r="B33" s="447"/>
      <c r="C33" s="753" t="str">
        <f>IF(Configuration!$Y$4="EN","Longitudinal-transverse interaction","Interaction longitudinale-transversale")</f>
        <v>Interaction longitudinale-transversale</v>
      </c>
      <c r="H33" s="288" t="s">
        <v>1788</v>
      </c>
      <c r="I33" s="435">
        <f>SQRT(I19^2+I26^2)</f>
        <v>4.7958537437584423E-2</v>
      </c>
      <c r="K33" s="448"/>
      <c r="M33" s="392"/>
      <c r="N33" s="394"/>
    </row>
    <row r="34" spans="2:17" x14ac:dyDescent="0.25">
      <c r="B34" s="447"/>
      <c r="C34" s="1019" t="s">
        <v>810</v>
      </c>
      <c r="D34" s="1019"/>
      <c r="E34" s="1019"/>
      <c r="F34" s="1019"/>
      <c r="G34" s="1019"/>
      <c r="H34" s="1019"/>
      <c r="I34" s="1019"/>
      <c r="J34" s="1019"/>
      <c r="K34" s="448"/>
      <c r="M34" s="392"/>
      <c r="N34" s="394"/>
    </row>
    <row r="35" spans="2:17" ht="16.5" thickBot="1" x14ac:dyDescent="0.3">
      <c r="B35" s="447"/>
      <c r="C35" s="531" t="str">
        <f>IF(Configuration!$Y$4="EN","Bearing resistance: detailed case","Pression diamétrale : cas détaillé")</f>
        <v>Pression diamétrale : cas détaillé</v>
      </c>
      <c r="I35" s="645" t="s">
        <v>1776</v>
      </c>
      <c r="J35" s="433">
        <f>MAX(J49,J71,J94)</f>
        <v>0.79952485380116955</v>
      </c>
      <c r="K35" s="448"/>
      <c r="M35" s="432" t="s">
        <v>1789</v>
      </c>
      <c r="O35" s="398"/>
      <c r="P35" s="398"/>
    </row>
    <row r="36" spans="2:17" ht="18" x14ac:dyDescent="0.25">
      <c r="B36" s="447"/>
      <c r="C36" s="535" t="str">
        <f>IF(Configuration!$Y$4="EN","Geometry","Géométrie")</f>
        <v>Géométrie</v>
      </c>
      <c r="E36" s="521" t="s">
        <v>1801</v>
      </c>
      <c r="F36" s="521" t="s">
        <v>1800</v>
      </c>
      <c r="G36" s="521" t="s">
        <v>1805</v>
      </c>
      <c r="I36" s="433"/>
      <c r="K36" s="448"/>
      <c r="M36" s="772" t="s">
        <v>1281</v>
      </c>
      <c r="N36" s="761" t="s">
        <v>721</v>
      </c>
      <c r="O36" s="690">
        <v>15000</v>
      </c>
      <c r="P36" s="770"/>
      <c r="Q36" s="771"/>
    </row>
    <row r="37" spans="2:17" ht="18" x14ac:dyDescent="0.25">
      <c r="B37" s="447"/>
      <c r="D37" s="794" t="str">
        <f>O41&amp;" ligne"&amp;IF(O41=1,"","s")</f>
        <v>1 ligne</v>
      </c>
      <c r="E37" s="795" t="str">
        <f>IF(N45=0,"∞",N45&amp;"mm")</f>
        <v>30mm</v>
      </c>
      <c r="F37" s="613" t="str">
        <f>IF(O42=1,0,O42-1&amp;"x "&amp;N46&amp;"mm")</f>
        <v>2x 100mm</v>
      </c>
      <c r="G37" s="788" t="str">
        <f>IF(N47=0,"∞",N47&amp;"mm")</f>
        <v>∞</v>
      </c>
      <c r="H37" s="794" t="str">
        <f>O42&amp;" colonne"&amp;IF(O42=1,"","s")</f>
        <v>3 colonnes</v>
      </c>
      <c r="I37" s="433"/>
      <c r="K37" s="448"/>
      <c r="M37" s="518"/>
      <c r="N37" s="743" t="s">
        <v>724</v>
      </c>
      <c r="O37" s="683">
        <v>4500</v>
      </c>
      <c r="Q37" s="371"/>
    </row>
    <row r="38" spans="2:17" x14ac:dyDescent="0.25">
      <c r="B38" s="447"/>
      <c r="E38" s="288"/>
      <c r="F38" s="288"/>
      <c r="H38" s="288"/>
      <c r="I38" s="433"/>
      <c r="K38" s="448"/>
      <c r="M38" s="773" t="s">
        <v>741</v>
      </c>
      <c r="N38" s="768" t="s">
        <v>628</v>
      </c>
      <c r="O38" s="691">
        <v>8</v>
      </c>
      <c r="P38" s="768" t="s">
        <v>423</v>
      </c>
      <c r="Q38" s="769" t="s">
        <v>435</v>
      </c>
    </row>
    <row r="39" spans="2:17" ht="18" x14ac:dyDescent="0.25">
      <c r="B39" s="447"/>
      <c r="C39" s="288" t="s">
        <v>1803</v>
      </c>
      <c r="D39" s="741" t="str">
        <f>IF(N48=0,"∞",N48&amp;"mm")</f>
        <v>30mm</v>
      </c>
      <c r="F39" s="288"/>
      <c r="I39" s="433"/>
      <c r="K39" s="448"/>
      <c r="M39" s="774" t="s">
        <v>653</v>
      </c>
      <c r="N39" s="758" t="s">
        <v>653</v>
      </c>
      <c r="O39" s="759">
        <v>12</v>
      </c>
      <c r="P39" s="760" t="s">
        <v>1775</v>
      </c>
      <c r="Q39" s="763">
        <f>VLOOKUP(Q38,Data!$A$3:$D$34,3,FALSE)</f>
        <v>36</v>
      </c>
    </row>
    <row r="40" spans="2:17" x14ac:dyDescent="0.25">
      <c r="B40" s="447"/>
      <c r="C40" s="735"/>
      <c r="D40" s="521"/>
      <c r="E40" s="288"/>
      <c r="F40" s="288"/>
      <c r="H40" s="288"/>
      <c r="I40" s="433"/>
      <c r="K40" s="448"/>
      <c r="M40" s="518"/>
      <c r="N40" s="758" t="s">
        <v>566</v>
      </c>
      <c r="O40" s="681">
        <v>8.8000000000000007</v>
      </c>
      <c r="P40" s="760" t="s">
        <v>729</v>
      </c>
      <c r="Q40" s="764">
        <f>VLOOKUP(O39,Data!$K$3:$Q$20,6,FALSE)</f>
        <v>14</v>
      </c>
    </row>
    <row r="41" spans="2:17" x14ac:dyDescent="0.25">
      <c r="B41" s="447"/>
      <c r="C41" s="735"/>
      <c r="D41" s="521"/>
      <c r="H41" s="288"/>
      <c r="I41" s="433"/>
      <c r="J41" s="288"/>
      <c r="K41" s="448"/>
      <c r="M41" s="518"/>
      <c r="N41" s="743" t="s">
        <v>1798</v>
      </c>
      <c r="O41" s="699">
        <v>1</v>
      </c>
      <c r="P41" s="760" t="s">
        <v>731</v>
      </c>
      <c r="Q41" s="763">
        <f>VLOOKUP(O40,Data!$F$3:$I$16,3,FALSE)</f>
        <v>80</v>
      </c>
    </row>
    <row r="42" spans="2:17" ht="18.75" thickBot="1" x14ac:dyDescent="0.3">
      <c r="B42" s="447"/>
      <c r="C42" s="288" t="s">
        <v>1802</v>
      </c>
      <c r="D42" s="741">
        <f>IF(O41=1,0,O41-1&amp;"x "&amp;N49&amp;"mm")</f>
        <v>0</v>
      </c>
      <c r="E42" s="288"/>
      <c r="F42" s="288"/>
      <c r="K42" s="448"/>
      <c r="M42" s="519"/>
      <c r="N42" s="781" t="s">
        <v>1799</v>
      </c>
      <c r="O42" s="710">
        <v>3</v>
      </c>
      <c r="P42" s="766" t="s">
        <v>732</v>
      </c>
      <c r="Q42" s="782">
        <f>O41*O42</f>
        <v>3</v>
      </c>
    </row>
    <row r="43" spans="2:17" ht="18.75" thickBot="1" x14ac:dyDescent="0.3">
      <c r="B43" s="447"/>
      <c r="C43" s="735"/>
      <c r="D43" s="521"/>
      <c r="H43" s="462" t="s">
        <v>1813</v>
      </c>
      <c r="I43" s="789">
        <f>O36</f>
        <v>15000</v>
      </c>
      <c r="K43" s="448"/>
    </row>
    <row r="44" spans="2:17" x14ac:dyDescent="0.25">
      <c r="B44" s="447"/>
      <c r="C44" s="735"/>
      <c r="D44" s="521"/>
      <c r="H44" s="288"/>
      <c r="K44" s="448"/>
      <c r="M44" s="783"/>
      <c r="N44" s="1030" t="s">
        <v>1790</v>
      </c>
      <c r="O44" s="1030"/>
      <c r="P44" s="376" t="s">
        <v>722</v>
      </c>
      <c r="Q44" s="400" t="s">
        <v>723</v>
      </c>
    </row>
    <row r="45" spans="2:17" ht="18" x14ac:dyDescent="0.25">
      <c r="B45" s="447"/>
      <c r="C45" s="288" t="s">
        <v>1804</v>
      </c>
      <c r="D45" s="741" t="str">
        <f>IF(N50=0,"∞",N50&amp;"mm")</f>
        <v>30mm</v>
      </c>
      <c r="H45" s="288"/>
      <c r="I45" s="433"/>
      <c r="K45" s="448"/>
      <c r="M45" s="401" t="s">
        <v>1806</v>
      </c>
      <c r="N45" s="691">
        <v>30</v>
      </c>
      <c r="O45" s="786">
        <f t="shared" ref="O45:O50" si="0">IF(N45=0,1,IF(OR(N45&lt;P45,N45&gt;Q45),2,0))</f>
        <v>0</v>
      </c>
      <c r="P45" s="403">
        <f>1.2*Q40</f>
        <v>16.8</v>
      </c>
      <c r="Q45" s="784">
        <f>4*O38+40</f>
        <v>72</v>
      </c>
    </row>
    <row r="46" spans="2:17" ht="18" x14ac:dyDescent="0.25">
      <c r="B46" s="447"/>
      <c r="C46" s="630"/>
      <c r="E46" s="288"/>
      <c r="F46" s="288"/>
      <c r="H46" s="288"/>
      <c r="I46" s="433"/>
      <c r="K46" s="448"/>
      <c r="M46" s="401" t="s">
        <v>1808</v>
      </c>
      <c r="N46" s="691">
        <v>100</v>
      </c>
      <c r="O46" s="786">
        <f t="shared" si="0"/>
        <v>0</v>
      </c>
      <c r="P46" s="403">
        <f>2.2*Q40</f>
        <v>30.800000000000004</v>
      </c>
      <c r="Q46" s="784">
        <f>MIN(200,14*O38)</f>
        <v>112</v>
      </c>
    </row>
    <row r="47" spans="2:17" ht="18" x14ac:dyDescent="0.25">
      <c r="B47" s="447"/>
      <c r="C47" s="630"/>
      <c r="H47" s="288"/>
      <c r="I47" s="433"/>
      <c r="K47" s="448"/>
      <c r="M47" s="401" t="s">
        <v>1807</v>
      </c>
      <c r="N47" s="691">
        <v>0</v>
      </c>
      <c r="O47" s="786">
        <f t="shared" si="0"/>
        <v>1</v>
      </c>
      <c r="P47" s="403">
        <f>1.2*Q40</f>
        <v>16.8</v>
      </c>
      <c r="Q47" s="784">
        <f>4*O38+40</f>
        <v>72</v>
      </c>
    </row>
    <row r="48" spans="2:17" ht="18" x14ac:dyDescent="0.25">
      <c r="B48" s="447"/>
      <c r="F48" s="462" t="s">
        <v>1812</v>
      </c>
      <c r="G48" s="789">
        <f>O37</f>
        <v>4500</v>
      </c>
      <c r="I48" s="433"/>
      <c r="K48" s="448"/>
      <c r="M48" s="401" t="s">
        <v>1810</v>
      </c>
      <c r="N48" s="691">
        <v>30</v>
      </c>
      <c r="O48" s="786">
        <f t="shared" si="0"/>
        <v>0</v>
      </c>
      <c r="P48" s="403">
        <f>1.2*Q40</f>
        <v>16.8</v>
      </c>
      <c r="Q48" s="784">
        <f>4*O38+40</f>
        <v>72</v>
      </c>
    </row>
    <row r="49" spans="2:17" ht="18" x14ac:dyDescent="0.25">
      <c r="B49" s="447"/>
      <c r="C49" s="535" t="str">
        <f>IF(Configuration!$Y$4="EN","Longitudinal bearing","Pression longitudinale")</f>
        <v>Pression longitudinale</v>
      </c>
      <c r="I49" s="433"/>
      <c r="J49" s="435">
        <f>O36/I69</f>
        <v>0.79952485380116955</v>
      </c>
      <c r="K49" s="448"/>
      <c r="M49" s="401" t="s">
        <v>1809</v>
      </c>
      <c r="N49" s="691">
        <v>0</v>
      </c>
      <c r="O49" s="786">
        <f t="shared" si="0"/>
        <v>1</v>
      </c>
      <c r="P49" s="403">
        <f>2.4*Q40</f>
        <v>33.6</v>
      </c>
      <c r="Q49" s="784">
        <f>MIN(200,14*O38)</f>
        <v>112</v>
      </c>
    </row>
    <row r="50" spans="2:17" ht="18.75" thickBot="1" x14ac:dyDescent="0.25">
      <c r="B50" s="447"/>
      <c r="C50" s="791" t="str">
        <f>IF(Configuration!$Y$4="EN","Calculation of αb","Calcul des αb")</f>
        <v>Calcul des αb</v>
      </c>
      <c r="F50" s="435">
        <f>$Q$41/$Q$39</f>
        <v>2.2222222222222223</v>
      </c>
      <c r="H50" s="288" t="s">
        <v>1814</v>
      </c>
      <c r="I50" s="203" cm="1">
        <f t="array" ref="I50">MIN(IF(F50:F51&lt;&gt;0,F50:F51),1)</f>
        <v>0.7142857142857143</v>
      </c>
      <c r="K50" s="448"/>
      <c r="M50" s="405" t="s">
        <v>1811</v>
      </c>
      <c r="N50" s="692">
        <v>30</v>
      </c>
      <c r="O50" s="787">
        <f t="shared" si="0"/>
        <v>0</v>
      </c>
      <c r="P50" s="407">
        <f>1.2*Q40</f>
        <v>16.8</v>
      </c>
      <c r="Q50" s="785">
        <f>4*O38+40</f>
        <v>72</v>
      </c>
    </row>
    <row r="51" spans="2:17" ht="18" x14ac:dyDescent="0.25">
      <c r="B51" s="447"/>
      <c r="C51" s="630"/>
      <c r="F51" s="435">
        <f>$N$45/(3*$Q$40)</f>
        <v>0.7142857142857143</v>
      </c>
      <c r="H51" s="288" t="s">
        <v>1816</v>
      </c>
      <c r="I51" s="203">
        <f>MIN(F50,F52,1)</f>
        <v>1</v>
      </c>
      <c r="K51" s="448"/>
    </row>
    <row r="52" spans="2:17" ht="18" x14ac:dyDescent="0.25">
      <c r="B52" s="447"/>
      <c r="C52" s="630"/>
      <c r="E52" s="288"/>
      <c r="F52" s="435">
        <f>IF($O$42=1,0,($N$46/(3*$Q$40))-0.25)</f>
        <v>2.1309523809523809</v>
      </c>
      <c r="H52" s="288" t="s">
        <v>1815</v>
      </c>
      <c r="I52" s="203">
        <f>IF(F53=0,MIN(F50,1),MIN(F50,F53,1))</f>
        <v>1</v>
      </c>
      <c r="K52" s="448"/>
      <c r="M52" s="392"/>
      <c r="N52" s="775" t="s">
        <v>1794</v>
      </c>
    </row>
    <row r="53" spans="2:17" x14ac:dyDescent="0.25">
      <c r="B53" s="447"/>
      <c r="C53" s="630"/>
      <c r="E53" s="735"/>
      <c r="F53" s="435">
        <f>$N$47/(3*$Q$40)</f>
        <v>0</v>
      </c>
      <c r="G53" s="521"/>
      <c r="H53" s="288"/>
      <c r="I53" s="433"/>
      <c r="K53" s="448"/>
      <c r="M53" s="392"/>
      <c r="N53" s="775" t="s">
        <v>1794</v>
      </c>
    </row>
    <row r="54" spans="2:17" ht="18" x14ac:dyDescent="0.25">
      <c r="B54" s="447"/>
      <c r="C54" s="791" t="str">
        <f>IF(Configuration!$Y$4="EN","Calculation of k1","Calcul des k1")</f>
        <v>Calcul des k1</v>
      </c>
      <c r="F54" s="377">
        <f>IF($N$48=0,0,(2.8*$N$48/$Q$40)-1.7)</f>
        <v>4.3</v>
      </c>
      <c r="H54" s="288" t="s">
        <v>1817</v>
      </c>
      <c r="I54" s="203" cm="1">
        <f t="array" ref="I54">MIN(IF(F54:F55&lt;&gt;0,F54:F55),2.5)</f>
        <v>2.5</v>
      </c>
      <c r="K54" s="448"/>
      <c r="M54" s="392"/>
      <c r="N54" s="394"/>
    </row>
    <row r="55" spans="2:17" ht="18" x14ac:dyDescent="0.25">
      <c r="B55" s="447"/>
      <c r="C55" s="630"/>
      <c r="F55" s="377">
        <f>IF($O$41=1,0,(1.4*$N$49/$Q$40)-1.7)</f>
        <v>0</v>
      </c>
      <c r="H55" s="288" t="s">
        <v>1818</v>
      </c>
      <c r="I55" s="203">
        <f>MIN(F55,2.5)</f>
        <v>0</v>
      </c>
      <c r="K55" s="448"/>
      <c r="M55" s="392"/>
      <c r="N55" s="394"/>
    </row>
    <row r="56" spans="2:17" ht="18" x14ac:dyDescent="0.25">
      <c r="B56" s="447"/>
      <c r="C56" s="630"/>
      <c r="F56" s="377">
        <f>IF($N$50=0,0,(2.8*$N$50/$Q$40)-1.7)</f>
        <v>4.3</v>
      </c>
      <c r="H56" s="288" t="s">
        <v>1819</v>
      </c>
      <c r="I56" s="203" cm="1">
        <f t="array" ref="I56">MIN(IF(F55:F56&lt;&gt;0,F55:F56),2.5)</f>
        <v>2.5</v>
      </c>
      <c r="K56" s="448"/>
      <c r="M56" s="392"/>
      <c r="N56" s="394"/>
    </row>
    <row r="57" spans="2:17" x14ac:dyDescent="0.25">
      <c r="B57" s="447"/>
      <c r="C57" s="791" t="str">
        <f>IF(Configuration!$Y$4="EN","Calculation for bolts in left edge column","Calcul boulons de la colonne en rive gauche")</f>
        <v>Calcul boulons de la colonne en rive gauche</v>
      </c>
      <c r="H57" s="288"/>
      <c r="I57" s="433"/>
      <c r="K57" s="448"/>
      <c r="M57" s="392"/>
      <c r="N57" s="394"/>
    </row>
    <row r="58" spans="2:17" ht="18" x14ac:dyDescent="0.25">
      <c r="B58" s="447"/>
      <c r="C58" s="630"/>
      <c r="E58" s="288" t="str">
        <f>IF(Configuration!$Y$4="EN","Top edge bolt:","Boulon en rive haute :")</f>
        <v>Boulon en rive haute :</v>
      </c>
      <c r="F58" s="377" t="s">
        <v>1820</v>
      </c>
      <c r="G58" s="790">
        <f>I50*I54*$Q$39*$O$39*$O$38/G_M2</f>
        <v>4937.1428571428578</v>
      </c>
      <c r="H58" s="438" t="s">
        <v>732</v>
      </c>
      <c r="I58" s="792">
        <f>IF($O$42=1,IF(G58&lt;=G66,1,0),1)</f>
        <v>1</v>
      </c>
      <c r="K58" s="448"/>
      <c r="M58" s="394" t="str">
        <f>IF(SUM(I58:I68)=$Q$42,"OK","ERREUR!")</f>
        <v>OK</v>
      </c>
      <c r="N58" s="394"/>
    </row>
    <row r="59" spans="2:17" ht="18" x14ac:dyDescent="0.25">
      <c r="B59" s="447"/>
      <c r="C59" s="630"/>
      <c r="E59" s="288" t="str">
        <f>IF(Configuration!$Y$4="EN","Inner bolts:","Boulons intérieurs :")</f>
        <v>Boulons intérieurs :</v>
      </c>
      <c r="F59" s="377" t="s">
        <v>1820</v>
      </c>
      <c r="G59" s="790">
        <f>I50*I55*$Q$39*$O$39*$O$38/G_M2</f>
        <v>0</v>
      </c>
      <c r="H59" s="438" t="s">
        <v>732</v>
      </c>
      <c r="I59" s="792">
        <f>IF($O$42=1,IF(G59&lt;=G67,IF($O$41&lt;=2,0,$O$41-2),0),IF($O$41&lt;=2,0,$O$41-2))</f>
        <v>0</v>
      </c>
      <c r="K59" s="448"/>
      <c r="M59" s="392"/>
      <c r="N59" s="394"/>
    </row>
    <row r="60" spans="2:17" ht="18" x14ac:dyDescent="0.25">
      <c r="B60" s="447"/>
      <c r="C60" s="630"/>
      <c r="E60" s="288" t="str">
        <f>IF(Configuration!$Y$4="EN","Bottom edge bolt:","Boulon en rive basse :")</f>
        <v>Boulon en rive basse :</v>
      </c>
      <c r="F60" s="377" t="s">
        <v>1820</v>
      </c>
      <c r="G60" s="790">
        <f>I50*I56*$Q$39*$O$39*$O$38/G_M2</f>
        <v>4937.1428571428578</v>
      </c>
      <c r="H60" s="438" t="s">
        <v>732</v>
      </c>
      <c r="I60" s="792">
        <f>IF($O$42=1,IF(G60&lt;=G68,IF($O$41&lt;2,0,1),0),IF($O$41&lt;2,0,1))</f>
        <v>0</v>
      </c>
      <c r="K60" s="448"/>
      <c r="M60" s="392"/>
      <c r="N60" s="394"/>
    </row>
    <row r="61" spans="2:17" x14ac:dyDescent="0.25">
      <c r="B61" s="447"/>
      <c r="C61" s="791" t="str">
        <f>IF(Configuration!$Y$4="EN","Calculation for bolts in inner columns","Calcul boulons des colonnes intérieures")</f>
        <v>Calcul boulons des colonnes intérieures</v>
      </c>
      <c r="H61" s="438"/>
      <c r="I61" s="793"/>
      <c r="K61" s="448"/>
      <c r="M61" s="392"/>
      <c r="N61" s="394"/>
    </row>
    <row r="62" spans="2:17" ht="18" x14ac:dyDescent="0.25">
      <c r="B62" s="447"/>
      <c r="C62" s="630"/>
      <c r="E62" s="288" t="str">
        <f>IF(Configuration!$Y$4="EN","Top edge bolt:","Boulon en rive haute :")</f>
        <v>Boulon en rive haute :</v>
      </c>
      <c r="F62" s="377" t="s">
        <v>1820</v>
      </c>
      <c r="G62" s="790">
        <f>I51*I54*$Q$39*$O$39*$O$38/G_M2</f>
        <v>6912</v>
      </c>
      <c r="H62" s="438" t="s">
        <v>732</v>
      </c>
      <c r="I62" s="792">
        <f>IF($O$41=1,IF(G62&gt;=G64,IF($O$42&lt;=2,0,$O$42-2),0),IF($O$42&lt;=2,0,$O$42-2))</f>
        <v>1</v>
      </c>
      <c r="K62" s="448"/>
      <c r="M62" s="392"/>
      <c r="N62" s="394"/>
    </row>
    <row r="63" spans="2:17" ht="18" x14ac:dyDescent="0.25">
      <c r="B63" s="447"/>
      <c r="C63" s="630"/>
      <c r="E63" s="288" t="str">
        <f>IF(Configuration!$Y$4="EN","Inner bolts:","Boulons intérieurs :")</f>
        <v>Boulons intérieurs :</v>
      </c>
      <c r="F63" s="377" t="s">
        <v>1820</v>
      </c>
      <c r="G63" s="790">
        <f>I51*I55*$Q$39*$O$39*$O$38/G_M2</f>
        <v>0</v>
      </c>
      <c r="H63" s="438" t="s">
        <v>732</v>
      </c>
      <c r="I63" s="792">
        <f>IF($O$42&lt;=2,0,IF($O$41&lt;=2,0,$O$41-2)*($O$42-2))</f>
        <v>0</v>
      </c>
      <c r="K63" s="448"/>
      <c r="M63" s="392"/>
      <c r="N63" s="394"/>
    </row>
    <row r="64" spans="2:17" ht="18" x14ac:dyDescent="0.25">
      <c r="B64" s="447"/>
      <c r="C64" s="630"/>
      <c r="E64" s="288" t="str">
        <f>IF(Configuration!$Y$4="EN","Bottom edge bolt:","Boulon en rive basse :")</f>
        <v>Boulon en rive basse :</v>
      </c>
      <c r="F64" s="377" t="s">
        <v>1820</v>
      </c>
      <c r="G64" s="790">
        <f>I51*I56*$Q$39*$O$39*$O$38/G_M2</f>
        <v>6912</v>
      </c>
      <c r="H64" s="438" t="s">
        <v>732</v>
      </c>
      <c r="I64" s="792">
        <f>IF($O$41=1,IF(G62&lt;=G64,0,IF($O$42&lt;=2,0,$O$42-2)),IF($O$42&lt;=2,0,$O$42-2))</f>
        <v>0</v>
      </c>
      <c r="K64" s="448"/>
      <c r="M64" s="392"/>
      <c r="N64" s="394"/>
    </row>
    <row r="65" spans="2:14" x14ac:dyDescent="0.25">
      <c r="B65" s="447"/>
      <c r="C65" s="791" t="str">
        <f>IF(Configuration!$Y$4="EN","Calculation for bolts in right edge column","Calcul boulons de la colonne rive droite")</f>
        <v>Calcul boulons de la colonne rive droite</v>
      </c>
      <c r="H65" s="438"/>
      <c r="I65" s="793"/>
      <c r="K65" s="448"/>
      <c r="M65" s="392"/>
      <c r="N65" s="394"/>
    </row>
    <row r="66" spans="2:14" ht="18" x14ac:dyDescent="0.25">
      <c r="B66" s="447"/>
      <c r="C66" s="630"/>
      <c r="E66" s="288" t="str">
        <f>IF(Configuration!$Y$4="EN","Top edge bolt:","Boulon en rive haute :")</f>
        <v>Boulon en rive haute :</v>
      </c>
      <c r="F66" s="377" t="s">
        <v>1820</v>
      </c>
      <c r="G66" s="790">
        <f>I52*I54*$Q$39*$O$39*$O$38/G_M2</f>
        <v>6912</v>
      </c>
      <c r="H66" s="438" t="s">
        <v>732</v>
      </c>
      <c r="I66" s="792">
        <f>IF($O$42=1,IF(G66&lt;G58,1,0),1)</f>
        <v>1</v>
      </c>
      <c r="K66" s="448"/>
      <c r="M66" s="392"/>
      <c r="N66" s="394"/>
    </row>
    <row r="67" spans="2:14" ht="18" x14ac:dyDescent="0.25">
      <c r="B67" s="447"/>
      <c r="C67" s="630"/>
      <c r="E67" s="288" t="str">
        <f>IF(Configuration!$Y$4="EN","Inner bolts:","Boulons intérieurs :")</f>
        <v>Boulons intérieurs :</v>
      </c>
      <c r="F67" s="377" t="s">
        <v>1820</v>
      </c>
      <c r="G67" s="790">
        <f>I52*I55*$Q$39*$O$39*$O$38/G_M2</f>
        <v>0</v>
      </c>
      <c r="H67" s="438" t="s">
        <v>732</v>
      </c>
      <c r="I67" s="792">
        <f>IF($O$42=1,IF(G67&lt;G59,IF($O$41&lt;=2,0,$O$41-2),0),IF($O$41&lt;=2,0,$O$41-2))</f>
        <v>0</v>
      </c>
      <c r="K67" s="448"/>
      <c r="M67" s="392"/>
      <c r="N67" s="394"/>
    </row>
    <row r="68" spans="2:14" ht="18" x14ac:dyDescent="0.25">
      <c r="B68" s="447"/>
      <c r="C68" s="630"/>
      <c r="E68" s="288" t="str">
        <f>IF(Configuration!$Y$4="EN","Bottom edge bolt:","Boulon en rive basse :")</f>
        <v>Boulon en rive basse :</v>
      </c>
      <c r="F68" s="377" t="s">
        <v>1820</v>
      </c>
      <c r="G68" s="790">
        <f>I52*I56*$Q$39*$O$39*$O$38/G_M2</f>
        <v>6912</v>
      </c>
      <c r="H68" s="438" t="s">
        <v>732</v>
      </c>
      <c r="I68" s="792">
        <f>IF($O$42=1,IF(G68&lt;G60,IF($O$41&lt;2,0,1),0),IF($O$41&lt;2,0,1))</f>
        <v>0</v>
      </c>
      <c r="K68" s="448"/>
      <c r="M68" s="392"/>
      <c r="N68" s="394"/>
    </row>
    <row r="69" spans="2:14" ht="18" x14ac:dyDescent="0.25">
      <c r="B69" s="447"/>
      <c r="C69" s="791" t="str">
        <f>IF(Configuration!$Y$4="EN","Longitudinal bearing resistance","Résistance à la pression diamétrale longitudinale")</f>
        <v>Résistance à la pression diamétrale longitudinale</v>
      </c>
      <c r="H69" s="581" t="s">
        <v>1825</v>
      </c>
      <c r="I69" s="1024">
        <f>SUMPRODUCT(G58:G68,I58:I68)</f>
        <v>18761.142857142859</v>
      </c>
      <c r="J69" s="1024"/>
      <c r="K69" s="448"/>
      <c r="M69" s="392"/>
      <c r="N69" s="394"/>
    </row>
    <row r="70" spans="2:14" x14ac:dyDescent="0.25">
      <c r="B70" s="447"/>
      <c r="C70" s="630"/>
      <c r="H70" s="288"/>
      <c r="I70" s="433"/>
      <c r="K70" s="448"/>
      <c r="M70" s="392"/>
      <c r="N70" s="394"/>
    </row>
    <row r="71" spans="2:14" x14ac:dyDescent="0.25">
      <c r="B71" s="447"/>
      <c r="C71" s="535" t="str">
        <f>IF(Configuration!$Y$4="EN","Transverse bearing","Pression transversale")</f>
        <v>Pression transversale</v>
      </c>
      <c r="I71" s="433"/>
      <c r="J71" s="435">
        <f>O37/I91</f>
        <v>0.30381944444444442</v>
      </c>
      <c r="K71" s="448"/>
      <c r="M71" s="392"/>
      <c r="N71" s="394"/>
    </row>
    <row r="72" spans="2:14" ht="18" x14ac:dyDescent="0.25">
      <c r="B72" s="447"/>
      <c r="C72" s="791" t="str">
        <f>IF(Configuration!$Y$4="EN","Calculation of αb","Calcul des αb")</f>
        <v>Calcul des αb</v>
      </c>
      <c r="F72" s="435">
        <f>$Q$41/$Q$39</f>
        <v>2.2222222222222223</v>
      </c>
      <c r="H72" s="288" t="s">
        <v>1821</v>
      </c>
      <c r="I72" s="203" cm="1">
        <f t="array" ref="I72">MIN(IF(F72:F73&lt;&gt;0,F72:F73),1)</f>
        <v>0.7142857142857143</v>
      </c>
      <c r="K72" s="448"/>
      <c r="M72" s="392"/>
      <c r="N72" s="394"/>
    </row>
    <row r="73" spans="2:14" ht="18" x14ac:dyDescent="0.25">
      <c r="B73" s="447"/>
      <c r="C73" s="630"/>
      <c r="F73" s="435">
        <f>$N$48/(3*$Q$40)</f>
        <v>0.7142857142857143</v>
      </c>
      <c r="H73" s="288" t="s">
        <v>1816</v>
      </c>
      <c r="I73" s="203">
        <f>MIN(F72,F74,1)</f>
        <v>0</v>
      </c>
      <c r="K73" s="448"/>
      <c r="M73" s="392"/>
      <c r="N73" s="394"/>
    </row>
    <row r="74" spans="2:14" ht="18" x14ac:dyDescent="0.25">
      <c r="B74" s="447"/>
      <c r="C74" s="630"/>
      <c r="E74" s="288"/>
      <c r="F74" s="435">
        <f>IF($O$41=1,0,($N$49/(3*$Q$40))-0.25)</f>
        <v>0</v>
      </c>
      <c r="H74" s="288" t="s">
        <v>1822</v>
      </c>
      <c r="I74" s="203">
        <f>IF(F75=0,MIN(F72,1),MIN(F72,F75,1))</f>
        <v>0.7142857142857143</v>
      </c>
      <c r="K74" s="448"/>
      <c r="M74" s="392"/>
      <c r="N74" s="394"/>
    </row>
    <row r="75" spans="2:14" x14ac:dyDescent="0.25">
      <c r="B75" s="447"/>
      <c r="C75" s="630"/>
      <c r="E75" s="735"/>
      <c r="F75" s="435">
        <f>$N$50/(3*$Q$40)</f>
        <v>0.7142857142857143</v>
      </c>
      <c r="G75" s="521"/>
      <c r="H75" s="288"/>
      <c r="I75" s="433"/>
      <c r="K75" s="448"/>
      <c r="M75" s="392"/>
      <c r="N75" s="394"/>
    </row>
    <row r="76" spans="2:14" ht="18" x14ac:dyDescent="0.25">
      <c r="B76" s="447"/>
      <c r="C76" s="791" t="str">
        <f>IF(Configuration!$Y$4="EN","Calculation of k1","Calcul des k1")</f>
        <v>Calcul des k1</v>
      </c>
      <c r="F76" s="377">
        <f>IF($N$45=0,0,(2.8*$N$45/$Q$40)-1.7)</f>
        <v>4.3</v>
      </c>
      <c r="H76" s="288" t="s">
        <v>1823</v>
      </c>
      <c r="I76" s="203" cm="1">
        <f t="array" ref="I76">MIN(IF(F76:F77&lt;&gt;0,F76:F77),2.5)</f>
        <v>2.5</v>
      </c>
      <c r="K76" s="448"/>
      <c r="M76" s="392"/>
      <c r="N76" s="394"/>
    </row>
    <row r="77" spans="2:14" ht="18" x14ac:dyDescent="0.25">
      <c r="B77" s="447"/>
      <c r="C77" s="630"/>
      <c r="F77" s="377">
        <f>IF($O$42=1,0,(1.4*$N$46/$Q$40)-1.7)</f>
        <v>8.3000000000000007</v>
      </c>
      <c r="H77" s="288" t="s">
        <v>1818</v>
      </c>
      <c r="I77" s="203">
        <f>MIN(F77,2.5)</f>
        <v>2.5</v>
      </c>
      <c r="K77" s="448"/>
      <c r="M77" s="392"/>
      <c r="N77" s="394"/>
    </row>
    <row r="78" spans="2:14" ht="18" x14ac:dyDescent="0.25">
      <c r="B78" s="447"/>
      <c r="C78" s="630"/>
      <c r="F78" s="377">
        <f>IF($N$47=0,0,(2.8*$N$47/$Q$40)-1.7)</f>
        <v>0</v>
      </c>
      <c r="H78" s="288" t="s">
        <v>1824</v>
      </c>
      <c r="I78" s="203" cm="1">
        <f t="array" ref="I78">MIN(IF(F77:F78&lt;&gt;0,F77:F78),2.5)</f>
        <v>2.5</v>
      </c>
      <c r="K78" s="448"/>
      <c r="M78" s="392"/>
      <c r="N78" s="394"/>
    </row>
    <row r="79" spans="2:14" x14ac:dyDescent="0.25">
      <c r="B79" s="447"/>
      <c r="C79" s="791" t="str">
        <f>IF(Configuration!$Y$4="EN","Calculation for bolts in top edge row","Calcul boulons de la ligne en rive haute")</f>
        <v>Calcul boulons de la ligne en rive haute</v>
      </c>
      <c r="H79" s="288"/>
      <c r="I79" s="433"/>
      <c r="K79" s="448"/>
      <c r="M79" s="392"/>
      <c r="N79" s="394"/>
    </row>
    <row r="80" spans="2:14" ht="18" x14ac:dyDescent="0.25">
      <c r="B80" s="447"/>
      <c r="C80" s="630"/>
      <c r="E80" s="288" t="str">
        <f>IF(Configuration!$Y$4="EN","Left edge bolt:","Boulon en rive gauche :")</f>
        <v>Boulon en rive gauche :</v>
      </c>
      <c r="F80" s="377" t="s">
        <v>1820</v>
      </c>
      <c r="G80" s="790">
        <f>I72*I76*$Q$39*$O$39*$O$38/G_M2</f>
        <v>4937.1428571428578</v>
      </c>
      <c r="H80" s="438" t="s">
        <v>732</v>
      </c>
      <c r="I80" s="792">
        <f>IF($O$41=1,IF(G80&lt;=G88,1,0),1)</f>
        <v>1</v>
      </c>
      <c r="K80" s="448"/>
      <c r="M80" s="394" t="str">
        <f>IF(SUM(I80:I90)=$Q$42,"OK","ERREUR!")</f>
        <v>OK</v>
      </c>
      <c r="N80" s="394"/>
    </row>
    <row r="81" spans="2:14" ht="18" x14ac:dyDescent="0.25">
      <c r="B81" s="447"/>
      <c r="C81" s="630"/>
      <c r="E81" s="288" t="str">
        <f>IF(Configuration!$Y$4="EN","Inner bolts:","Boulons intérieurs :")</f>
        <v>Boulons intérieurs :</v>
      </c>
      <c r="F81" s="377" t="s">
        <v>1820</v>
      </c>
      <c r="G81" s="790">
        <f>I72*I77*$Q$39*$O$39*$O$38/G_M2</f>
        <v>4937.1428571428578</v>
      </c>
      <c r="H81" s="438" t="s">
        <v>732</v>
      </c>
      <c r="I81" s="792">
        <f>IF($O$41=1,IF(G81&lt;=G89,IF($O$42&lt;=2,0,$O$42-2),0),IF($O$42&lt;=2,0,$O$42-2))</f>
        <v>1</v>
      </c>
      <c r="K81" s="448"/>
      <c r="M81" s="392"/>
      <c r="N81" s="394"/>
    </row>
    <row r="82" spans="2:14" ht="18" x14ac:dyDescent="0.25">
      <c r="B82" s="447"/>
      <c r="C82" s="630"/>
      <c r="E82" s="288" t="str">
        <f>IF(Configuration!$Y$4="EN","Right edge bolt:","Boulon en rive droite :")</f>
        <v>Boulon en rive droite :</v>
      </c>
      <c r="F82" s="377" t="s">
        <v>1820</v>
      </c>
      <c r="G82" s="790">
        <f>I72*I78*$Q$39*$O$39*$O$38/G_M2</f>
        <v>4937.1428571428578</v>
      </c>
      <c r="H82" s="438" t="s">
        <v>732</v>
      </c>
      <c r="I82" s="792">
        <f>IF($O$41=1,IF(G82&lt;=G90,IF($O$42&lt;2,0,1),0),IF($O$42&lt;2,0,1))</f>
        <v>1</v>
      </c>
      <c r="K82" s="448"/>
      <c r="M82" s="392"/>
      <c r="N82" s="394"/>
    </row>
    <row r="83" spans="2:14" x14ac:dyDescent="0.25">
      <c r="B83" s="447"/>
      <c r="C83" s="791" t="str">
        <f>IF(Configuration!$Y$4="EN","Calculation for bolts in inner rows","Calcul boulons des lignes intérieures")</f>
        <v>Calcul boulons des lignes intérieures</v>
      </c>
      <c r="H83" s="438"/>
      <c r="I83" s="793"/>
      <c r="K83" s="448"/>
      <c r="M83" s="392"/>
      <c r="N83" s="394"/>
    </row>
    <row r="84" spans="2:14" ht="18" x14ac:dyDescent="0.25">
      <c r="B84" s="447"/>
      <c r="C84" s="630"/>
      <c r="E84" s="288" t="str">
        <f>IF(Configuration!$Y$4="EN","Left edge bolt:","Boulon en rive gauche :")</f>
        <v>Boulon en rive gauche :</v>
      </c>
      <c r="F84" s="377" t="s">
        <v>1820</v>
      </c>
      <c r="G84" s="790">
        <f>I73*I76*$Q$39*$O$39*$O$38/G_M2</f>
        <v>0</v>
      </c>
      <c r="H84" s="438" t="s">
        <v>732</v>
      </c>
      <c r="I84" s="792">
        <f>IF($O$42=1,IF(G84&gt;=G86,IF($O$41&lt;=2,0,$O$41-2),0),IF($O$41&lt;=2,0,$O$41-2))</f>
        <v>0</v>
      </c>
      <c r="K84" s="448"/>
      <c r="M84" s="392"/>
      <c r="N84" s="394"/>
    </row>
    <row r="85" spans="2:14" ht="18" x14ac:dyDescent="0.25">
      <c r="B85" s="447"/>
      <c r="C85" s="630"/>
      <c r="E85" s="288" t="str">
        <f>IF(Configuration!$Y$4="EN","Inner bolts:","Boulons intérieurs :")</f>
        <v>Boulons intérieurs :</v>
      </c>
      <c r="F85" s="377" t="s">
        <v>1820</v>
      </c>
      <c r="G85" s="790">
        <f>I73*I77*$Q$39*$O$39*$O$38/G_M2</f>
        <v>0</v>
      </c>
      <c r="H85" s="438" t="s">
        <v>732</v>
      </c>
      <c r="I85" s="792">
        <f>IF($O$41&lt;=2,0,IF($O$42&lt;=2,0,$O$42-2)*($O$41-2))</f>
        <v>0</v>
      </c>
      <c r="K85" s="448"/>
      <c r="M85" s="392"/>
      <c r="N85" s="394"/>
    </row>
    <row r="86" spans="2:14" ht="18" x14ac:dyDescent="0.25">
      <c r="B86" s="447"/>
      <c r="C86" s="630"/>
      <c r="E86" s="288" t="str">
        <f>IF(Configuration!$Y$4="EN","Right edge bolt:","Boulon en rive droite :")</f>
        <v>Boulon en rive droite :</v>
      </c>
      <c r="F86" s="377" t="s">
        <v>1820</v>
      </c>
      <c r="G86" s="790">
        <f>I73*I78*$Q$39*$O$39*$O$38/G_M2</f>
        <v>0</v>
      </c>
      <c r="H86" s="438" t="s">
        <v>732</v>
      </c>
      <c r="I86" s="792">
        <f>IF($O$42=1,IF(G84&lt;=G86,0,IF($O$41&lt;=2,0,$O$41-2)),IF($O$41&lt;=2,0,$O$41-2))</f>
        <v>0</v>
      </c>
      <c r="K86" s="448"/>
      <c r="M86" s="392"/>
      <c r="N86" s="394"/>
    </row>
    <row r="87" spans="2:14" x14ac:dyDescent="0.25">
      <c r="B87" s="447"/>
      <c r="C87" s="791" t="str">
        <f>IF(Configuration!$Y$4="EN","Calculation for bolts in bottom edge row","Calcul boulons de la ligne rive basse")</f>
        <v>Calcul boulons de la ligne rive basse</v>
      </c>
      <c r="H87" s="438"/>
      <c r="I87" s="793"/>
      <c r="K87" s="448"/>
      <c r="M87" s="392"/>
      <c r="N87" s="394"/>
    </row>
    <row r="88" spans="2:14" ht="18" x14ac:dyDescent="0.25">
      <c r="B88" s="447"/>
      <c r="C88" s="630"/>
      <c r="E88" s="288" t="str">
        <f>IF(Configuration!$Y$4="EN","Left edge bolt:","Boulon en rive gauche :")</f>
        <v>Boulon en rive gauche :</v>
      </c>
      <c r="F88" s="377" t="s">
        <v>1820</v>
      </c>
      <c r="G88" s="790">
        <f>I74*I76*$Q$39*$O$39*$O$38/G_M2</f>
        <v>4937.1428571428578</v>
      </c>
      <c r="H88" s="438" t="s">
        <v>732</v>
      </c>
      <c r="I88" s="792">
        <f>IF($O$41=1,IF(G88&lt;G80,1,0),1)</f>
        <v>0</v>
      </c>
      <c r="K88" s="448"/>
      <c r="M88" s="392"/>
      <c r="N88" s="394"/>
    </row>
    <row r="89" spans="2:14" ht="18" x14ac:dyDescent="0.25">
      <c r="B89" s="447"/>
      <c r="C89" s="630"/>
      <c r="E89" s="288" t="str">
        <f>IF(Configuration!$Y$4="EN","Inner bolts:","Boulons intérieurs :")</f>
        <v>Boulons intérieurs :</v>
      </c>
      <c r="F89" s="377" t="s">
        <v>1820</v>
      </c>
      <c r="G89" s="790">
        <f>I74*I77*$Q$39*$O$39*$O$38/G_M2</f>
        <v>4937.1428571428578</v>
      </c>
      <c r="H89" s="438" t="s">
        <v>732</v>
      </c>
      <c r="I89" s="792">
        <f>IF($O$41=1,IF(G89&lt;G81,IF($O$42&lt;=2,0,$O$42-2),0),IF($O$42&lt;=2,0,$O$42-2))</f>
        <v>0</v>
      </c>
      <c r="K89" s="448"/>
      <c r="M89" s="392"/>
      <c r="N89" s="394"/>
    </row>
    <row r="90" spans="2:14" ht="18" x14ac:dyDescent="0.25">
      <c r="B90" s="447"/>
      <c r="C90" s="630"/>
      <c r="E90" s="288" t="str">
        <f>IF(Configuration!$Y$4="EN","Right edge bolt:","Boulon en rive droite :")</f>
        <v>Boulon en rive droite :</v>
      </c>
      <c r="F90" s="377" t="s">
        <v>1820</v>
      </c>
      <c r="G90" s="790">
        <f>I74*I78*$Q$39*$O$39*$O$38/G_M2</f>
        <v>4937.1428571428578</v>
      </c>
      <c r="H90" s="438" t="s">
        <v>732</v>
      </c>
      <c r="I90" s="792">
        <f>IF($O$41=1,IF(G90&lt;G82,IF($O$42&lt;2,0,1),0),IF($O$42&lt;2,0,1))</f>
        <v>0</v>
      </c>
      <c r="K90" s="448"/>
      <c r="M90" s="392"/>
      <c r="N90" s="394"/>
    </row>
    <row r="91" spans="2:14" ht="18" x14ac:dyDescent="0.25">
      <c r="B91" s="447"/>
      <c r="C91" s="791" t="str">
        <f>IF(Configuration!$Y$4="EN","Longitudinal bearing resistance","Résistance à la pression diamétrale longitudinale")</f>
        <v>Résistance à la pression diamétrale longitudinale</v>
      </c>
      <c r="H91" s="581" t="s">
        <v>1826</v>
      </c>
      <c r="I91" s="1024">
        <f>SUMPRODUCT(G80:G90,I80:I90)</f>
        <v>14811.428571428572</v>
      </c>
      <c r="J91" s="1024"/>
      <c r="K91" s="448"/>
      <c r="M91" s="392"/>
      <c r="N91" s="394"/>
    </row>
    <row r="92" spans="2:14" x14ac:dyDescent="0.25">
      <c r="B92" s="447"/>
      <c r="C92" s="630"/>
      <c r="H92" s="288"/>
      <c r="I92" s="433"/>
      <c r="K92" s="448"/>
      <c r="M92" s="392"/>
      <c r="N92" s="394"/>
    </row>
    <row r="93" spans="2:14" x14ac:dyDescent="0.25">
      <c r="B93" s="447"/>
      <c r="C93" s="535" t="str">
        <f>IF(Configuration!$Y$4="EN","Longitudinal-transverse interaction","Interaction longitudinale-transversale")</f>
        <v>Interaction longitudinale-transversale</v>
      </c>
      <c r="H93" s="288"/>
      <c r="I93" s="433"/>
      <c r="K93" s="448"/>
      <c r="M93" s="392"/>
      <c r="N93" s="394"/>
    </row>
    <row r="94" spans="2:14" x14ac:dyDescent="0.25">
      <c r="B94" s="447"/>
      <c r="C94" s="630"/>
      <c r="H94" s="288"/>
      <c r="I94" s="433"/>
      <c r="J94" s="203">
        <f>J49^2+J71^2</f>
        <v>0.73154624666831236</v>
      </c>
      <c r="K94" s="448"/>
      <c r="M94" s="392"/>
      <c r="N94" s="394"/>
    </row>
    <row r="95" spans="2:14" x14ac:dyDescent="0.25">
      <c r="B95" s="447"/>
      <c r="C95" s="630"/>
      <c r="H95" s="288"/>
      <c r="I95" s="433"/>
      <c r="K95" s="448"/>
      <c r="M95" s="392"/>
      <c r="N95" s="394"/>
    </row>
    <row r="96" spans="2:14" ht="15.75" thickBot="1" x14ac:dyDescent="0.3">
      <c r="B96" s="447"/>
      <c r="C96" s="1019" t="s">
        <v>810</v>
      </c>
      <c r="D96" s="1019"/>
      <c r="E96" s="1019"/>
      <c r="F96" s="1019"/>
      <c r="G96" s="1019"/>
      <c r="H96" s="1019"/>
      <c r="I96" s="1019"/>
      <c r="J96" s="1019"/>
      <c r="K96" s="448"/>
      <c r="M96" s="432" t="s">
        <v>797</v>
      </c>
    </row>
    <row r="97" spans="2:22" ht="15.75" x14ac:dyDescent="0.2">
      <c r="B97" s="447"/>
      <c r="C97" s="531" t="str">
        <f>IF(Configuration!$Y$4="EN","Punching shear","Poinçonnement")</f>
        <v>Poinçonnement</v>
      </c>
      <c r="I97" s="645" t="s">
        <v>1776</v>
      </c>
      <c r="J97" s="433">
        <f>N97/D99</f>
        <v>0.14516220028980598</v>
      </c>
      <c r="K97" s="448"/>
      <c r="M97" s="423" t="s">
        <v>689</v>
      </c>
      <c r="N97" s="690">
        <v>5200</v>
      </c>
      <c r="O97" s="424" t="s">
        <v>423</v>
      </c>
      <c r="P97" s="698" t="s">
        <v>439</v>
      </c>
      <c r="Q97" s="384" t="s">
        <v>424</v>
      </c>
      <c r="R97" s="425" t="s">
        <v>425</v>
      </c>
    </row>
    <row r="98" spans="2:22" ht="18.75" thickBot="1" x14ac:dyDescent="0.25">
      <c r="B98" s="447"/>
      <c r="C98" s="288" t="s">
        <v>801</v>
      </c>
      <c r="D98" s="529">
        <f>VLOOKUP(N98,Data!K3:Q20,7,FALSE)</f>
        <v>32.32</v>
      </c>
      <c r="F98" s="288" t="s">
        <v>802</v>
      </c>
      <c r="G98" s="529">
        <f>P98</f>
        <v>15</v>
      </c>
      <c r="K98" s="448"/>
      <c r="M98" s="523" t="s">
        <v>733</v>
      </c>
      <c r="N98" s="693">
        <v>20</v>
      </c>
      <c r="O98" s="524" t="s">
        <v>628</v>
      </c>
      <c r="P98" s="700">
        <v>15</v>
      </c>
      <c r="Q98" s="386">
        <f>VLOOKUP(P97,Data!$A$3:$D$34,2,FALSE)</f>
        <v>35.5</v>
      </c>
      <c r="R98" s="372">
        <f>VLOOKUP(P97,Data!$A$3:$D$34,3,FALSE)</f>
        <v>49</v>
      </c>
    </row>
    <row r="99" spans="2:22" x14ac:dyDescent="0.25">
      <c r="B99" s="447"/>
      <c r="C99" s="288" t="s">
        <v>800</v>
      </c>
      <c r="D99" s="1024">
        <f>0.6*PI()*D98*P98*R98/G_M2</f>
        <v>35821.997666187002</v>
      </c>
      <c r="E99" s="1024"/>
      <c r="F99" s="240" t="str">
        <f>IF(Configuration!$Y$4="EN","Punching shear resistance per bolt","Résistance par boulon au poinçonnement")</f>
        <v>Résistance par boulon au poinçonnement</v>
      </c>
      <c r="I99" s="526"/>
      <c r="K99" s="448"/>
      <c r="R99" s="374"/>
    </row>
    <row r="100" spans="2:22" ht="15.75" thickBot="1" x14ac:dyDescent="0.3">
      <c r="B100" s="447"/>
      <c r="C100" s="1019" t="s">
        <v>810</v>
      </c>
      <c r="D100" s="1019"/>
      <c r="E100" s="1019"/>
      <c r="F100" s="1019"/>
      <c r="G100" s="1019"/>
      <c r="H100" s="1019"/>
      <c r="I100" s="1019"/>
      <c r="J100" s="1019"/>
      <c r="K100" s="448"/>
      <c r="M100" s="432" t="s">
        <v>742</v>
      </c>
      <c r="N100" s="422"/>
      <c r="O100" s="413"/>
      <c r="P100" s="413"/>
      <c r="Q100" s="413"/>
      <c r="R100" s="413"/>
      <c r="S100" s="413"/>
      <c r="T100" s="413"/>
      <c r="V100" s="387"/>
    </row>
    <row r="101" spans="2:22" ht="15.75" x14ac:dyDescent="0.2">
      <c r="B101" s="447"/>
      <c r="C101" s="531" t="str">
        <f>IF(Configuration!$Y$4="EN","Block shear","Cisaillement de Bloc")</f>
        <v>Cisaillement de Bloc</v>
      </c>
      <c r="I101" s="645" t="s">
        <v>1795</v>
      </c>
      <c r="J101" s="433">
        <f>N101/H103</f>
        <v>0.53856491605918388</v>
      </c>
      <c r="K101" s="448"/>
      <c r="M101" s="423" t="s">
        <v>689</v>
      </c>
      <c r="N101" s="690">
        <v>3500</v>
      </c>
      <c r="O101" s="424" t="s">
        <v>423</v>
      </c>
      <c r="P101" s="698" t="s">
        <v>435</v>
      </c>
      <c r="Q101" s="384" t="s">
        <v>424</v>
      </c>
      <c r="R101" s="425" t="s">
        <v>425</v>
      </c>
      <c r="S101" s="374"/>
      <c r="T101" s="373"/>
    </row>
    <row r="102" spans="2:22" x14ac:dyDescent="0.2">
      <c r="B102" s="447"/>
      <c r="C102" s="288" t="s">
        <v>743</v>
      </c>
      <c r="D102" s="1037">
        <f>N102</f>
        <v>114</v>
      </c>
      <c r="E102" s="1037"/>
      <c r="F102" s="288" t="s">
        <v>744</v>
      </c>
      <c r="G102" s="1037">
        <f>N103</f>
        <v>237</v>
      </c>
      <c r="H102" s="1037"/>
      <c r="K102" s="448"/>
      <c r="M102" s="426" t="s">
        <v>743</v>
      </c>
      <c r="N102" s="694">
        <v>114</v>
      </c>
      <c r="O102" s="427" t="s">
        <v>745</v>
      </c>
      <c r="P102" s="699" t="s">
        <v>792</v>
      </c>
      <c r="Q102" s="377">
        <f>VLOOKUP(P101,Data!$A$3:$D$34,2,FALSE)</f>
        <v>23.5</v>
      </c>
      <c r="R102" s="375">
        <f>VLOOKUP(P101,Data!$A$3:$D$34,3,FALSE)</f>
        <v>36</v>
      </c>
      <c r="S102" s="374"/>
      <c r="T102" s="373"/>
    </row>
    <row r="103" spans="2:22" ht="15.75" thickBot="1" x14ac:dyDescent="0.25">
      <c r="B103" s="447"/>
      <c r="G103" s="288" t="str">
        <f>IF(P102="Centré","Veff1,Rd =","Veff2,Rd =")</f>
        <v>Veff1,Rd =</v>
      </c>
      <c r="H103" s="1024">
        <f>((P103*(R102*D102))/G_M2)+((Q102*G102)/(G_M0*SQRT(3)))</f>
        <v>6498.7523242516208</v>
      </c>
      <c r="I103" s="1024"/>
      <c r="J103" s="442"/>
      <c r="K103" s="448"/>
      <c r="M103" s="428" t="s">
        <v>744</v>
      </c>
      <c r="N103" s="695">
        <v>237</v>
      </c>
      <c r="O103" s="429"/>
      <c r="P103" s="386">
        <f>IF(P102="Centré",1,0.5)</f>
        <v>1</v>
      </c>
      <c r="Q103" s="386"/>
      <c r="R103" s="372"/>
      <c r="S103" s="374"/>
      <c r="T103" s="373"/>
    </row>
    <row r="104" spans="2:22" x14ac:dyDescent="0.25">
      <c r="B104" s="447"/>
      <c r="C104" s="1019" t="s">
        <v>810</v>
      </c>
      <c r="D104" s="1019"/>
      <c r="E104" s="1019"/>
      <c r="F104" s="1019"/>
      <c r="G104" s="1019"/>
      <c r="H104" s="1019"/>
      <c r="I104" s="1019"/>
      <c r="J104" s="1019"/>
      <c r="K104" s="448"/>
    </row>
    <row r="105" spans="2:22" ht="16.5" thickBot="1" x14ac:dyDescent="0.3">
      <c r="B105" s="447"/>
      <c r="C105" s="531" t="str">
        <f>IF(Configuration!$Y$4="EN","Net area shear","Cisaillement Aire nette")</f>
        <v>Cisaillement Aire nette</v>
      </c>
      <c r="J105" s="433">
        <f>N106/H106</f>
        <v>0.2803967542317794</v>
      </c>
      <c r="K105" s="448"/>
      <c r="M105" s="432" t="s">
        <v>746</v>
      </c>
    </row>
    <row r="106" spans="2:22" x14ac:dyDescent="0.2">
      <c r="B106" s="447"/>
      <c r="C106" s="288" t="s">
        <v>747</v>
      </c>
      <c r="D106" s="1037">
        <f>N107</f>
        <v>552</v>
      </c>
      <c r="E106" s="1037"/>
      <c r="G106" s="288" t="s">
        <v>748</v>
      </c>
      <c r="H106" s="1024">
        <f>(Q107*D106)/(G_M0*SQRT(3))</f>
        <v>7489.3876919278255</v>
      </c>
      <c r="I106" s="1024"/>
      <c r="K106" s="448"/>
      <c r="M106" s="423" t="s">
        <v>735</v>
      </c>
      <c r="N106" s="690">
        <v>2100</v>
      </c>
      <c r="O106" s="424" t="s">
        <v>423</v>
      </c>
      <c r="P106" s="698" t="s">
        <v>435</v>
      </c>
      <c r="Q106" s="384" t="s">
        <v>424</v>
      </c>
      <c r="R106" s="425" t="s">
        <v>425</v>
      </c>
    </row>
    <row r="107" spans="2:22" ht="15.75" thickBot="1" x14ac:dyDescent="0.25">
      <c r="B107" s="447"/>
      <c r="C107" s="288"/>
      <c r="D107" s="532"/>
      <c r="E107" s="532"/>
      <c r="F107" s="288"/>
      <c r="K107" s="448"/>
      <c r="M107" s="428" t="s">
        <v>747</v>
      </c>
      <c r="N107" s="695">
        <v>552</v>
      </c>
      <c r="O107" s="430"/>
      <c r="P107" s="431"/>
      <c r="Q107" s="386">
        <f>VLOOKUP(P106,Data!$A$3:$D$34,2,FALSE)</f>
        <v>23.5</v>
      </c>
      <c r="R107" s="372">
        <f>VLOOKUP(P106,Data!$A$3:$D$34,3,FALSE)</f>
        <v>36</v>
      </c>
    </row>
    <row r="108" spans="2:22" x14ac:dyDescent="0.25">
      <c r="B108" s="447"/>
      <c r="C108" s="1019" t="s">
        <v>810</v>
      </c>
      <c r="D108" s="1019"/>
      <c r="E108" s="1019"/>
      <c r="F108" s="1019"/>
      <c r="G108" s="1019"/>
      <c r="H108" s="1019"/>
      <c r="I108" s="1019"/>
      <c r="J108" s="1019"/>
      <c r="K108" s="448"/>
    </row>
    <row r="109" spans="2:22" ht="16.5" thickBot="1" x14ac:dyDescent="0.3">
      <c r="B109" s="447"/>
      <c r="C109" s="531" t="str">
        <f>IF(Configuration!$Y$4="EN","Reduction factor for long joints","Coefficient de réduction pour les assemblages longs")</f>
        <v>Coefficient de réduction pour les assemblages longs</v>
      </c>
      <c r="D109" s="613"/>
      <c r="E109" s="613"/>
      <c r="F109" s="613"/>
      <c r="G109" s="613"/>
      <c r="H109" s="613"/>
      <c r="I109" s="645" t="s">
        <v>1827</v>
      </c>
      <c r="K109" s="448"/>
      <c r="M109" s="432" t="s">
        <v>1022</v>
      </c>
    </row>
    <row r="110" spans="2:22" ht="15.75" thickBot="1" x14ac:dyDescent="0.3">
      <c r="B110" s="447"/>
      <c r="C110" s="613"/>
      <c r="D110" s="613"/>
      <c r="E110" s="613"/>
      <c r="F110" s="613"/>
      <c r="G110" s="613"/>
      <c r="H110" s="613"/>
      <c r="I110" s="613"/>
      <c r="J110" s="613"/>
      <c r="K110" s="448"/>
      <c r="M110" s="616" t="s">
        <v>733</v>
      </c>
      <c r="N110" s="696">
        <v>16</v>
      </c>
      <c r="O110" s="617" t="s">
        <v>1023</v>
      </c>
      <c r="P110" s="697">
        <v>350</v>
      </c>
    </row>
    <row r="111" spans="2:22" x14ac:dyDescent="0.25">
      <c r="B111" s="447"/>
      <c r="C111"/>
      <c r="D111" s="613"/>
      <c r="E111" s="615">
        <f>1-((P110-15*N110)/(200*N110))</f>
        <v>0.96562499999999996</v>
      </c>
      <c r="F111" s="613"/>
      <c r="G111" s="613"/>
      <c r="H111" s="613"/>
      <c r="I111" s="613"/>
      <c r="J111" s="779">
        <f>IF(E111&gt;1,1,IF(E111&lt;0.75,0.75,E111))</f>
        <v>0.96562499999999996</v>
      </c>
      <c r="K111" s="448"/>
      <c r="P111" s="614"/>
    </row>
    <row r="112" spans="2:22" x14ac:dyDescent="0.25">
      <c r="B112" s="447"/>
      <c r="C112" s="613"/>
      <c r="D112" s="613"/>
      <c r="E112" s="613"/>
      <c r="F112" s="613"/>
      <c r="G112" s="613"/>
      <c r="H112" s="613"/>
      <c r="I112" s="613"/>
      <c r="J112" s="613"/>
      <c r="K112" s="448"/>
    </row>
    <row r="113" spans="2:22" x14ac:dyDescent="0.25">
      <c r="B113" s="447"/>
      <c r="C113" s="1019" t="s">
        <v>810</v>
      </c>
      <c r="D113" s="1019"/>
      <c r="E113" s="1019"/>
      <c r="F113" s="1019"/>
      <c r="G113" s="1019"/>
      <c r="H113" s="1019"/>
      <c r="I113" s="1019"/>
      <c r="J113" s="1019"/>
      <c r="K113" s="448"/>
      <c r="M113" s="614"/>
    </row>
    <row r="114" spans="2:22" ht="16.5" thickBot="1" x14ac:dyDescent="0.3">
      <c r="B114" s="447"/>
      <c r="C114" s="531" t="str">
        <f>IF(Configuration!$Y$4="EN","Preloaded Bolts","Boulons Précontraints")</f>
        <v>Boulons Précontraints</v>
      </c>
      <c r="I114" s="645" t="s">
        <v>1828</v>
      </c>
      <c r="J114" s="433">
        <f>P115/(N117*H119)</f>
        <v>0.98387192586432215</v>
      </c>
      <c r="K114" s="448"/>
      <c r="M114" s="432" t="s">
        <v>749</v>
      </c>
    </row>
    <row r="115" spans="2:22" x14ac:dyDescent="0.2">
      <c r="B115" s="447"/>
      <c r="C115" s="530" t="str">
        <f>IF(Configuration!$Y$4="EN",N117&amp;" Bolts M"&amp;N115&amp;" - HR"&amp;N116&amp;" - Surface Condition "&amp;P118&amp;" - "&amp;P120&amp;" Holes - Shear "&amp;IF(P116=0,"Only","and Tension combined"),N117&amp;" Boulons M"&amp;N115&amp;" - HR"&amp;N116&amp;" - Etat de Surface "&amp;P118&amp;" - Trous "&amp;P120&amp;" - Cisaillement "&amp;IF(P116=0,"Simple","et Traction combinées"))</f>
        <v>4 Boulons M16 - HR8.8 - Etat de Surface Grenaillé - Trous Normaux - Cisaillement et Traction combinées</v>
      </c>
      <c r="K115" s="448"/>
      <c r="M115" s="409" t="s">
        <v>733</v>
      </c>
      <c r="N115" s="677">
        <v>16</v>
      </c>
      <c r="O115" s="410" t="s">
        <v>735</v>
      </c>
      <c r="P115" s="702">
        <v>26500</v>
      </c>
      <c r="Q115" s="511" t="s">
        <v>737</v>
      </c>
    </row>
    <row r="116" spans="2:22" ht="18" x14ac:dyDescent="0.35">
      <c r="B116" s="447"/>
      <c r="D116" s="643" t="s">
        <v>1916</v>
      </c>
      <c r="E116" s="1026">
        <f>P115</f>
        <v>26500</v>
      </c>
      <c r="F116" s="1026"/>
      <c r="G116" s="643" t="s">
        <v>1917</v>
      </c>
      <c r="H116" s="1026">
        <f>P116</f>
        <v>1500</v>
      </c>
      <c r="I116" s="1027"/>
      <c r="K116" s="448"/>
      <c r="M116" s="411" t="s">
        <v>630</v>
      </c>
      <c r="N116" s="701">
        <v>8.8000000000000007</v>
      </c>
      <c r="O116" s="412" t="s">
        <v>689</v>
      </c>
      <c r="P116" s="703">
        <v>1500</v>
      </c>
      <c r="Q116" s="512">
        <f>VLOOKUP(N115,Data!$K$3:$P$20,5)</f>
        <v>157</v>
      </c>
      <c r="R116" s="374"/>
    </row>
    <row r="117" spans="2:22" ht="18" x14ac:dyDescent="0.2">
      <c r="B117" s="447"/>
      <c r="C117" s="288" t="s">
        <v>782</v>
      </c>
      <c r="D117" s="521">
        <f>VLOOKUP(P118,Data!F25:G30,2,FALSE)</f>
        <v>0.5</v>
      </c>
      <c r="E117" s="288" t="s">
        <v>765</v>
      </c>
      <c r="F117" s="521">
        <f>P119</f>
        <v>2</v>
      </c>
      <c r="G117" s="288" t="s">
        <v>766</v>
      </c>
      <c r="H117" s="439">
        <f>VLOOKUP(P120,Data!H25:I29,2,FALSE)</f>
        <v>1</v>
      </c>
      <c r="I117" s="288" t="str">
        <f>IF(P117="C (ELU)","γM3 =","γM3,ser =")</f>
        <v>γM3 =</v>
      </c>
      <c r="J117" s="439">
        <f>IF(P117="C (ELU)",G_M3,G_M3ser)</f>
        <v>1.25</v>
      </c>
      <c r="K117" s="448"/>
      <c r="M117" s="411" t="s">
        <v>732</v>
      </c>
      <c r="N117" s="678">
        <v>4</v>
      </c>
      <c r="O117" s="412" t="s">
        <v>764</v>
      </c>
      <c r="P117" s="678" t="s">
        <v>791</v>
      </c>
      <c r="Q117" s="416" t="s">
        <v>739</v>
      </c>
    </row>
    <row r="118" spans="2:22" ht="18" x14ac:dyDescent="0.2">
      <c r="B118" s="447"/>
      <c r="E118" s="288" t="s">
        <v>784</v>
      </c>
      <c r="F118" s="1026">
        <f>0.7*Q118*Q116</f>
        <v>8792</v>
      </c>
      <c r="G118" s="1026"/>
      <c r="H118" s="434" t="str">
        <f>IF(P116=0,"",IF(P117="C (ELU)","Ft,Ed = ","Ft,Ed,ser = "))</f>
        <v xml:space="preserve">Ft,Ed = </v>
      </c>
      <c r="I118" s="379">
        <f>P116/N117</f>
        <v>375</v>
      </c>
      <c r="K118" s="448"/>
      <c r="M118" s="518"/>
      <c r="N118" s="1025" t="s">
        <v>768</v>
      </c>
      <c r="O118" s="1025"/>
      <c r="P118" s="678" t="s">
        <v>769</v>
      </c>
      <c r="Q118" s="513">
        <f>VLOOKUP(N116,Data!$F$3:$H$16,3)</f>
        <v>80</v>
      </c>
    </row>
    <row r="119" spans="2:22" x14ac:dyDescent="0.25">
      <c r="B119" s="447"/>
      <c r="C119" s="1021" t="str">
        <f>IF(P117="C (ELU)","Fs,Rd = ","Fs,Rd,ser = ")</f>
        <v xml:space="preserve">Fs,Rd = </v>
      </c>
      <c r="D119" s="1023" t="str">
        <f>"ks  n  μ  "&amp;IF(P116=0,"Fp,C",CONCATENATE("(Fp,C - 0.8  Ft,Ed",IF(P117="C (ELU)",")",",ser)")))</f>
        <v>ks  n  μ  (Fp,C - 0.8  Ft,Ed)</v>
      </c>
      <c r="E119" s="1023"/>
      <c r="F119" s="1023"/>
      <c r="G119" s="1020" t="s">
        <v>666</v>
      </c>
      <c r="H119" s="1022">
        <f>(H117*F117*D117*(F118-I118))/J117</f>
        <v>6733.6</v>
      </c>
      <c r="I119" s="1022"/>
      <c r="J119" s="1022"/>
      <c r="K119" s="448"/>
      <c r="M119" s="518"/>
      <c r="N119" s="1029" t="s">
        <v>767</v>
      </c>
      <c r="O119" s="1029"/>
      <c r="P119" s="678">
        <v>2</v>
      </c>
      <c r="Q119" s="371"/>
    </row>
    <row r="120" spans="2:22" ht="18.75" thickBot="1" x14ac:dyDescent="0.25">
      <c r="B120" s="447"/>
      <c r="C120" s="1021"/>
      <c r="D120" s="514" t="s">
        <v>783</v>
      </c>
      <c r="E120" s="522" t="str">
        <f>IF(P117="C (ELU)","",",ser")</f>
        <v/>
      </c>
      <c r="G120" s="1020"/>
      <c r="H120" s="1022"/>
      <c r="I120" s="1022"/>
      <c r="J120" s="1022"/>
      <c r="K120" s="448"/>
      <c r="M120" s="519"/>
      <c r="N120" s="1028" t="s">
        <v>776</v>
      </c>
      <c r="O120" s="1028"/>
      <c r="P120" s="700" t="s">
        <v>777</v>
      </c>
      <c r="Q120" s="520"/>
    </row>
    <row r="121" spans="2:22" ht="15.75" thickBot="1" x14ac:dyDescent="0.3">
      <c r="B121" s="447"/>
      <c r="C121" s="1019" t="s">
        <v>810</v>
      </c>
      <c r="D121" s="1019"/>
      <c r="E121" s="1019"/>
      <c r="F121" s="1019"/>
      <c r="G121" s="1019"/>
      <c r="H121" s="1019"/>
      <c r="I121" s="1019"/>
      <c r="J121" s="1019"/>
      <c r="K121" s="448"/>
    </row>
    <row r="122" spans="2:22" ht="18" x14ac:dyDescent="0.25">
      <c r="B122" s="447"/>
      <c r="C122" s="531" t="str">
        <f>IF(Configuration!$Y$4="EN","Angle in tension connected by one leg","Cornière tendue attachée par une aile")</f>
        <v>Cornière tendue attachée par une aile</v>
      </c>
      <c r="I122" s="645" t="s">
        <v>1829</v>
      </c>
      <c r="J122" s="613"/>
      <c r="K122" s="448"/>
      <c r="M122" s="653" t="s">
        <v>1835</v>
      </c>
      <c r="N122" s="384" t="s">
        <v>1837</v>
      </c>
      <c r="O122" s="384" t="s">
        <v>1836</v>
      </c>
      <c r="P122" s="385" t="s">
        <v>1838</v>
      </c>
      <c r="Q122" s="654" t="s">
        <v>1839</v>
      </c>
      <c r="R122" s="439">
        <f>J123/F123</f>
        <v>4.2857142857142856</v>
      </c>
      <c r="S122" s="653" t="s">
        <v>1162</v>
      </c>
      <c r="T122" s="384" t="s">
        <v>1837</v>
      </c>
      <c r="U122" s="384" t="s">
        <v>1836</v>
      </c>
      <c r="V122" s="385" t="s">
        <v>1838</v>
      </c>
    </row>
    <row r="123" spans="2:22" ht="18" x14ac:dyDescent="0.25">
      <c r="B123" s="447"/>
      <c r="C123" s="288" t="s">
        <v>732</v>
      </c>
      <c r="D123" s="796">
        <v>12</v>
      </c>
      <c r="E123" s="288" t="s">
        <v>729</v>
      </c>
      <c r="F123" s="797">
        <f>VLOOKUP(D123,Data!$K$3:$Q$20,6,FALSE)</f>
        <v>14</v>
      </c>
      <c r="G123" s="288" t="s">
        <v>732</v>
      </c>
      <c r="H123" s="678">
        <v>2</v>
      </c>
      <c r="I123" s="640" t="s">
        <v>1800</v>
      </c>
      <c r="J123" s="675">
        <v>60</v>
      </c>
      <c r="K123" s="448"/>
      <c r="M123" s="518" t="s">
        <v>1832</v>
      </c>
      <c r="N123" s="377">
        <v>0.4</v>
      </c>
      <c r="O123" s="435">
        <f>0.4+0.1*((J123/F123)-2.5)/2.5</f>
        <v>0.47142857142857142</v>
      </c>
      <c r="P123" s="371">
        <v>0.5</v>
      </c>
      <c r="Q123" s="435">
        <f>IF($R$122&lt;=2.5,N123,IF($R$122&gt;=5,P123,O123))</f>
        <v>0.47142857142857142</v>
      </c>
      <c r="R123" s="435">
        <f>IF($R$122&lt;=2.5,T123,IF($R$122&gt;=5,V123,U123))</f>
        <v>0.5714285714285714</v>
      </c>
      <c r="S123" s="518" t="s">
        <v>1832</v>
      </c>
      <c r="T123" s="377">
        <v>0.5</v>
      </c>
      <c r="U123" s="435">
        <f>0.5+0.1*((J123/F123)-2.5)/2.5</f>
        <v>0.5714285714285714</v>
      </c>
      <c r="V123" s="371">
        <v>0.6</v>
      </c>
    </row>
    <row r="124" spans="2:22" ht="15.75" thickBot="1" x14ac:dyDescent="0.3">
      <c r="B124" s="447"/>
      <c r="D124" s="1036" t="s">
        <v>1831</v>
      </c>
      <c r="E124" s="1036"/>
      <c r="F124" s="613"/>
      <c r="G124" s="798" t="str">
        <f>"β"&amp;IF(H123=2,"₂",IF(H123&gt;=3,IF(AND(H123&gt;=4,D124="Double cornière"),"₄","₃")))&amp;" ="</f>
        <v>β₂ =</v>
      </c>
      <c r="H124" s="800">
        <f>IF(D124="Simple cornière",IF(H123=2,Q123,Q124),IF(H123=2,R123,IF(H123=3,R124,R125)))</f>
        <v>0.47142857142857142</v>
      </c>
      <c r="K124" s="448"/>
      <c r="M124" s="519" t="s">
        <v>1833</v>
      </c>
      <c r="N124" s="386">
        <v>0.5</v>
      </c>
      <c r="O124" s="799">
        <f>0.5+0.2*((J123/F123)-2.5)/2.5</f>
        <v>0.64285714285714279</v>
      </c>
      <c r="P124" s="520">
        <v>0.7</v>
      </c>
      <c r="Q124" s="435">
        <f>IF($R$122&lt;=2.5,N124,IF($R$122&gt;=5,P124,O124))</f>
        <v>0.64285714285714279</v>
      </c>
      <c r="R124" s="435">
        <f>IF($R$122&lt;=2.5,T124,IF($R$122&gt;=5,V124,U124))</f>
        <v>0.67142857142857137</v>
      </c>
      <c r="S124" s="518" t="s">
        <v>1833</v>
      </c>
      <c r="T124" s="377">
        <v>0.6</v>
      </c>
      <c r="U124" s="435">
        <f>0.6+0.1*((J123/F123)-2.5)/2.5</f>
        <v>0.67142857142857137</v>
      </c>
      <c r="V124" s="371">
        <v>0.7</v>
      </c>
    </row>
    <row r="125" spans="2:22" ht="15.75" thickBot="1" x14ac:dyDescent="0.3">
      <c r="B125" s="447"/>
      <c r="C125" s="1019" t="s">
        <v>810</v>
      </c>
      <c r="D125" s="1019"/>
      <c r="E125" s="1019"/>
      <c r="F125" s="1019"/>
      <c r="G125" s="1019"/>
      <c r="H125" s="1019"/>
      <c r="I125" s="1019"/>
      <c r="J125" s="1019"/>
      <c r="K125" s="448"/>
      <c r="R125" s="435">
        <f>IF($R$122&lt;=2.5,T125,IF($R$122&gt;=5,V125,U125))</f>
        <v>0.77142857142857135</v>
      </c>
      <c r="S125" s="519" t="s">
        <v>1834</v>
      </c>
      <c r="T125" s="386">
        <v>0.7</v>
      </c>
      <c r="U125" s="799">
        <f>0.7+0.1*((J123/F123)-2.5)/2.5</f>
        <v>0.77142857142857135</v>
      </c>
      <c r="V125" s="520">
        <v>0.8</v>
      </c>
    </row>
    <row r="126" spans="2:22" ht="15.75" x14ac:dyDescent="0.25">
      <c r="B126" s="447"/>
      <c r="C126" s="531" t="str">
        <f>IF(Configuration!$Y$4="EN","Pin connection: Type A Given thickness t","Attache par axes d'articulation : Type A Epaisseur donnée t")</f>
        <v>Attache par axes d'articulation : Type A Epaisseur donnée t</v>
      </c>
      <c r="I126" s="645" t="s">
        <v>1793</v>
      </c>
      <c r="J126" s="433">
        <f>MAX(J142,J148,J151,J155,J166)</f>
        <v>0.3382042540702776</v>
      </c>
      <c r="K126" s="448"/>
    </row>
    <row r="127" spans="2:22" ht="18" x14ac:dyDescent="0.25">
      <c r="B127" s="447"/>
      <c r="C127" s="288" t="s">
        <v>1594</v>
      </c>
      <c r="D127" s="678">
        <v>1500</v>
      </c>
      <c r="E127" s="521" t="s">
        <v>632</v>
      </c>
      <c r="G127" s="288" t="s">
        <v>1743</v>
      </c>
      <c r="H127" s="678">
        <v>1000</v>
      </c>
      <c r="I127" s="521" t="s">
        <v>632</v>
      </c>
      <c r="K127" s="448"/>
      <c r="M127" s="775" t="s">
        <v>1794</v>
      </c>
    </row>
    <row r="128" spans="2:22" x14ac:dyDescent="0.25">
      <c r="B128" s="447"/>
      <c r="C128" s="288" t="s">
        <v>733</v>
      </c>
      <c r="D128" s="678">
        <v>20</v>
      </c>
      <c r="E128" s="521" t="s">
        <v>240</v>
      </c>
      <c r="G128" s="288" t="s">
        <v>628</v>
      </c>
      <c r="H128" s="678">
        <v>15</v>
      </c>
      <c r="I128" s="521" t="s">
        <v>240</v>
      </c>
      <c r="K128" s="448"/>
    </row>
    <row r="129" spans="2:11" ht="18" x14ac:dyDescent="0.25">
      <c r="B129" s="447"/>
      <c r="C129" s="288" t="s">
        <v>1580</v>
      </c>
      <c r="D129" s="678">
        <v>28</v>
      </c>
      <c r="E129" s="521" t="s">
        <v>240</v>
      </c>
      <c r="G129" s="288" t="str">
        <f>IF(Configuration!$Y$4="EN","Grade:","Nuance :")</f>
        <v>Nuance :</v>
      </c>
      <c r="H129" s="678" t="s">
        <v>435</v>
      </c>
      <c r="I129" s="521"/>
      <c r="K129" s="448"/>
    </row>
    <row r="130" spans="2:11" ht="18" x14ac:dyDescent="0.25">
      <c r="B130" s="447"/>
      <c r="C130" s="288" t="str">
        <f>IF(Configuration!$Y$4="EN","Class:","Classe :")</f>
        <v>Classe :</v>
      </c>
      <c r="D130" s="678">
        <v>4.5999999999999996</v>
      </c>
      <c r="E130" s="521"/>
      <c r="G130" s="288" t="s">
        <v>644</v>
      </c>
      <c r="H130" s="377">
        <f>VLOOKUP(H129,Data!$A$3:$D$33,2,FALSE)</f>
        <v>23.5</v>
      </c>
      <c r="I130" s="521" t="s">
        <v>631</v>
      </c>
      <c r="K130" s="448"/>
    </row>
    <row r="131" spans="2:11" ht="18" x14ac:dyDescent="0.25">
      <c r="B131" s="447"/>
      <c r="C131" s="288" t="s">
        <v>1752</v>
      </c>
      <c r="D131" s="377">
        <f>VLOOKUP(D130,Data!$F$3:$I$16,2,FALSE)</f>
        <v>24</v>
      </c>
      <c r="E131" s="521" t="s">
        <v>631</v>
      </c>
      <c r="K131" s="448"/>
    </row>
    <row r="132" spans="2:11" ht="18" x14ac:dyDescent="0.25">
      <c r="B132" s="447"/>
      <c r="C132" s="288" t="s">
        <v>1744</v>
      </c>
      <c r="D132" s="377">
        <f>VLOOKUP(D130,Data!$F$3:$I$16,3,FALSE)</f>
        <v>40</v>
      </c>
      <c r="E132" s="521" t="s">
        <v>631</v>
      </c>
      <c r="G132" s="288" t="str">
        <f>IF(Configuration!$Y$4="EN","Replaceable pin:","Axe remplaçable :")</f>
        <v>Axe remplaçable :</v>
      </c>
      <c r="H132" s="678" t="s">
        <v>1256</v>
      </c>
      <c r="K132" s="448"/>
    </row>
    <row r="133" spans="2:11" ht="18" x14ac:dyDescent="0.25">
      <c r="B133" s="447"/>
      <c r="C133" s="288" t="s">
        <v>1670</v>
      </c>
      <c r="D133" s="568">
        <f>PI()*D128^2/4</f>
        <v>314.15926535897933</v>
      </c>
      <c r="E133" s="521" t="s">
        <v>531</v>
      </c>
      <c r="G133" s="288" t="s">
        <v>1751</v>
      </c>
      <c r="H133" s="435">
        <f>PI()*(D128/10)^3/32</f>
        <v>0.78539816339744828</v>
      </c>
      <c r="I133" s="521" t="s">
        <v>1576</v>
      </c>
      <c r="K133" s="448"/>
    </row>
    <row r="134" spans="2:11" x14ac:dyDescent="0.25">
      <c r="B134" s="447"/>
      <c r="G134" s="288"/>
      <c r="K134" s="448"/>
    </row>
    <row r="135" spans="2:11" x14ac:dyDescent="0.25">
      <c r="B135" s="447"/>
      <c r="C135" s="753" t="str">
        <f>IF(Configuration!$Y$4="EN","Geometric conditions","Conditions géométriques")</f>
        <v>Conditions géométriques</v>
      </c>
      <c r="K135" s="448"/>
    </row>
    <row r="136" spans="2:11" x14ac:dyDescent="0.25">
      <c r="B136" s="447"/>
      <c r="K136" s="448"/>
    </row>
    <row r="137" spans="2:11" x14ac:dyDescent="0.25">
      <c r="B137" s="447"/>
      <c r="C137" s="288"/>
      <c r="E137" s="658">
        <f>D127/(2*H128*H130)+(2*D129/3)</f>
        <v>20.794326241134755</v>
      </c>
      <c r="F137" s="521" t="s">
        <v>240</v>
      </c>
      <c r="K137" s="448"/>
    </row>
    <row r="138" spans="2:11" x14ac:dyDescent="0.25">
      <c r="B138" s="447"/>
      <c r="K138" s="448"/>
    </row>
    <row r="139" spans="2:11" x14ac:dyDescent="0.25">
      <c r="B139" s="447"/>
      <c r="C139" s="288"/>
      <c r="E139" s="658">
        <f>D127/(2*H128*H130)+(D129/3)</f>
        <v>11.460992907801419</v>
      </c>
      <c r="F139" s="521" t="s">
        <v>240</v>
      </c>
      <c r="K139" s="448"/>
    </row>
    <row r="140" spans="2:11" x14ac:dyDescent="0.25">
      <c r="B140" s="447"/>
      <c r="K140" s="448"/>
    </row>
    <row r="141" spans="2:11" x14ac:dyDescent="0.25">
      <c r="B141" s="447"/>
      <c r="K141" s="448"/>
    </row>
    <row r="142" spans="2:11" x14ac:dyDescent="0.25">
      <c r="B142" s="447"/>
      <c r="C142" s="753" t="str">
        <f>IF(Configuration!$Y$4="EN","Conditions for a replaceable pin","Conditions pour un axe remplaçable")</f>
        <v>Conditions pour un axe remplaçable</v>
      </c>
      <c r="J142" s="433">
        <f>IF(H132="OUI",G144/G145,0)</f>
        <v>0</v>
      </c>
      <c r="K142" s="448"/>
    </row>
    <row r="143" spans="2:11" x14ac:dyDescent="0.25">
      <c r="B143" s="447"/>
      <c r="K143" s="448"/>
    </row>
    <row r="144" spans="2:11" x14ac:dyDescent="0.25">
      <c r="B144" s="447"/>
      <c r="C144"/>
      <c r="G144" s="669">
        <f>0.591*0.01*SQRT(210000*10*H127*(D129-D128)/(H128*D128^2))</f>
        <v>9.8893215136327726</v>
      </c>
      <c r="H144" s="521" t="s">
        <v>631</v>
      </c>
      <c r="K144" s="448"/>
    </row>
    <row r="145" spans="2:11" ht="18" x14ac:dyDescent="0.25">
      <c r="B145" s="447"/>
      <c r="G145" s="669">
        <f>2.5*H130/J145</f>
        <v>53.409090909090907</v>
      </c>
      <c r="H145" s="521" t="s">
        <v>631</v>
      </c>
      <c r="I145" s="377" t="s">
        <v>1745</v>
      </c>
      <c r="J145" s="440">
        <f>G_M6ser</f>
        <v>1.1000000000000001</v>
      </c>
      <c r="K145" s="448"/>
    </row>
    <row r="146" spans="2:11" ht="18" x14ac:dyDescent="0.25">
      <c r="B146" s="447"/>
      <c r="F146" s="288" t="s">
        <v>1746</v>
      </c>
      <c r="G146" s="377" t="str">
        <f>IF(G144&lt;=G145,"≤","&gt;")</f>
        <v>≤</v>
      </c>
      <c r="H146" s="521" t="s">
        <v>1747</v>
      </c>
      <c r="I146" s="581" t="str">
        <f>IF(H132="OUI",IF(G144&lt;=G145,"OK !!","NON OK !!!"),"N/A")</f>
        <v>N/A</v>
      </c>
      <c r="K146" s="448"/>
    </row>
    <row r="147" spans="2:11" x14ac:dyDescent="0.25">
      <c r="B147" s="447"/>
      <c r="K147" s="448"/>
    </row>
    <row r="148" spans="2:11" x14ac:dyDescent="0.25">
      <c r="B148" s="447"/>
      <c r="C148" s="753" t="str">
        <f>IF(Configuration!$Y$4="EN","Shear resistance of the pin","Résistance au cisaillement de l'axe")</f>
        <v>Résistance au cisaillement de l'axe</v>
      </c>
      <c r="J148" s="433">
        <f>D127/F149</f>
        <v>0.24867959858108646</v>
      </c>
      <c r="K148" s="448"/>
    </row>
    <row r="149" spans="2:11" ht="18" x14ac:dyDescent="0.25">
      <c r="B149" s="447"/>
      <c r="E149" s="288" t="s">
        <v>1748</v>
      </c>
      <c r="F149" s="658">
        <f>0.6*D133*D132/G_M2</f>
        <v>6031.8578948924032</v>
      </c>
      <c r="G149" s="521" t="s">
        <v>632</v>
      </c>
      <c r="K149" s="448"/>
    </row>
    <row r="150" spans="2:11" x14ac:dyDescent="0.25">
      <c r="B150" s="447"/>
      <c r="K150" s="448"/>
    </row>
    <row r="151" spans="2:11" x14ac:dyDescent="0.25">
      <c r="B151" s="447"/>
      <c r="C151" s="753" t="str">
        <f>IF(Configuration!$Y$4="EN","Bearing resistance of plate and pin","Résistance en pression diamétrale de la plaque et de l'axe")</f>
        <v>Résistance en pression diamétrale de la plaque et de l'axe</v>
      </c>
      <c r="J151" s="433">
        <f>IF(H132="OUI",MAX(D127/F152,H127/F153),D127/F152)</f>
        <v>0.14184397163120568</v>
      </c>
      <c r="K151" s="448"/>
    </row>
    <row r="152" spans="2:11" ht="18" x14ac:dyDescent="0.25">
      <c r="B152" s="447"/>
      <c r="E152" s="288" t="s">
        <v>1749</v>
      </c>
      <c r="F152" s="658">
        <f>1.5*H128*D128*H130/G_M0</f>
        <v>10575</v>
      </c>
      <c r="G152" s="521" t="s">
        <v>632</v>
      </c>
      <c r="K152" s="448"/>
    </row>
    <row r="153" spans="2:11" ht="18" x14ac:dyDescent="0.25">
      <c r="B153" s="447"/>
      <c r="E153" s="288" t="s">
        <v>1750</v>
      </c>
      <c r="F153" s="658" t="str">
        <f>IF(H132="OUI",0.6*H128*D128*H130/J145,"N/A")</f>
        <v>N/A</v>
      </c>
      <c r="G153" s="521" t="s">
        <v>632</v>
      </c>
      <c r="K153" s="448"/>
    </row>
    <row r="154" spans="2:11" x14ac:dyDescent="0.25">
      <c r="B154" s="447"/>
      <c r="K154" s="448"/>
    </row>
    <row r="155" spans="2:11" x14ac:dyDescent="0.25">
      <c r="B155" s="447"/>
      <c r="C155" s="753" t="str">
        <f>IF(Configuration!$Y$4="EN","Bending resistance of the pin","Résistance à la flexion de l'axe")</f>
        <v>Résistance à la flexion de l'axe</v>
      </c>
      <c r="J155" s="433">
        <f>IF(H132="OUI",MAX(F160/F163,F161/F164),F160/F163)</f>
        <v>0.3382042540702776</v>
      </c>
      <c r="K155" s="448"/>
    </row>
    <row r="156" spans="2:11" x14ac:dyDescent="0.25">
      <c r="B156" s="447"/>
      <c r="C156" s="288" t="s">
        <v>682</v>
      </c>
      <c r="D156" s="678">
        <v>8</v>
      </c>
      <c r="E156" s="521" t="s">
        <v>240</v>
      </c>
      <c r="K156" s="448"/>
    </row>
    <row r="157" spans="2:11" x14ac:dyDescent="0.25">
      <c r="B157" s="447"/>
      <c r="C157" s="288" t="s">
        <v>672</v>
      </c>
      <c r="D157" s="377">
        <f>H128</f>
        <v>15</v>
      </c>
      <c r="E157" s="521" t="s">
        <v>240</v>
      </c>
      <c r="K157" s="448"/>
    </row>
    <row r="158" spans="2:11" x14ac:dyDescent="0.25">
      <c r="B158" s="447"/>
      <c r="C158" s="288" t="s">
        <v>1584</v>
      </c>
      <c r="D158" s="678">
        <v>5</v>
      </c>
      <c r="E158" s="521" t="s">
        <v>240</v>
      </c>
      <c r="K158" s="448"/>
    </row>
    <row r="159" spans="2:11" x14ac:dyDescent="0.25">
      <c r="B159" s="447"/>
      <c r="K159" s="448"/>
    </row>
    <row r="160" spans="2:11" ht="18" x14ac:dyDescent="0.25">
      <c r="B160" s="447"/>
      <c r="E160" s="288" t="s">
        <v>1756</v>
      </c>
      <c r="F160" s="648">
        <f>0.001*(D157+4*D158+2*D156)*(D127/8)</f>
        <v>9.5625</v>
      </c>
      <c r="G160" s="521" t="s">
        <v>629</v>
      </c>
      <c r="K160" s="448"/>
    </row>
    <row r="161" spans="2:18" ht="18" x14ac:dyDescent="0.25">
      <c r="B161" s="447"/>
      <c r="E161" s="288" t="s">
        <v>1755</v>
      </c>
      <c r="F161" s="648" t="str">
        <f>IF(H132="OUI",0.001*(D157+4*D158+2*D156)*(H127/8),"N/A")</f>
        <v>N/A</v>
      </c>
      <c r="G161" s="521" t="s">
        <v>629</v>
      </c>
      <c r="K161" s="448"/>
    </row>
    <row r="162" spans="2:18" x14ac:dyDescent="0.25">
      <c r="B162" s="447"/>
      <c r="K162" s="448"/>
    </row>
    <row r="163" spans="2:18" ht="18" x14ac:dyDescent="0.25">
      <c r="B163" s="447"/>
      <c r="E163" s="288" t="s">
        <v>1754</v>
      </c>
      <c r="F163" s="658">
        <f>1.5*H133*D131/G_M0</f>
        <v>28.274333882308138</v>
      </c>
      <c r="G163" s="521" t="s">
        <v>629</v>
      </c>
      <c r="K163" s="448"/>
    </row>
    <row r="164" spans="2:18" ht="18" x14ac:dyDescent="0.25">
      <c r="B164" s="447"/>
      <c r="E164" s="288" t="s">
        <v>1753</v>
      </c>
      <c r="F164" s="658" t="str">
        <f>IF(H132="OUI",0.8*H133*D131/J145,"N/A")</f>
        <v>N/A</v>
      </c>
      <c r="G164" s="521" t="s">
        <v>629</v>
      </c>
      <c r="K164" s="448"/>
    </row>
    <row r="165" spans="2:18" x14ac:dyDescent="0.25">
      <c r="B165" s="447"/>
      <c r="K165" s="448"/>
    </row>
    <row r="166" spans="2:18" x14ac:dyDescent="0.25">
      <c r="B166" s="447"/>
      <c r="C166" s="753" t="str">
        <f>IF(Configuration!$Y$4="EN","Pin resistance in shear and bending","Résistance de l'axe en cisaillement et flexion")</f>
        <v>Résistance de l'axe en cisaillement et flexion</v>
      </c>
      <c r="J166" s="433">
        <f>F168</f>
        <v>0.17622366022168318</v>
      </c>
      <c r="K166" s="448"/>
    </row>
    <row r="167" spans="2:18" x14ac:dyDescent="0.25">
      <c r="B167" s="447"/>
      <c r="K167" s="448"/>
    </row>
    <row r="168" spans="2:18" x14ac:dyDescent="0.25">
      <c r="B168" s="447"/>
      <c r="F168" s="203">
        <f>J155^2+J148^2</f>
        <v>0.17622366022168318</v>
      </c>
      <c r="K168" s="448"/>
    </row>
    <row r="169" spans="2:18" x14ac:dyDescent="0.25">
      <c r="B169" s="447"/>
      <c r="K169" s="448"/>
    </row>
    <row r="170" spans="2:18" x14ac:dyDescent="0.25">
      <c r="B170" s="447"/>
      <c r="C170" s="1019" t="s">
        <v>790</v>
      </c>
      <c r="D170" s="1020"/>
      <c r="E170" s="1020"/>
      <c r="F170" s="1020"/>
      <c r="G170" s="1020"/>
      <c r="H170" s="1020"/>
      <c r="I170" s="1020"/>
      <c r="J170" s="1020"/>
      <c r="K170" s="448"/>
    </row>
    <row r="171" spans="2:18" ht="15.75" thickBot="1" x14ac:dyDescent="0.3">
      <c r="B171" s="447"/>
      <c r="C171" s="432" t="str">
        <f>IF(Configuration!$Y$4="EN","Rotation capacity","Capacité de rotation")</f>
        <v>Capacité de rotation</v>
      </c>
      <c r="J171" s="645" t="s">
        <v>1796</v>
      </c>
      <c r="K171" s="448"/>
      <c r="M171" s="432" t="s">
        <v>909</v>
      </c>
    </row>
    <row r="172" spans="2:18" ht="18" x14ac:dyDescent="0.25">
      <c r="B172" s="447"/>
      <c r="D172" s="359" t="str">
        <f>"t =  "&amp;N172&amp;" mm"</f>
        <v>t =  8 mm</v>
      </c>
      <c r="E172" s="576" t="str">
        <f>IF(N172&lt;=G172,"≤","&gt;")</f>
        <v>≤</v>
      </c>
      <c r="G172" s="780">
        <f>ROUND(0.36*N173*SQRT(R173/Q173),1)</f>
        <v>8</v>
      </c>
      <c r="I172" s="581" t="str">
        <f>IF(N172&lt;=G172,"OK !!","NON OK!!")</f>
        <v>OK !!</v>
      </c>
      <c r="K172" s="448"/>
      <c r="M172" s="577" t="s">
        <v>628</v>
      </c>
      <c r="N172" s="680">
        <v>8</v>
      </c>
      <c r="O172" s="424" t="s">
        <v>423</v>
      </c>
      <c r="P172" s="698" t="s">
        <v>435</v>
      </c>
      <c r="Q172" s="384" t="s">
        <v>911</v>
      </c>
      <c r="R172" s="425" t="s">
        <v>910</v>
      </c>
    </row>
    <row r="173" spans="2:18" ht="15.75" thickBot="1" x14ac:dyDescent="0.25">
      <c r="B173" s="449"/>
      <c r="C173" s="378"/>
      <c r="D173" s="378"/>
      <c r="E173" s="378"/>
      <c r="F173" s="378"/>
      <c r="G173" s="378"/>
      <c r="H173" s="378"/>
      <c r="I173" s="378"/>
      <c r="J173" s="378"/>
      <c r="K173" s="450"/>
      <c r="M173" s="523" t="s">
        <v>733</v>
      </c>
      <c r="N173" s="693">
        <v>12</v>
      </c>
      <c r="O173" s="524" t="s">
        <v>423</v>
      </c>
      <c r="P173" s="700">
        <v>8.8000000000000007</v>
      </c>
      <c r="Q173" s="386">
        <f>VLOOKUP(P172,Data!$A$3:$D$34,2,FALSE)</f>
        <v>23.5</v>
      </c>
      <c r="R173" s="372">
        <f>VLOOKUP(P173,Data!F3:H16,3,FALSE)</f>
        <v>80</v>
      </c>
    </row>
  </sheetData>
  <sheetProtection algorithmName="SHA-512" hashValue="rRk3TSxSuPdr2epv5CiUfInrfsn/Mt28zIlDJ6iq9o7exK/TOLK8zhKixHiwgciNSOLNNlNBkcwSnR8WM2bkQg==" saltValue="Tv4Ctv2zlm3j/SDXBLLi2Q==" spinCount="100000" sheet="1" objects="1" scenarios="1"/>
  <mergeCells count="36">
    <mergeCell ref="I69:J69"/>
    <mergeCell ref="I91:J91"/>
    <mergeCell ref="C125:J125"/>
    <mergeCell ref="D124:E124"/>
    <mergeCell ref="C34:J34"/>
    <mergeCell ref="D99:E99"/>
    <mergeCell ref="H103:I103"/>
    <mergeCell ref="C96:J96"/>
    <mergeCell ref="C100:J100"/>
    <mergeCell ref="D102:E102"/>
    <mergeCell ref="G102:H102"/>
    <mergeCell ref="F118:G118"/>
    <mergeCell ref="D106:E106"/>
    <mergeCell ref="C113:J113"/>
    <mergeCell ref="C104:J104"/>
    <mergeCell ref="C108:J108"/>
    <mergeCell ref="N44:O44"/>
    <mergeCell ref="E11:F11"/>
    <mergeCell ref="E9:F9"/>
    <mergeCell ref="G5:I5"/>
    <mergeCell ref="C15:J15"/>
    <mergeCell ref="N23:O23"/>
    <mergeCell ref="E24:G24"/>
    <mergeCell ref="E31:G31"/>
    <mergeCell ref="H106:I106"/>
    <mergeCell ref="N118:O118"/>
    <mergeCell ref="E116:F116"/>
    <mergeCell ref="H116:I116"/>
    <mergeCell ref="N120:O120"/>
    <mergeCell ref="G119:G120"/>
    <mergeCell ref="N119:O119"/>
    <mergeCell ref="C170:J170"/>
    <mergeCell ref="C119:C120"/>
    <mergeCell ref="H119:J120"/>
    <mergeCell ref="D119:F119"/>
    <mergeCell ref="C121:J121"/>
  </mergeCells>
  <conditionalFormatting sqref="I118">
    <cfRule type="cellIs" dxfId="44" priority="2" operator="equal">
      <formula>0</formula>
    </cfRule>
  </conditionalFormatting>
  <conditionalFormatting sqref="J3">
    <cfRule type="expression" dxfId="43" priority="28">
      <formula>$J$3&gt;1</formula>
    </cfRule>
  </conditionalFormatting>
  <conditionalFormatting sqref="O24:O27">
    <cfRule type="iconSet" priority="9">
      <iconSet iconSet="3Symbols2" showValue="0" reverse="1">
        <cfvo type="percent" val="0"/>
        <cfvo type="num" val="1"/>
        <cfvo type="num" val="2"/>
      </iconSet>
    </cfRule>
  </conditionalFormatting>
  <conditionalFormatting sqref="O45:O50">
    <cfRule type="iconSet" priority="30">
      <iconSet iconSet="3Symbols2" showValue="0" reverse="1">
        <cfvo type="percent" val="0"/>
        <cfvo type="num" val="1"/>
        <cfvo type="num" val="2"/>
      </iconSet>
    </cfRule>
  </conditionalFormatting>
  <dataValidations disablePrompts="1" count="6">
    <dataValidation type="list" allowBlank="1" showInputMessage="1" showErrorMessage="1" sqref="P102" xr:uid="{D2DE675C-5232-4293-8E72-9C10E62CFEA3}">
      <formula1>"Centré,Excentré"</formula1>
    </dataValidation>
    <dataValidation type="list" allowBlank="1" showInputMessage="1" showErrorMessage="1" sqref="P117" xr:uid="{9151911D-E32C-449D-8F56-71843558CBC8}">
      <formula1>"C (ELU),B (ELS)"</formula1>
    </dataValidation>
    <dataValidation type="list" allowBlank="1" showInputMessage="1" showErrorMessage="1" sqref="J4" xr:uid="{8B994AB1-3385-4E8C-AD14-97854134D289}">
      <formula1>"Partie Filetée,Partie NON Filetée"</formula1>
    </dataValidation>
    <dataValidation type="list" allowBlank="1" showInputMessage="1" showErrorMessage="1" sqref="H132" xr:uid="{D92D9F38-A2D3-4D9F-BADF-E69BEED00C70}">
      <formula1>"OUI,NON"</formula1>
    </dataValidation>
    <dataValidation type="list" allowBlank="1" showInputMessage="1" showErrorMessage="1" sqref="D124:E124" xr:uid="{244546A6-3389-41A4-9218-4D34C21FE7AC}">
      <formula1>"Simple cornière,Double cornière"</formula1>
    </dataValidation>
    <dataValidation type="list" allowBlank="1" showInputMessage="1" showErrorMessage="1" sqref="H123" xr:uid="{14C2C39F-AF4A-40DA-AA94-D560ADF76AC9}">
      <formula1>"2,3,4,5,6,7,8,9"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88" orientation="portrait" horizontalDpi="4294967293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disablePrompts="1" count="8">
        <x14:dataValidation type="list" allowBlank="1" showInputMessage="1" showErrorMessage="1" xr:uid="{6CB0AADC-DFF3-4F59-921C-61539758D2A9}">
          <x14:formula1>
            <xm:f>Data!$K$3:$K$20</xm:f>
          </x14:formula1>
          <xm:sqref>N98 O19 N115 N110 N173 O39 D123 F4</xm:sqref>
        </x14:dataValidation>
        <x14:dataValidation type="list" allowBlank="1" showInputMessage="1" showErrorMessage="1" xr:uid="{52E80EF3-449E-4CF8-87F6-8DE5D8604F94}">
          <x14:formula1>
            <xm:f>Data!$F$25:$F$30</xm:f>
          </x14:formula1>
          <xm:sqref>P118</xm:sqref>
        </x14:dataValidation>
        <x14:dataValidation type="list" allowBlank="1" showInputMessage="1" showErrorMessage="1" xr:uid="{9FAC9BF1-929B-4D63-B584-07A3763C22E7}">
          <x14:formula1>
            <xm:f>Data!$H$25:$H$29</xm:f>
          </x14:formula1>
          <xm:sqref>P120</xm:sqref>
        </x14:dataValidation>
        <x14:dataValidation type="list" allowBlank="1" showInputMessage="1" showErrorMessage="1" xr:uid="{BE5AD056-901A-4906-987D-C91E9B57728A}">
          <x14:formula1>
            <xm:f>Data!$A$3:$A$34</xm:f>
          </x14:formula1>
          <xm:sqref>P172 P101 P106 P97 Q18 Q38</xm:sqref>
        </x14:dataValidation>
        <x14:dataValidation type="list" allowBlank="1" showInputMessage="1" showErrorMessage="1" xr:uid="{070C71B4-3D39-49BE-8DE4-356742697FD5}">
          <x14:formula1>
            <xm:f>Data!$A$3:$A$33</xm:f>
          </x14:formula1>
          <xm:sqref>H129</xm:sqref>
        </x14:dataValidation>
        <x14:dataValidation type="list" allowBlank="1" showInputMessage="1" showErrorMessage="1" xr:uid="{A27631AD-681F-471A-A69C-C0CB04C51DEE}">
          <x14:formula1>
            <xm:f>Data!$F$3:$F$12</xm:f>
          </x14:formula1>
          <xm:sqref>H4 O40 P173</xm:sqref>
        </x14:dataValidation>
        <x14:dataValidation type="list" allowBlank="1" showInputMessage="1" showErrorMessage="1" xr:uid="{2ECE63DF-A339-4006-A306-AE33A39D0B6D}">
          <x14:formula1>
            <xm:f>Data!$F$10:$F$12</xm:f>
          </x14:formula1>
          <xm:sqref>N116</xm:sqref>
        </x14:dataValidation>
        <x14:dataValidation type="list" allowBlank="1" showInputMessage="1" showErrorMessage="1" xr:uid="{693A91D3-A49A-422A-9B1A-3D82ACC0BB34}">
          <x14:formula1>
            <xm:f>Data!$F$3:$F$16</xm:f>
          </x14:formula1>
          <xm:sqref>D130 O20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4316-F8B6-4E8C-9A6C-17ED67E5A9EB}">
  <sheetPr codeName="Feuil15">
    <tabColor rgb="FF0070C0"/>
    <pageSetUpPr fitToPage="1"/>
  </sheetPr>
  <dimension ref="A1:X466"/>
  <sheetViews>
    <sheetView zoomScaleNormal="100" zoomScaleSheetLayoutView="100" workbookViewId="0">
      <selection activeCell="N5" sqref="N5"/>
    </sheetView>
  </sheetViews>
  <sheetFormatPr baseColWidth="10" defaultColWidth="10.7109375" defaultRowHeight="15" x14ac:dyDescent="0.25"/>
  <cols>
    <col min="1" max="1" width="6.28515625" style="377" customWidth="1"/>
    <col min="2" max="2" width="2.140625" style="377" customWidth="1"/>
    <col min="3" max="4" width="10.7109375" style="377" customWidth="1"/>
    <col min="5" max="5" width="15.7109375" style="377" customWidth="1"/>
    <col min="6" max="7" width="10.7109375" style="377" customWidth="1"/>
    <col min="8" max="8" width="15.7109375" style="377" customWidth="1"/>
    <col min="9" max="10" width="5.7109375" style="377" customWidth="1"/>
    <col min="11" max="11" width="2.140625" style="377" customWidth="1"/>
    <col min="12" max="12" width="6.28515625" style="377" customWidth="1"/>
    <col min="13" max="15" width="10.7109375" style="377"/>
    <col min="16" max="16" width="10.7109375" style="377" customWidth="1"/>
    <col min="17" max="16384" width="10.7109375" style="377"/>
  </cols>
  <sheetData>
    <row r="1" spans="1:21" x14ac:dyDescent="0.25">
      <c r="Q1" s="359"/>
      <c r="R1" s="359"/>
      <c r="S1" s="359"/>
    </row>
    <row r="3" spans="1:21" x14ac:dyDescent="0.25">
      <c r="B3" s="444"/>
      <c r="C3" s="445"/>
      <c r="D3" s="445"/>
      <c r="E3" s="445"/>
      <c r="F3" s="445"/>
      <c r="G3" s="445"/>
      <c r="H3" s="445"/>
      <c r="I3" s="445"/>
      <c r="J3" s="445"/>
      <c r="K3" s="446"/>
    </row>
    <row r="4" spans="1:21" ht="15.75" thickBot="1" x14ac:dyDescent="0.3">
      <c r="A4" s="377">
        <v>1</v>
      </c>
      <c r="B4" s="447"/>
      <c r="C4" s="432" t="str">
        <f>IF(Configuration!Y4="EN","Assemblies with front fillet welds","Assemblages par cordons frontaux")</f>
        <v>Assemblages par cordons frontaux</v>
      </c>
      <c r="K4" s="448"/>
      <c r="M4" s="432" t="s">
        <v>813</v>
      </c>
    </row>
    <row r="5" spans="1:21" ht="18" x14ac:dyDescent="0.35">
      <c r="B5" s="447"/>
      <c r="C5" s="540" t="str">
        <f>IF(Configuration!Y4="EN","Steel "&amp;N6&amp;" - βw= "&amp;U6&amp;" - a = "&amp;Q5&amp;" mm","Acier "&amp;N6&amp;" - βw= "&amp;U6&amp;" - a = "&amp;Q5&amp;" mm")</f>
        <v>Acier S275 - βw= 0.85 - a = 5 mm</v>
      </c>
      <c r="K5" s="448"/>
      <c r="M5" s="388" t="s">
        <v>814</v>
      </c>
      <c r="N5" s="684">
        <v>28000</v>
      </c>
      <c r="O5" s="389" t="s">
        <v>632</v>
      </c>
      <c r="P5" s="390" t="s">
        <v>682</v>
      </c>
      <c r="Q5" s="684">
        <v>5</v>
      </c>
      <c r="R5" s="389" t="s">
        <v>240</v>
      </c>
      <c r="S5" s="536" t="s">
        <v>424</v>
      </c>
      <c r="T5" s="536" t="s">
        <v>425</v>
      </c>
      <c r="U5" s="425" t="s">
        <v>426</v>
      </c>
    </row>
    <row r="6" spans="1:21" ht="18.75" thickBot="1" x14ac:dyDescent="0.4">
      <c r="B6" s="447"/>
      <c r="C6" s="392" t="s">
        <v>814</v>
      </c>
      <c r="D6" s="377">
        <f>N5</f>
        <v>28000</v>
      </c>
      <c r="E6" s="387" t="s">
        <v>632</v>
      </c>
      <c r="K6" s="448"/>
      <c r="M6" s="537" t="s">
        <v>423</v>
      </c>
      <c r="N6" s="685" t="s">
        <v>437</v>
      </c>
      <c r="O6" s="386"/>
      <c r="P6" s="396" t="s">
        <v>654</v>
      </c>
      <c r="Q6" s="686">
        <v>250</v>
      </c>
      <c r="R6" s="395" t="s">
        <v>240</v>
      </c>
      <c r="S6" s="538">
        <f>VLOOKUP(N6,Data!$A$3:$D$34,2)</f>
        <v>27.5</v>
      </c>
      <c r="T6" s="538">
        <f>VLOOKUP(N6,Data!$A$3:$D$34,3)</f>
        <v>43</v>
      </c>
      <c r="U6" s="539">
        <f>VLOOKUP(N6,Data!$A$3:$D$34,4)</f>
        <v>0.85</v>
      </c>
    </row>
    <row r="7" spans="1:21" ht="18" x14ac:dyDescent="0.35">
      <c r="B7" s="447"/>
      <c r="C7" s="392" t="s">
        <v>816</v>
      </c>
      <c r="D7" s="534">
        <f>Q6-2*Q5</f>
        <v>240</v>
      </c>
      <c r="E7" s="394" t="str">
        <f>IF(D7&lt;=H7,"&lt;","&gt;")</f>
        <v>&gt;</v>
      </c>
      <c r="G7" s="392" t="s">
        <v>817</v>
      </c>
      <c r="H7" s="534">
        <f>MAX(30,6*Q5)</f>
        <v>30</v>
      </c>
      <c r="I7" s="521" t="str">
        <f>IF(D7&lt;=H7,"NON OK !!","OK !")</f>
        <v>OK !</v>
      </c>
      <c r="K7" s="448"/>
      <c r="M7" s="542" t="s">
        <v>820</v>
      </c>
    </row>
    <row r="8" spans="1:21" ht="18" x14ac:dyDescent="0.25">
      <c r="B8" s="447"/>
      <c r="D8" s="288" t="s">
        <v>822</v>
      </c>
      <c r="E8" s="543">
        <f>2*E9</f>
        <v>16.49915822768611</v>
      </c>
      <c r="F8" s="394" t="str">
        <f>IF(E8&lt;=H8,"&lt;","&gt;")</f>
        <v>&lt;</v>
      </c>
      <c r="G8" s="541" t="s">
        <v>819</v>
      </c>
      <c r="H8" s="543">
        <f>T6/(U6*G_M2)</f>
        <v>40.470588235294116</v>
      </c>
      <c r="J8" s="544">
        <f>E8/H8</f>
        <v>0.40768268876549979</v>
      </c>
      <c r="K8" s="448"/>
      <c r="O8" s="377" t="s">
        <v>981</v>
      </c>
    </row>
    <row r="9" spans="1:21" ht="18" x14ac:dyDescent="0.25">
      <c r="B9" s="447"/>
      <c r="C9" s="288" t="s">
        <v>720</v>
      </c>
      <c r="D9" s="288" t="s">
        <v>815</v>
      </c>
      <c r="E9" s="543">
        <f>0.25*SQRT(2)*N5/(Q5*D7)</f>
        <v>8.2495791138430548</v>
      </c>
      <c r="F9" s="394" t="str">
        <f>IF(E9&lt;=H9,"&lt;","&gt;")</f>
        <v>&lt;</v>
      </c>
      <c r="G9" s="288" t="s">
        <v>818</v>
      </c>
      <c r="H9" s="543">
        <f>0.9*T6/G_M2</f>
        <v>30.96</v>
      </c>
      <c r="J9" s="544">
        <f>E9/H9</f>
        <v>0.26645927370294104</v>
      </c>
      <c r="K9" s="448"/>
    </row>
    <row r="10" spans="1:21" x14ac:dyDescent="0.25">
      <c r="B10" s="447"/>
      <c r="C10" s="1019" t="s">
        <v>809</v>
      </c>
      <c r="D10" s="1019"/>
      <c r="E10" s="1019"/>
      <c r="F10" s="1019"/>
      <c r="G10" s="1019"/>
      <c r="H10" s="1019"/>
      <c r="I10" s="1019"/>
      <c r="J10" s="1019"/>
      <c r="K10" s="455"/>
      <c r="L10" s="359"/>
      <c r="M10" s="359"/>
      <c r="N10" s="359"/>
      <c r="O10" s="359"/>
      <c r="P10" s="359"/>
    </row>
    <row r="11" spans="1:21" ht="15.75" thickBot="1" x14ac:dyDescent="0.3">
      <c r="A11" s="377">
        <v>2</v>
      </c>
      <c r="B11" s="447"/>
      <c r="C11" s="432" t="str">
        <f>IF(Configuration!Y4="EN","Assemblies with side fillet welds","Assemblages par cordons latéraux")</f>
        <v>Assemblages par cordons latéraux</v>
      </c>
      <c r="K11" s="448"/>
      <c r="M11" s="432" t="s">
        <v>821</v>
      </c>
    </row>
    <row r="12" spans="1:21" ht="18" x14ac:dyDescent="0.35">
      <c r="B12" s="447"/>
      <c r="C12" s="540" t="str">
        <f>IF(Configuration!Y4="EN","Steel "&amp;N13&amp;" - βw= "&amp;U13&amp;" - a = "&amp;Q12&amp;" mm","Acier "&amp;N13&amp;" - βw= "&amp;U13&amp;" - a = "&amp;Q12&amp;" mm")</f>
        <v>Acier S235 - βw= 0.8 - a = 3 mm</v>
      </c>
      <c r="K12" s="448"/>
      <c r="M12" s="388" t="s">
        <v>814</v>
      </c>
      <c r="N12" s="684">
        <v>3850</v>
      </c>
      <c r="O12" s="389" t="s">
        <v>632</v>
      </c>
      <c r="P12" s="390" t="s">
        <v>682</v>
      </c>
      <c r="Q12" s="684">
        <v>3</v>
      </c>
      <c r="R12" s="389" t="s">
        <v>240</v>
      </c>
      <c r="S12" s="536" t="s">
        <v>424</v>
      </c>
      <c r="T12" s="536" t="s">
        <v>425</v>
      </c>
      <c r="U12" s="425" t="s">
        <v>426</v>
      </c>
    </row>
    <row r="13" spans="1:21" ht="18.75" thickBot="1" x14ac:dyDescent="0.4">
      <c r="B13" s="447"/>
      <c r="C13" s="392" t="s">
        <v>814</v>
      </c>
      <c r="D13" s="377">
        <f>N12</f>
        <v>3850</v>
      </c>
      <c r="E13" s="387" t="s">
        <v>632</v>
      </c>
      <c r="K13" s="448"/>
      <c r="M13" s="537" t="s">
        <v>423</v>
      </c>
      <c r="N13" s="685" t="s">
        <v>435</v>
      </c>
      <c r="O13" s="386"/>
      <c r="P13" s="396" t="s">
        <v>654</v>
      </c>
      <c r="Q13" s="686">
        <v>60</v>
      </c>
      <c r="R13" s="395" t="s">
        <v>240</v>
      </c>
      <c r="S13" s="538">
        <f>VLOOKUP(N13,Data!$A$3:$D$34,2)</f>
        <v>23.5</v>
      </c>
      <c r="T13" s="538">
        <f>VLOOKUP(N13,Data!$A$3:$D$34,3)</f>
        <v>36</v>
      </c>
      <c r="U13" s="539">
        <f>VLOOKUP(N13,Data!$A$3:$D$34,4)</f>
        <v>0.8</v>
      </c>
    </row>
    <row r="14" spans="1:21" ht="18" x14ac:dyDescent="0.35">
      <c r="B14" s="447"/>
      <c r="C14" s="392" t="s">
        <v>816</v>
      </c>
      <c r="D14" s="534">
        <f>Q13-2*Q12</f>
        <v>54</v>
      </c>
      <c r="E14" s="394" t="str">
        <f>IF(D14&lt;=H14,"&lt;","&gt;")</f>
        <v>&gt;</v>
      </c>
      <c r="G14" s="392" t="s">
        <v>817</v>
      </c>
      <c r="H14" s="534">
        <f>MAX(30,6*Q12)</f>
        <v>30</v>
      </c>
      <c r="I14" s="521" t="str">
        <f>IF(D14&lt;=H14,"NON OK !!","OK !")</f>
        <v>OK !</v>
      </c>
      <c r="K14" s="448"/>
      <c r="M14" s="542" t="s">
        <v>820</v>
      </c>
    </row>
    <row r="15" spans="1:21" ht="18" x14ac:dyDescent="0.25">
      <c r="B15" s="447"/>
      <c r="C15" s="392"/>
      <c r="D15" s="288" t="s">
        <v>826</v>
      </c>
      <c r="E15" s="543">
        <f>N12/(2*Q12*D14)</f>
        <v>11.882716049382717</v>
      </c>
      <c r="G15" s="392"/>
      <c r="H15" s="534"/>
      <c r="I15" s="521"/>
      <c r="K15" s="448"/>
      <c r="M15" s="392"/>
      <c r="N15" s="392"/>
      <c r="O15" s="392"/>
      <c r="P15" s="392"/>
      <c r="Q15" s="392"/>
      <c r="R15" s="392"/>
      <c r="S15" s="392"/>
      <c r="T15" s="392"/>
      <c r="U15" s="392"/>
    </row>
    <row r="16" spans="1:21" ht="18" x14ac:dyDescent="0.25">
      <c r="B16" s="447"/>
      <c r="D16" s="288" t="s">
        <v>823</v>
      </c>
      <c r="E16" s="543">
        <f>(SQRT(3)*N12)/(2*Q12*D14)</f>
        <v>20.58146792944499</v>
      </c>
      <c r="F16" s="394" t="str">
        <f>IF(E16&lt;=H16,"&lt;","&gt;")</f>
        <v>&lt;</v>
      </c>
      <c r="G16" s="541" t="s">
        <v>819</v>
      </c>
      <c r="H16" s="543">
        <f>T13/(U13*G_M2)</f>
        <v>36</v>
      </c>
      <c r="J16" s="544">
        <f>E16/H16</f>
        <v>0.57170744248458305</v>
      </c>
      <c r="K16" s="448"/>
    </row>
    <row r="17" spans="1:21" x14ac:dyDescent="0.25">
      <c r="B17" s="447"/>
      <c r="C17" s="1019" t="s">
        <v>809</v>
      </c>
      <c r="D17" s="1019"/>
      <c r="E17" s="1019"/>
      <c r="F17" s="1019"/>
      <c r="G17" s="1019"/>
      <c r="H17" s="1019"/>
      <c r="I17" s="1019"/>
      <c r="J17" s="1019"/>
      <c r="K17" s="455"/>
      <c r="L17" s="359"/>
      <c r="M17" s="359"/>
      <c r="N17" s="359"/>
      <c r="O17" s="359"/>
      <c r="P17" s="359"/>
    </row>
    <row r="18" spans="1:21" ht="15.75" thickBot="1" x14ac:dyDescent="0.3">
      <c r="A18" s="377">
        <v>3</v>
      </c>
      <c r="B18" s="447"/>
      <c r="C18" s="432" t="str">
        <f>IF(Configuration!Y4="EN","Assemblies with oblique fillet weld","Assemblages par cordon oblique")</f>
        <v>Assemblages par cordon oblique</v>
      </c>
      <c r="K18" s="448"/>
      <c r="M18" s="432" t="s">
        <v>824</v>
      </c>
    </row>
    <row r="19" spans="1:21" ht="18" x14ac:dyDescent="0.35">
      <c r="B19" s="447"/>
      <c r="C19" s="540" t="str">
        <f>IF(Configuration!Y4="EN","Steel "&amp;N20&amp;" - βw= "&amp;U20&amp;" - a = "&amp;Q19&amp;" mm","Acier "&amp;N20&amp;" - βw= "&amp;U20&amp;" - a = "&amp;Q19&amp;" mm")</f>
        <v>Acier S235 - βw= 0.8 - a = 5 mm</v>
      </c>
      <c r="K19" s="448"/>
      <c r="M19" s="388" t="s">
        <v>814</v>
      </c>
      <c r="N19" s="684">
        <v>25000</v>
      </c>
      <c r="O19" s="389" t="s">
        <v>632</v>
      </c>
      <c r="P19" s="390" t="s">
        <v>682</v>
      </c>
      <c r="Q19" s="684">
        <v>5</v>
      </c>
      <c r="R19" s="389" t="s">
        <v>240</v>
      </c>
      <c r="S19" s="536" t="s">
        <v>424</v>
      </c>
      <c r="T19" s="536" t="s">
        <v>425</v>
      </c>
      <c r="U19" s="425" t="s">
        <v>426</v>
      </c>
    </row>
    <row r="20" spans="1:21" ht="18.75" thickBot="1" x14ac:dyDescent="0.4">
      <c r="B20" s="447"/>
      <c r="C20" s="392" t="s">
        <v>814</v>
      </c>
      <c r="D20" s="377">
        <f>N19</f>
        <v>25000</v>
      </c>
      <c r="E20" s="387" t="s">
        <v>632</v>
      </c>
      <c r="I20" s="546"/>
      <c r="K20" s="448"/>
      <c r="M20" s="537" t="s">
        <v>423</v>
      </c>
      <c r="N20" s="685" t="s">
        <v>435</v>
      </c>
      <c r="O20" s="386"/>
      <c r="P20" s="688" t="s">
        <v>654</v>
      </c>
      <c r="Q20" s="687">
        <v>250</v>
      </c>
      <c r="R20" s="387" t="s">
        <v>240</v>
      </c>
      <c r="S20" s="538">
        <f>VLOOKUP(N20,Data!$A$3:$D$34,2)</f>
        <v>23.5</v>
      </c>
      <c r="T20" s="538">
        <f>VLOOKUP(N20,Data!$A$3:$D$34,3)</f>
        <v>36</v>
      </c>
      <c r="U20" s="539">
        <f>VLOOKUP(N20,Data!$A$3:$D$34,4)</f>
        <v>0.8</v>
      </c>
    </row>
    <row r="21" spans="1:21" ht="15.75" thickBot="1" x14ac:dyDescent="0.3">
      <c r="B21" s="447"/>
      <c r="G21" s="521" t="str">
        <f>IF(Q21&lt;30,"α= "&amp;Q21&amp;"° &lt;30°",IF(Q21&gt;150,"α= "&amp;Q21&amp;"° &gt;150°","30°≤ α= "&amp;Q21&amp;"° ≤150°"))</f>
        <v>30°≤ α= 45° ≤150°</v>
      </c>
      <c r="I21" s="546" t="str">
        <f>IF(Q21&lt;30,"NON OK !!",IF(Q21&gt;150,"NON OK !!","OK !"))</f>
        <v>OK !</v>
      </c>
      <c r="K21" s="448"/>
      <c r="M21" s="542" t="s">
        <v>820</v>
      </c>
      <c r="P21" s="545" t="s">
        <v>718</v>
      </c>
      <c r="Q21" s="686">
        <v>45</v>
      </c>
      <c r="R21" s="397" t="s">
        <v>825</v>
      </c>
    </row>
    <row r="22" spans="1:21" ht="18" customHeight="1" x14ac:dyDescent="0.35">
      <c r="B22" s="447"/>
      <c r="C22" s="392" t="s">
        <v>816</v>
      </c>
      <c r="D22" s="534">
        <f>IF(P20="L =",Q20-2*Q19,Q20/SIN(RADIANS(Q21)))</f>
        <v>240</v>
      </c>
      <c r="E22" s="394" t="str">
        <f>IF(D22&lt;=H22,"&lt;","&gt;")</f>
        <v>&gt;</v>
      </c>
      <c r="G22" s="392" t="s">
        <v>817</v>
      </c>
      <c r="H22" s="534">
        <f>MAX(30,6*Q19)</f>
        <v>30</v>
      </c>
      <c r="I22" s="521" t="str">
        <f>IF(D22&lt;=H22,"NON OK !!","OK !")</f>
        <v>OK !</v>
      </c>
      <c r="K22" s="448"/>
    </row>
    <row r="23" spans="1:21" ht="18" customHeight="1" x14ac:dyDescent="0.25">
      <c r="B23" s="447"/>
      <c r="D23" s="288" t="s">
        <v>826</v>
      </c>
      <c r="E23" s="543">
        <f>(N19*COS(RADIANS(Q21)))/(Q19*D22)</f>
        <v>14.731391274719742</v>
      </c>
      <c r="G23" s="288"/>
      <c r="K23" s="448"/>
    </row>
    <row r="24" spans="1:21" ht="18" x14ac:dyDescent="0.25">
      <c r="B24" s="447"/>
      <c r="D24" s="288" t="s">
        <v>827</v>
      </c>
      <c r="E24" s="543">
        <f>SQRT(E25^2+3*(E25^2+E23^2))</f>
        <v>32.940392293420622</v>
      </c>
      <c r="F24" s="394" t="str">
        <f>IF(E24&lt;=H24,"&lt;","&gt;")</f>
        <v>&lt;</v>
      </c>
      <c r="G24" s="541" t="s">
        <v>819</v>
      </c>
      <c r="H24" s="543">
        <f>T20/(U20*G_M2)</f>
        <v>36</v>
      </c>
      <c r="J24" s="544">
        <f>E24/H24</f>
        <v>0.9150108970394617</v>
      </c>
      <c r="K24" s="448"/>
    </row>
    <row r="25" spans="1:21" ht="18" x14ac:dyDescent="0.25">
      <c r="B25" s="447"/>
      <c r="C25" s="288" t="s">
        <v>720</v>
      </c>
      <c r="D25" s="288" t="s">
        <v>815</v>
      </c>
      <c r="E25" s="543">
        <f>(SQRT(2)*N19*SIN(RADIANS(Q21)))/(2*Q19*D22)</f>
        <v>10.416666666666666</v>
      </c>
      <c r="F25" s="394" t="str">
        <f>IF(E25&lt;=H25,"&lt;","&gt;")</f>
        <v>&lt;</v>
      </c>
      <c r="G25" s="288" t="s">
        <v>818</v>
      </c>
      <c r="H25" s="543">
        <f>0.9*T20/G_M2</f>
        <v>25.919999999999998</v>
      </c>
      <c r="J25" s="544">
        <f>E25/H25</f>
        <v>0.4018775720164609</v>
      </c>
      <c r="K25" s="448"/>
    </row>
    <row r="26" spans="1:21" x14ac:dyDescent="0.25">
      <c r="B26" s="447"/>
      <c r="C26" s="1019" t="s">
        <v>809</v>
      </c>
      <c r="D26" s="1019"/>
      <c r="E26" s="1019"/>
      <c r="F26" s="1019"/>
      <c r="G26" s="1019"/>
      <c r="H26" s="1019"/>
      <c r="I26" s="1019"/>
      <c r="J26" s="1019"/>
      <c r="K26" s="455"/>
      <c r="L26" s="359"/>
      <c r="M26" s="359"/>
      <c r="N26" s="359"/>
      <c r="O26" s="359"/>
      <c r="P26" s="359"/>
    </row>
    <row r="27" spans="1:21" ht="15.75" thickBot="1" x14ac:dyDescent="0.3">
      <c r="A27" s="377">
        <v>4</v>
      </c>
      <c r="B27" s="447"/>
      <c r="C27" s="432" t="str">
        <f>IF(Configuration!Y4="EN","Assemblies with 2 side fillet welds and 1 ordinary front fillet weld","Assemblages par 2 cordons latéraux et 1 cordon frontal ordinaire")</f>
        <v>Assemblages par 2 cordons latéraux et 1 cordon frontal ordinaire</v>
      </c>
      <c r="K27" s="448"/>
      <c r="M27" s="432" t="s">
        <v>828</v>
      </c>
    </row>
    <row r="28" spans="1:21" ht="18" x14ac:dyDescent="0.35">
      <c r="B28" s="447"/>
      <c r="C28" s="540" t="str">
        <f>IF(Configuration!Y4="EN","Steel "&amp;N29&amp;" - βw= "&amp;U29&amp;" - a1= "&amp;Q28&amp;" mm - a2= "&amp;Q30&amp;" mm","Acier "&amp;N29&amp;" - βw= "&amp;U29&amp;" - a1= "&amp;Q28&amp;" mm - a2= "&amp;Q30&amp;" mm")</f>
        <v>Acier S235 - βw= 0.8 - a1= 5 mm - a2= 5 mm</v>
      </c>
      <c r="K28" s="448"/>
      <c r="M28" s="388" t="s">
        <v>814</v>
      </c>
      <c r="N28" s="684">
        <v>25000</v>
      </c>
      <c r="O28" s="389" t="s">
        <v>632</v>
      </c>
      <c r="P28" s="390" t="s">
        <v>954</v>
      </c>
      <c r="Q28" s="684">
        <v>5</v>
      </c>
      <c r="R28" s="389" t="s">
        <v>240</v>
      </c>
      <c r="S28" s="536" t="s">
        <v>424</v>
      </c>
      <c r="T28" s="536" t="s">
        <v>425</v>
      </c>
      <c r="U28" s="425" t="s">
        <v>426</v>
      </c>
    </row>
    <row r="29" spans="1:21" ht="18.75" thickBot="1" x14ac:dyDescent="0.4">
      <c r="B29" s="447"/>
      <c r="C29" s="392" t="s">
        <v>814</v>
      </c>
      <c r="D29" s="377">
        <f>N28</f>
        <v>25000</v>
      </c>
      <c r="E29" s="387" t="s">
        <v>632</v>
      </c>
      <c r="K29" s="448"/>
      <c r="M29" s="537" t="s">
        <v>423</v>
      </c>
      <c r="N29" s="685" t="s">
        <v>435</v>
      </c>
      <c r="O29" s="386"/>
      <c r="P29" s="392" t="s">
        <v>830</v>
      </c>
      <c r="Q29" s="687">
        <v>250</v>
      </c>
      <c r="R29" s="387" t="s">
        <v>240</v>
      </c>
      <c r="S29" s="538">
        <f>VLOOKUP(N29,Data!$A$3:$D$34,2)</f>
        <v>23.5</v>
      </c>
      <c r="T29" s="538">
        <f>VLOOKUP(N29,Data!$A$3:$D$34,3)</f>
        <v>36</v>
      </c>
      <c r="U29" s="539">
        <f>VLOOKUP(N29,Data!$A$3:$D$34,4)</f>
        <v>0.8</v>
      </c>
    </row>
    <row r="30" spans="1:21" ht="18" x14ac:dyDescent="0.35">
      <c r="B30" s="447"/>
      <c r="K30" s="448"/>
      <c r="M30" s="542" t="s">
        <v>820</v>
      </c>
      <c r="P30" s="391" t="s">
        <v>953</v>
      </c>
      <c r="Q30" s="687">
        <v>5</v>
      </c>
      <c r="R30" s="393" t="s">
        <v>240</v>
      </c>
    </row>
    <row r="31" spans="1:21" ht="18.75" thickBot="1" x14ac:dyDescent="0.4">
      <c r="B31" s="447"/>
      <c r="C31" s="392" t="s">
        <v>831</v>
      </c>
      <c r="D31" s="534">
        <f>Q29-Q28</f>
        <v>245</v>
      </c>
      <c r="E31" s="394" t="str">
        <f>IF(D31&lt;=H31,"&lt;","&gt;")</f>
        <v>&gt;</v>
      </c>
      <c r="G31" s="392" t="s">
        <v>817</v>
      </c>
      <c r="H31" s="534">
        <f>MAX(30,6*Q28)</f>
        <v>30</v>
      </c>
      <c r="I31" s="521" t="str">
        <f>IF(D31&lt;=H31,"NON OK !!","OK !")</f>
        <v>OK !</v>
      </c>
      <c r="K31" s="448"/>
      <c r="P31" s="545" t="s">
        <v>829</v>
      </c>
      <c r="Q31" s="686">
        <v>80</v>
      </c>
      <c r="R31" s="397" t="s">
        <v>240</v>
      </c>
    </row>
    <row r="32" spans="1:21" ht="18" x14ac:dyDescent="0.35">
      <c r="B32" s="447"/>
      <c r="C32" s="392" t="s">
        <v>832</v>
      </c>
      <c r="D32" s="534">
        <f>Q31</f>
        <v>80</v>
      </c>
      <c r="E32" s="394" t="str">
        <f>IF(D32&lt;=H32,"&lt;","&gt;")</f>
        <v>&gt;</v>
      </c>
      <c r="G32" s="392" t="s">
        <v>817</v>
      </c>
      <c r="H32" s="534">
        <f>MAX(30,6*Q30)</f>
        <v>30</v>
      </c>
      <c r="I32" s="521" t="str">
        <f>IF(D32&lt;=H32,"NON OK !!","OK !")</f>
        <v>OK !</v>
      </c>
      <c r="K32" s="448"/>
    </row>
    <row r="33" spans="1:21" ht="18" x14ac:dyDescent="0.25">
      <c r="B33" s="447"/>
      <c r="C33" s="535" t="str">
        <f>IF(Configuration!Y4="EN","Plastic distribution coefficients","Coefficients de distribution plastique")</f>
        <v>Coefficients de distribution plastique</v>
      </c>
      <c r="F33" s="514" t="s">
        <v>833</v>
      </c>
      <c r="G33" s="533">
        <f>D32/(2*D31+D32)</f>
        <v>0.14035087719298245</v>
      </c>
      <c r="K33" s="448"/>
    </row>
    <row r="34" spans="1:21" ht="18" x14ac:dyDescent="0.25">
      <c r="B34" s="447"/>
      <c r="F34" s="514" t="s">
        <v>834</v>
      </c>
      <c r="G34" s="533">
        <f>1-G33</f>
        <v>0.85964912280701755</v>
      </c>
      <c r="K34" s="448"/>
    </row>
    <row r="35" spans="1:21" ht="18" x14ac:dyDescent="0.25">
      <c r="B35" s="447"/>
      <c r="C35" s="535" t="str">
        <f>IF(Configuration!Y4="EN","Side fillet welds","Cordons latéraux")</f>
        <v>Cordons latéraux</v>
      </c>
      <c r="D35" s="288"/>
      <c r="E35" s="543"/>
      <c r="F35" s="394"/>
      <c r="G35" s="288" t="s">
        <v>836</v>
      </c>
      <c r="H35" s="379">
        <f>G34*N28</f>
        <v>21491.228070175439</v>
      </c>
      <c r="J35" s="544"/>
      <c r="K35" s="448"/>
    </row>
    <row r="36" spans="1:21" ht="18" x14ac:dyDescent="0.25">
      <c r="B36" s="447"/>
      <c r="C36" s="392"/>
      <c r="D36" s="288" t="s">
        <v>826</v>
      </c>
      <c r="E36" s="543">
        <f>H35/(2*Q28*D31)</f>
        <v>8.7719298245614041</v>
      </c>
      <c r="G36" s="392"/>
      <c r="H36" s="534"/>
      <c r="I36" s="521"/>
      <c r="K36" s="448"/>
    </row>
    <row r="37" spans="1:21" ht="18" x14ac:dyDescent="0.25">
      <c r="B37" s="447"/>
      <c r="D37" s="288" t="s">
        <v>823</v>
      </c>
      <c r="E37" s="543">
        <f>(SQRT(3)*H35)/(2*Q28*D31)</f>
        <v>15.193428136569098</v>
      </c>
      <c r="F37" s="394" t="str">
        <f>IF(E37&lt;=H37,"&lt;","&gt;")</f>
        <v>&lt;</v>
      </c>
      <c r="G37" s="541" t="s">
        <v>819</v>
      </c>
      <c r="H37" s="543">
        <f>T29/(U29*G_M2)</f>
        <v>36</v>
      </c>
      <c r="J37" s="544">
        <f>E37/H37</f>
        <v>0.4220396704602527</v>
      </c>
      <c r="K37" s="448"/>
    </row>
    <row r="38" spans="1:21" x14ac:dyDescent="0.25">
      <c r="B38" s="447"/>
      <c r="K38" s="448"/>
    </row>
    <row r="39" spans="1:21" ht="18" x14ac:dyDescent="0.25">
      <c r="B39" s="447"/>
      <c r="C39" s="535" t="str">
        <f>IF(Configuration!Y4="EN","Front fillet weld","Cordon frontal")</f>
        <v>Cordon frontal</v>
      </c>
      <c r="G39" s="288" t="s">
        <v>835</v>
      </c>
      <c r="H39" s="379">
        <f>G33*N28</f>
        <v>3508.7719298245611</v>
      </c>
      <c r="K39" s="448"/>
    </row>
    <row r="40" spans="1:21" ht="18" x14ac:dyDescent="0.25">
      <c r="B40" s="447"/>
      <c r="D40" s="288" t="s">
        <v>822</v>
      </c>
      <c r="E40" s="543">
        <f>2*E41</f>
        <v>12.405382126079781</v>
      </c>
      <c r="F40" s="394" t="str">
        <f>IF(E40&lt;=H40,"&lt;","&gt;")</f>
        <v>&lt;</v>
      </c>
      <c r="G40" s="541" t="s">
        <v>819</v>
      </c>
      <c r="H40" s="543">
        <f>T29/(U29*G_M2)</f>
        <v>36</v>
      </c>
      <c r="J40" s="544">
        <f>E40/H40</f>
        <v>0.34459394794666059</v>
      </c>
      <c r="K40" s="448"/>
    </row>
    <row r="41" spans="1:21" ht="18" x14ac:dyDescent="0.25">
      <c r="B41" s="447"/>
      <c r="C41" s="288" t="s">
        <v>720</v>
      </c>
      <c r="D41" s="288" t="s">
        <v>815</v>
      </c>
      <c r="E41" s="543">
        <f>0.5*SQRT(2)*H39/(Q30*D32)</f>
        <v>6.2026910630398904</v>
      </c>
      <c r="F41" s="394" t="str">
        <f>IF(E41&lt;=H41,"&lt;","&gt;")</f>
        <v>&lt;</v>
      </c>
      <c r="G41" s="288" t="s">
        <v>818</v>
      </c>
      <c r="H41" s="543">
        <f>0.9*T29/G_M2</f>
        <v>25.919999999999998</v>
      </c>
      <c r="J41" s="544">
        <f>E41/H41</f>
        <v>0.23930135274073652</v>
      </c>
      <c r="K41" s="448"/>
    </row>
    <row r="42" spans="1:21" x14ac:dyDescent="0.25">
      <c r="B42" s="447"/>
      <c r="C42" s="1019" t="s">
        <v>809</v>
      </c>
      <c r="D42" s="1019"/>
      <c r="E42" s="1019"/>
      <c r="F42" s="1019"/>
      <c r="G42" s="1019"/>
      <c r="H42" s="1019"/>
      <c r="I42" s="1019"/>
      <c r="J42" s="1019"/>
      <c r="K42" s="455"/>
      <c r="L42" s="359"/>
      <c r="M42" s="359"/>
      <c r="N42" s="359"/>
      <c r="O42" s="359"/>
      <c r="P42" s="359"/>
    </row>
    <row r="43" spans="1:21" ht="15.75" thickBot="1" x14ac:dyDescent="0.3">
      <c r="A43" s="377">
        <v>5</v>
      </c>
      <c r="B43" s="447"/>
      <c r="C43" s="432" t="str">
        <f>IF(Configuration!Y4="EN","Assemblies with 2 side fillet welds and 1 leading front fillet weld","Assemblages par 2 cordons latéraux et 1 cordon frontal d'attaque")</f>
        <v>Assemblages par 2 cordons latéraux et 1 cordon frontal d'attaque</v>
      </c>
      <c r="K43" s="448"/>
      <c r="M43" s="432" t="s">
        <v>837</v>
      </c>
    </row>
    <row r="44" spans="1:21" ht="18" x14ac:dyDescent="0.35">
      <c r="B44" s="447"/>
      <c r="C44" s="540" t="str">
        <f>IF(Configuration!Y4="EN","Steel "&amp;N45&amp;" - βw= "&amp;U45&amp;" - a1= "&amp;Q44&amp;" mm - a2= "&amp;Q46&amp;" mm","Acier "&amp;N45&amp;" - βw= "&amp;U45&amp;" - a1= "&amp;Q44&amp;" mm - a2= "&amp;Q46&amp;" mm")</f>
        <v>Acier S235 - βw= 0.8 - a1= 5 mm - a2= 5 mm</v>
      </c>
      <c r="K44" s="448"/>
      <c r="M44" s="388" t="s">
        <v>814</v>
      </c>
      <c r="N44" s="684">
        <v>25000</v>
      </c>
      <c r="O44" s="389" t="s">
        <v>632</v>
      </c>
      <c r="P44" s="390" t="s">
        <v>954</v>
      </c>
      <c r="Q44" s="684">
        <v>5</v>
      </c>
      <c r="R44" s="389" t="s">
        <v>240</v>
      </c>
      <c r="S44" s="536" t="s">
        <v>424</v>
      </c>
      <c r="T44" s="536" t="s">
        <v>425</v>
      </c>
      <c r="U44" s="425" t="s">
        <v>426</v>
      </c>
    </row>
    <row r="45" spans="1:21" ht="18.75" thickBot="1" x14ac:dyDescent="0.4">
      <c r="B45" s="447"/>
      <c r="C45" s="392" t="s">
        <v>814</v>
      </c>
      <c r="D45" s="377">
        <f>N44</f>
        <v>25000</v>
      </c>
      <c r="E45" s="387" t="s">
        <v>632</v>
      </c>
      <c r="K45" s="448"/>
      <c r="M45" s="537" t="s">
        <v>423</v>
      </c>
      <c r="N45" s="685" t="s">
        <v>435</v>
      </c>
      <c r="O45" s="386"/>
      <c r="P45" s="392" t="s">
        <v>830</v>
      </c>
      <c r="Q45" s="687">
        <v>260</v>
      </c>
      <c r="R45" s="387" t="s">
        <v>240</v>
      </c>
      <c r="S45" s="538">
        <f>VLOOKUP(N45,Data!$A$3:$D$34,2)</f>
        <v>23.5</v>
      </c>
      <c r="T45" s="538">
        <f>VLOOKUP(N45,Data!$A$3:$D$34,3)</f>
        <v>36</v>
      </c>
      <c r="U45" s="539">
        <f>VLOOKUP(N45,Data!$A$3:$D$34,4)</f>
        <v>0.8</v>
      </c>
    </row>
    <row r="46" spans="1:21" ht="18" x14ac:dyDescent="0.35">
      <c r="B46" s="447"/>
      <c r="K46" s="448"/>
      <c r="M46" s="542" t="s">
        <v>820</v>
      </c>
      <c r="P46" s="391" t="s">
        <v>953</v>
      </c>
      <c r="Q46" s="687">
        <v>5</v>
      </c>
      <c r="R46" s="393" t="s">
        <v>240</v>
      </c>
    </row>
    <row r="47" spans="1:21" ht="18.75" thickBot="1" x14ac:dyDescent="0.4">
      <c r="B47" s="447"/>
      <c r="C47" s="392" t="s">
        <v>831</v>
      </c>
      <c r="D47" s="534">
        <f>Q45-Q44</f>
        <v>255</v>
      </c>
      <c r="E47" s="394" t="str">
        <f>IF(D47&lt;=H47,"&lt;","&gt;")</f>
        <v>&gt;</v>
      </c>
      <c r="G47" s="392" t="s">
        <v>817</v>
      </c>
      <c r="H47" s="534">
        <f>MAX(30,6*Q44)</f>
        <v>30</v>
      </c>
      <c r="I47" s="521" t="str">
        <f>IF(D47&lt;=H47,"NON OK !!","OK !")</f>
        <v>OK !</v>
      </c>
      <c r="K47" s="448"/>
      <c r="P47" s="545" t="s">
        <v>829</v>
      </c>
      <c r="Q47" s="686">
        <v>80</v>
      </c>
      <c r="R47" s="397" t="s">
        <v>240</v>
      </c>
    </row>
    <row r="48" spans="1:21" ht="18" x14ac:dyDescent="0.35">
      <c r="B48" s="447"/>
      <c r="C48" s="392" t="s">
        <v>832</v>
      </c>
      <c r="D48" s="534">
        <f>Q47</f>
        <v>80</v>
      </c>
      <c r="E48" s="394" t="str">
        <f>IF(D48&lt;=H48,"&lt;","&gt;")</f>
        <v>&gt;</v>
      </c>
      <c r="G48" s="392" t="s">
        <v>817</v>
      </c>
      <c r="H48" s="534">
        <f>MAX(30,6*Q46)</f>
        <v>30</v>
      </c>
      <c r="I48" s="521" t="str">
        <f>IF(D48&lt;=H48,"NON OK !!","OK !")</f>
        <v>OK !</v>
      </c>
      <c r="K48" s="448"/>
    </row>
    <row r="49" spans="1:21" ht="18" x14ac:dyDescent="0.25">
      <c r="B49" s="447"/>
      <c r="C49" s="535" t="str">
        <f>IF(Configuration!Y4="EN","Plastic distribution coefficients","Coefficients de distribution plastique")</f>
        <v>Coefficients de distribution plastique</v>
      </c>
      <c r="F49" s="514" t="s">
        <v>833</v>
      </c>
      <c r="G49" s="533">
        <f>D48/(2*D47+D48)</f>
        <v>0.13559322033898305</v>
      </c>
      <c r="K49" s="448"/>
    </row>
    <row r="50" spans="1:21" ht="18" x14ac:dyDescent="0.25">
      <c r="B50" s="447"/>
      <c r="F50" s="514" t="s">
        <v>834</v>
      </c>
      <c r="G50" s="533">
        <f>1-G49</f>
        <v>0.86440677966101698</v>
      </c>
      <c r="K50" s="448"/>
    </row>
    <row r="51" spans="1:21" ht="18" x14ac:dyDescent="0.25">
      <c r="B51" s="447"/>
      <c r="C51" s="535" t="str">
        <f>IF(Configuration!Y4="EN","Side fillet welds","Cordons latéraux")</f>
        <v>Cordons latéraux</v>
      </c>
      <c r="D51" s="288"/>
      <c r="E51" s="543"/>
      <c r="F51" s="394"/>
      <c r="G51" s="288" t="s">
        <v>836</v>
      </c>
      <c r="H51" s="379">
        <f>G50*N44</f>
        <v>21610.169491525423</v>
      </c>
      <c r="J51" s="544"/>
      <c r="K51" s="448"/>
    </row>
    <row r="52" spans="1:21" ht="18" x14ac:dyDescent="0.25">
      <c r="B52" s="447"/>
      <c r="C52" s="392"/>
      <c r="D52" s="288" t="s">
        <v>826</v>
      </c>
      <c r="E52" s="543">
        <f>H51/(2*Q44*D47)</f>
        <v>8.4745762711864412</v>
      </c>
      <c r="G52" s="392"/>
      <c r="H52" s="534"/>
      <c r="I52" s="521"/>
      <c r="K52" s="448"/>
    </row>
    <row r="53" spans="1:21" ht="18" x14ac:dyDescent="0.25">
      <c r="B53" s="447"/>
      <c r="D53" s="288" t="s">
        <v>823</v>
      </c>
      <c r="E53" s="543">
        <f>(SQRT(3)*H51)/(2*Q44*D47)</f>
        <v>14.678396674312518</v>
      </c>
      <c r="F53" s="394" t="str">
        <f>IF(E53&lt;=H53,"&lt;","&gt;")</f>
        <v>&lt;</v>
      </c>
      <c r="G53" s="541" t="s">
        <v>819</v>
      </c>
      <c r="H53" s="543">
        <f>T45/(U45*G_M2)</f>
        <v>36</v>
      </c>
      <c r="J53" s="544">
        <f>E53/H53</f>
        <v>0.40773324095312552</v>
      </c>
      <c r="K53" s="448"/>
    </row>
    <row r="54" spans="1:21" x14ac:dyDescent="0.25">
      <c r="B54" s="447"/>
      <c r="K54" s="448"/>
    </row>
    <row r="55" spans="1:21" ht="18" x14ac:dyDescent="0.25">
      <c r="B55" s="447"/>
      <c r="C55" s="535" t="str">
        <f>IF(Configuration!Y4="EN","Front fillet weld","Cordon frontal")</f>
        <v>Cordon frontal</v>
      </c>
      <c r="G55" s="288" t="s">
        <v>835</v>
      </c>
      <c r="H55" s="379">
        <f>G49*N44</f>
        <v>3389.8305084745762</v>
      </c>
      <c r="K55" s="448"/>
    </row>
    <row r="56" spans="1:21" ht="18" x14ac:dyDescent="0.25">
      <c r="B56" s="447"/>
      <c r="D56" s="288" t="s">
        <v>822</v>
      </c>
      <c r="E56" s="543">
        <f>2*E57</f>
        <v>11.984860698077078</v>
      </c>
      <c r="F56" s="394" t="str">
        <f>IF(E56&lt;=H56,"&lt;","&gt;")</f>
        <v>&lt;</v>
      </c>
      <c r="G56" s="541" t="s">
        <v>819</v>
      </c>
      <c r="H56" s="543">
        <f>T45/(U45*G_M2)</f>
        <v>36</v>
      </c>
      <c r="J56" s="544">
        <f>E56/H56</f>
        <v>0.33291279716880773</v>
      </c>
      <c r="K56" s="448"/>
    </row>
    <row r="57" spans="1:21" ht="18" x14ac:dyDescent="0.25">
      <c r="B57" s="447"/>
      <c r="C57" s="288" t="s">
        <v>720</v>
      </c>
      <c r="D57" s="288" t="s">
        <v>815</v>
      </c>
      <c r="E57" s="543">
        <f>0.5*SQRT(2)*H55/(Q46*D48)</f>
        <v>5.9924303490385391</v>
      </c>
      <c r="F57" s="394" t="str">
        <f>IF(E57&lt;=H57,"&lt;","&gt;")</f>
        <v>&lt;</v>
      </c>
      <c r="G57" s="288" t="s">
        <v>818</v>
      </c>
      <c r="H57" s="543">
        <f>0.9*T45/G_M2</f>
        <v>25.919999999999998</v>
      </c>
      <c r="J57" s="544">
        <f>E57/H57</f>
        <v>0.23118944247833872</v>
      </c>
      <c r="K57" s="448"/>
    </row>
    <row r="58" spans="1:21" x14ac:dyDescent="0.25">
      <c r="B58" s="447"/>
      <c r="C58" s="1019" t="s">
        <v>809</v>
      </c>
      <c r="D58" s="1019"/>
      <c r="E58" s="1019"/>
      <c r="F58" s="1019"/>
      <c r="G58" s="1019"/>
      <c r="H58" s="1019"/>
      <c r="I58" s="1019"/>
      <c r="J58" s="1019"/>
      <c r="K58" s="455"/>
      <c r="L58" s="359"/>
      <c r="M58" s="359"/>
      <c r="N58" s="359"/>
      <c r="O58" s="359"/>
      <c r="P58" s="359"/>
    </row>
    <row r="59" spans="1:21" ht="15.75" thickBot="1" x14ac:dyDescent="0.3">
      <c r="A59" s="377">
        <v>6</v>
      </c>
      <c r="B59" s="447"/>
      <c r="C59" s="432" t="str">
        <f>IF(Configuration!Y4="EN","Assemblies with 2 side fillet welds and 2 front fillet welds","Assemblages par 2 cordons latéraux et 2 cordons frontaux")</f>
        <v>Assemblages par 2 cordons latéraux et 2 cordons frontaux</v>
      </c>
      <c r="K59" s="448"/>
      <c r="M59" s="432" t="s">
        <v>838</v>
      </c>
    </row>
    <row r="60" spans="1:21" ht="18" x14ac:dyDescent="0.35">
      <c r="B60" s="447"/>
      <c r="C60" s="540" t="str">
        <f>IF(Configuration!Y4="EN","Steel "&amp;N61&amp;" - βw= "&amp;U61&amp;" - a1= "&amp;Q60&amp;" mm - a2= "&amp;Q60&amp;" mm","Acier "&amp;N61&amp;" - βw= "&amp;U61&amp;" - a1= "&amp;Q60&amp;" mm - a2= "&amp;Q60&amp;" mm")</f>
        <v>Acier S235 - βw= 0.8 - a1= 5 mm - a2= 5 mm</v>
      </c>
      <c r="K60" s="448"/>
      <c r="M60" s="388" t="s">
        <v>814</v>
      </c>
      <c r="N60" s="684">
        <v>70000</v>
      </c>
      <c r="O60" s="389" t="s">
        <v>632</v>
      </c>
      <c r="P60" s="390" t="s">
        <v>954</v>
      </c>
      <c r="Q60" s="684">
        <v>5</v>
      </c>
      <c r="R60" s="389" t="s">
        <v>240</v>
      </c>
      <c r="S60" s="536" t="s">
        <v>424</v>
      </c>
      <c r="T60" s="536" t="s">
        <v>425</v>
      </c>
      <c r="U60" s="425" t="s">
        <v>426</v>
      </c>
    </row>
    <row r="61" spans="1:21" ht="18.75" thickBot="1" x14ac:dyDescent="0.4">
      <c r="B61" s="447"/>
      <c r="C61" s="392" t="s">
        <v>814</v>
      </c>
      <c r="D61" s="377">
        <f>N60</f>
        <v>70000</v>
      </c>
      <c r="E61" s="387" t="s">
        <v>632</v>
      </c>
      <c r="K61" s="448"/>
      <c r="M61" s="537" t="s">
        <v>423</v>
      </c>
      <c r="N61" s="685" t="s">
        <v>435</v>
      </c>
      <c r="O61" s="386"/>
      <c r="P61" s="392" t="s">
        <v>830</v>
      </c>
      <c r="Q61" s="687">
        <v>250</v>
      </c>
      <c r="R61" s="387" t="s">
        <v>240</v>
      </c>
      <c r="S61" s="538">
        <f>VLOOKUP(N61,Data!$A$3:$D$34,2)</f>
        <v>23.5</v>
      </c>
      <c r="T61" s="538">
        <f>VLOOKUP(N61,Data!$A$3:$D$34,3)</f>
        <v>36</v>
      </c>
      <c r="U61" s="539">
        <f>VLOOKUP(N61,Data!$A$3:$D$34,4)</f>
        <v>0.8</v>
      </c>
    </row>
    <row r="62" spans="1:21" ht="18" x14ac:dyDescent="0.35">
      <c r="B62" s="447"/>
      <c r="K62" s="448"/>
      <c r="M62" s="542" t="s">
        <v>820</v>
      </c>
      <c r="P62" s="391" t="s">
        <v>953</v>
      </c>
      <c r="Q62" s="687">
        <v>5</v>
      </c>
      <c r="R62" s="393" t="s">
        <v>240</v>
      </c>
    </row>
    <row r="63" spans="1:21" ht="18.75" thickBot="1" x14ac:dyDescent="0.4">
      <c r="B63" s="447"/>
      <c r="C63" s="392" t="s">
        <v>831</v>
      </c>
      <c r="D63" s="534">
        <f>Q61</f>
        <v>250</v>
      </c>
      <c r="E63" s="394" t="str">
        <f>IF(D63&lt;=H63,"&lt;","&gt;")</f>
        <v>&gt;</v>
      </c>
      <c r="G63" s="392" t="s">
        <v>817</v>
      </c>
      <c r="H63" s="534">
        <f>MAX(30,6*Q60)</f>
        <v>30</v>
      </c>
      <c r="I63" s="521" t="str">
        <f>IF(D63&lt;=H63,"NON OK !!","OK !")</f>
        <v>OK !</v>
      </c>
      <c r="K63" s="448"/>
      <c r="P63" s="545" t="s">
        <v>829</v>
      </c>
      <c r="Q63" s="686">
        <v>80</v>
      </c>
      <c r="R63" s="397" t="s">
        <v>240</v>
      </c>
    </row>
    <row r="64" spans="1:21" ht="18" x14ac:dyDescent="0.35">
      <c r="B64" s="447"/>
      <c r="C64" s="392" t="s">
        <v>832</v>
      </c>
      <c r="D64" s="534">
        <f>Q63</f>
        <v>80</v>
      </c>
      <c r="E64" s="394" t="str">
        <f>IF(D64&lt;=H64,"&lt;","&gt;")</f>
        <v>&gt;</v>
      </c>
      <c r="G64" s="392" t="s">
        <v>817</v>
      </c>
      <c r="H64" s="534">
        <f>MAX(30,6*Q62)</f>
        <v>30</v>
      </c>
      <c r="I64" s="521" t="str">
        <f>IF(D64&lt;=H64,"NON OK !!","OK !")</f>
        <v>OK !</v>
      </c>
      <c r="K64" s="448"/>
    </row>
    <row r="65" spans="1:24" x14ac:dyDescent="0.25">
      <c r="B65" s="447"/>
      <c r="C65" s="535" t="str">
        <f>IF(Configuration!Y4="EN","Plastic distribution coefficients","Coefficients de distribution plastique")</f>
        <v>Coefficients de distribution plastique</v>
      </c>
      <c r="K65" s="448"/>
    </row>
    <row r="66" spans="1:24" ht="18" x14ac:dyDescent="0.25">
      <c r="B66" s="447"/>
      <c r="D66" s="514" t="s">
        <v>839</v>
      </c>
      <c r="E66" s="533">
        <f>D64/(D63+D64)</f>
        <v>0.24242424242424243</v>
      </c>
      <c r="F66" s="514" t="s">
        <v>834</v>
      </c>
      <c r="G66" s="533">
        <f>1-2*E66</f>
        <v>0.51515151515151514</v>
      </c>
      <c r="K66" s="448"/>
    </row>
    <row r="67" spans="1:24" ht="18" x14ac:dyDescent="0.25">
      <c r="B67" s="447"/>
      <c r="C67" s="535" t="str">
        <f>IF(Configuration!Y4="EN","Side fillet welds","Cordons latéraux")</f>
        <v>Cordons latéraux</v>
      </c>
      <c r="D67" s="288"/>
      <c r="E67" s="543"/>
      <c r="F67" s="394"/>
      <c r="G67" s="288" t="s">
        <v>836</v>
      </c>
      <c r="H67" s="379">
        <f>G66*N60</f>
        <v>36060.606060606056</v>
      </c>
      <c r="J67" s="544"/>
      <c r="K67" s="448"/>
    </row>
    <row r="68" spans="1:24" ht="18" x14ac:dyDescent="0.25">
      <c r="B68" s="447"/>
      <c r="C68" s="392"/>
      <c r="D68" s="288" t="s">
        <v>826</v>
      </c>
      <c r="E68" s="543">
        <f>H67/(2*Q60*D63)</f>
        <v>14.424242424242422</v>
      </c>
      <c r="G68" s="392"/>
      <c r="H68" s="534"/>
      <c r="I68" s="521"/>
      <c r="K68" s="448"/>
    </row>
    <row r="69" spans="1:24" ht="18" x14ac:dyDescent="0.25">
      <c r="B69" s="447"/>
      <c r="D69" s="288" t="s">
        <v>823</v>
      </c>
      <c r="E69" s="543">
        <f>(SQRT(3)*H67)/(2*Q60*D63)</f>
        <v>24.983520739478347</v>
      </c>
      <c r="F69" s="394" t="str">
        <f>IF(E69&lt;=H69,"&lt;","&gt;")</f>
        <v>&lt;</v>
      </c>
      <c r="G69" s="541" t="s">
        <v>819</v>
      </c>
      <c r="H69" s="543">
        <f>T61/(U61*G_M2)</f>
        <v>36</v>
      </c>
      <c r="J69" s="544">
        <f>E69/H69</f>
        <v>0.69398668720773182</v>
      </c>
      <c r="K69" s="448"/>
    </row>
    <row r="70" spans="1:24" x14ac:dyDescent="0.25">
      <c r="B70" s="447"/>
      <c r="K70" s="448"/>
    </row>
    <row r="71" spans="1:24" ht="18" x14ac:dyDescent="0.25">
      <c r="B71" s="447"/>
      <c r="C71" s="535" t="str">
        <f>IF(Configuration!Y4="EN","Front fillet welds","Cordons frontaux")</f>
        <v>Cordons frontaux</v>
      </c>
      <c r="G71" s="288" t="s">
        <v>982</v>
      </c>
      <c r="H71" s="379">
        <f>E66*N60</f>
        <v>16969.696969696972</v>
      </c>
      <c r="K71" s="448"/>
    </row>
    <row r="72" spans="1:24" ht="18" x14ac:dyDescent="0.25">
      <c r="B72" s="447"/>
      <c r="D72" s="288" t="s">
        <v>822</v>
      </c>
      <c r="E72" s="543">
        <f>2*E73</f>
        <v>59.996939009767686</v>
      </c>
      <c r="F72" s="394" t="str">
        <f>IF(E72&lt;=H72,"&lt;","&gt;")</f>
        <v>&gt;</v>
      </c>
      <c r="G72" s="541" t="s">
        <v>819</v>
      </c>
      <c r="H72" s="543">
        <f>T61/(U61*G_M2)</f>
        <v>36</v>
      </c>
      <c r="J72" s="544">
        <f>E72/H72</f>
        <v>1.6665816391602135</v>
      </c>
      <c r="K72" s="448"/>
    </row>
    <row r="73" spans="1:24" ht="18" x14ac:dyDescent="0.25">
      <c r="B73" s="447"/>
      <c r="C73" s="288" t="s">
        <v>720</v>
      </c>
      <c r="D73" s="288" t="s">
        <v>815</v>
      </c>
      <c r="E73" s="543">
        <f>0.5*SQRT(2)*H71/(Q62*D64)</f>
        <v>29.998469504883843</v>
      </c>
      <c r="F73" s="394" t="str">
        <f>IF(E73&lt;=H73,"&lt;","&gt;")</f>
        <v>&gt;</v>
      </c>
      <c r="G73" s="288" t="s">
        <v>818</v>
      </c>
      <c r="H73" s="543">
        <f>0.9*T61/G_M2</f>
        <v>25.919999999999998</v>
      </c>
      <c r="J73" s="544">
        <f>E73/H73</f>
        <v>1.1573483605279262</v>
      </c>
      <c r="K73" s="448"/>
    </row>
    <row r="74" spans="1:24" x14ac:dyDescent="0.25">
      <c r="B74" s="447"/>
      <c r="C74" s="1019" t="s">
        <v>809</v>
      </c>
      <c r="D74" s="1019"/>
      <c r="E74" s="1019"/>
      <c r="F74" s="1019"/>
      <c r="G74" s="1019"/>
      <c r="H74" s="1019"/>
      <c r="I74" s="1019"/>
      <c r="J74" s="1019"/>
      <c r="K74" s="455"/>
      <c r="L74" s="359"/>
      <c r="M74" s="359"/>
      <c r="N74" s="359"/>
      <c r="O74" s="359"/>
      <c r="P74" s="359"/>
    </row>
    <row r="75" spans="1:24" ht="15.75" thickBot="1" x14ac:dyDescent="0.3">
      <c r="A75" s="377">
        <v>7</v>
      </c>
      <c r="B75" s="447"/>
      <c r="C75" s="432" t="str">
        <f>IF(Configuration!Y4="EN","Welded assembly of an I or H section","Assemblage soudé d'une section en I ou H")</f>
        <v>Assemblage soudé d'une section en I ou H</v>
      </c>
      <c r="K75" s="448"/>
      <c r="M75" s="432" t="s">
        <v>840</v>
      </c>
    </row>
    <row r="76" spans="1:24" ht="18" x14ac:dyDescent="0.35">
      <c r="B76" s="447"/>
      <c r="C76" s="432"/>
      <c r="K76" s="448"/>
      <c r="M76" s="388" t="s">
        <v>814</v>
      </c>
      <c r="N76" s="684">
        <v>7500</v>
      </c>
      <c r="O76" s="389" t="s">
        <v>632</v>
      </c>
      <c r="P76" s="390" t="s">
        <v>848</v>
      </c>
      <c r="Q76" s="684">
        <v>5</v>
      </c>
      <c r="R76" s="389" t="s">
        <v>240</v>
      </c>
      <c r="S76" s="390" t="s">
        <v>849</v>
      </c>
      <c r="T76" s="684">
        <v>110</v>
      </c>
      <c r="U76" s="389" t="s">
        <v>240</v>
      </c>
      <c r="V76" s="536" t="s">
        <v>424</v>
      </c>
      <c r="W76" s="536" t="s">
        <v>425</v>
      </c>
      <c r="X76" s="425" t="s">
        <v>426</v>
      </c>
    </row>
    <row r="77" spans="1:24" ht="18.75" thickBot="1" x14ac:dyDescent="0.4">
      <c r="B77" s="447"/>
      <c r="C77" s="540" t="str">
        <f>IF(Configuration!Y4="EN","Steel "&amp;N79&amp;" - βw= "&amp;X77&amp;" - af= "&amp;Q76&amp;" mm - aw= "&amp;Q77&amp;" mm","Acier "&amp;N79&amp;" - βw= "&amp;X77&amp;" - af= "&amp;Q76&amp;" mm - aw= "&amp;Q77&amp;" mm")</f>
        <v>Acier S275 - βw= 0.85 - af= 5 mm - aw= 5 mm</v>
      </c>
      <c r="K77" s="448"/>
      <c r="M77" s="391" t="s">
        <v>842</v>
      </c>
      <c r="N77" s="687">
        <v>18000</v>
      </c>
      <c r="O77" s="387" t="s">
        <v>632</v>
      </c>
      <c r="P77" s="392" t="s">
        <v>847</v>
      </c>
      <c r="Q77" s="687">
        <v>5</v>
      </c>
      <c r="R77" s="387" t="s">
        <v>240</v>
      </c>
      <c r="S77" s="392" t="s">
        <v>850</v>
      </c>
      <c r="T77" s="687">
        <v>40</v>
      </c>
      <c r="U77" s="387" t="s">
        <v>240</v>
      </c>
      <c r="V77" s="538">
        <f>VLOOKUP(N79,Data!$A$3:$D$34,2)</f>
        <v>27.5</v>
      </c>
      <c r="W77" s="538">
        <f>VLOOKUP(N79,Data!$A$3:$D$34,3)</f>
        <v>43</v>
      </c>
      <c r="X77" s="539">
        <f>VLOOKUP(N79,Data!$A$3:$D$34,4)</f>
        <v>0.85</v>
      </c>
    </row>
    <row r="78" spans="1:24" ht="18" x14ac:dyDescent="0.35">
      <c r="B78" s="447"/>
      <c r="K78" s="448"/>
      <c r="M78" s="391" t="s">
        <v>841</v>
      </c>
      <c r="N78" s="687">
        <v>0</v>
      </c>
      <c r="O78" s="387" t="s">
        <v>514</v>
      </c>
      <c r="P78" s="392" t="s">
        <v>846</v>
      </c>
      <c r="Q78" s="547">
        <f>Q76</f>
        <v>5</v>
      </c>
      <c r="R78" s="387" t="s">
        <v>240</v>
      </c>
      <c r="S78" s="392" t="s">
        <v>851</v>
      </c>
      <c r="T78" s="687">
        <v>178</v>
      </c>
      <c r="U78" s="393" t="s">
        <v>240</v>
      </c>
    </row>
    <row r="79" spans="1:24" ht="18.75" thickBot="1" x14ac:dyDescent="0.4">
      <c r="B79" s="447"/>
      <c r="C79" s="392" t="s">
        <v>814</v>
      </c>
      <c r="D79" s="377">
        <f>N76</f>
        <v>7500</v>
      </c>
      <c r="E79" s="387" t="s">
        <v>632</v>
      </c>
      <c r="K79" s="448"/>
      <c r="M79" s="537" t="s">
        <v>423</v>
      </c>
      <c r="N79" s="685" t="s">
        <v>437</v>
      </c>
      <c r="O79" s="386"/>
      <c r="P79" s="392" t="s">
        <v>843</v>
      </c>
      <c r="Q79" s="687">
        <v>12.5</v>
      </c>
      <c r="R79" s="387" t="s">
        <v>240</v>
      </c>
      <c r="S79" s="392" t="s">
        <v>852</v>
      </c>
      <c r="T79" s="547">
        <f>T77</f>
        <v>40</v>
      </c>
      <c r="U79" s="393" t="s">
        <v>240</v>
      </c>
    </row>
    <row r="80" spans="1:24" ht="18.75" thickBot="1" x14ac:dyDescent="0.4">
      <c r="B80" s="447"/>
      <c r="C80" s="392" t="s">
        <v>842</v>
      </c>
      <c r="D80" s="377">
        <f>N77</f>
        <v>18000</v>
      </c>
      <c r="E80" s="387" t="s">
        <v>632</v>
      </c>
      <c r="K80" s="448"/>
      <c r="M80" s="542" t="s">
        <v>820</v>
      </c>
      <c r="P80" s="391" t="s">
        <v>844</v>
      </c>
      <c r="Q80" s="687">
        <v>201.6</v>
      </c>
      <c r="R80" s="387" t="s">
        <v>240</v>
      </c>
      <c r="S80" s="605" t="s">
        <v>853</v>
      </c>
      <c r="T80" s="548">
        <f>T76</f>
        <v>110</v>
      </c>
      <c r="U80" s="397" t="s">
        <v>240</v>
      </c>
    </row>
    <row r="81" spans="2:18" ht="18.75" thickBot="1" x14ac:dyDescent="0.4">
      <c r="B81" s="447"/>
      <c r="C81" s="392" t="s">
        <v>841</v>
      </c>
      <c r="D81" s="377">
        <f>N78</f>
        <v>0</v>
      </c>
      <c r="E81" s="387" t="s">
        <v>514</v>
      </c>
      <c r="K81" s="448"/>
      <c r="P81" s="537" t="s">
        <v>845</v>
      </c>
      <c r="Q81" s="548">
        <f>Q79</f>
        <v>12.5</v>
      </c>
      <c r="R81" s="397" t="s">
        <v>240</v>
      </c>
    </row>
    <row r="82" spans="2:18" x14ac:dyDescent="0.25">
      <c r="B82" s="447"/>
      <c r="C82" s="432"/>
      <c r="K82" s="448"/>
      <c r="P82" s="392"/>
      <c r="R82" s="387"/>
    </row>
    <row r="83" spans="2:18" x14ac:dyDescent="0.25">
      <c r="B83" s="447"/>
      <c r="C83" s="432"/>
      <c r="K83" s="448"/>
      <c r="P83" s="392"/>
      <c r="R83" s="387"/>
    </row>
    <row r="84" spans="2:18" ht="18" x14ac:dyDescent="0.35">
      <c r="B84" s="447"/>
      <c r="C84" s="392" t="s">
        <v>963</v>
      </c>
      <c r="D84" s="534">
        <f>T76</f>
        <v>110</v>
      </c>
      <c r="E84" s="394" t="str">
        <f>IF(D84&lt;=H84,"&lt;","&gt;")</f>
        <v>&gt;</v>
      </c>
      <c r="G84" s="392" t="s">
        <v>817</v>
      </c>
      <c r="H84" s="534">
        <f>MAX(30,6*Q76)</f>
        <v>30</v>
      </c>
      <c r="I84" s="521" t="str">
        <f>IF(D84&lt;=H84,"NON OK !!","OK !")</f>
        <v>OK !</v>
      </c>
      <c r="K84" s="448"/>
      <c r="M84" s="432"/>
    </row>
    <row r="85" spans="2:18" ht="18" x14ac:dyDescent="0.35">
      <c r="B85" s="447"/>
      <c r="C85" s="392" t="s">
        <v>964</v>
      </c>
      <c r="D85" s="534">
        <f>T77</f>
        <v>40</v>
      </c>
      <c r="E85" s="394" t="str">
        <f>IF(D85&lt;=H85,"&lt;","&gt;")</f>
        <v>&gt;</v>
      </c>
      <c r="G85" s="392" t="s">
        <v>817</v>
      </c>
      <c r="H85" s="534">
        <f>MAX(30,6*Q76)</f>
        <v>30</v>
      </c>
      <c r="I85" s="521" t="str">
        <f>IF(D85&lt;=H85,"NON OK !!","OK !")</f>
        <v>OK !</v>
      </c>
      <c r="K85" s="448"/>
      <c r="M85" s="432"/>
    </row>
    <row r="86" spans="2:18" ht="18" x14ac:dyDescent="0.35">
      <c r="B86" s="447"/>
      <c r="C86" s="392" t="s">
        <v>965</v>
      </c>
      <c r="D86" s="534">
        <f>T78</f>
        <v>178</v>
      </c>
      <c r="E86" s="394" t="str">
        <f>IF(D86&lt;=H86,"&lt;","&gt;")</f>
        <v>&gt;</v>
      </c>
      <c r="G86" s="392" t="s">
        <v>817</v>
      </c>
      <c r="H86" s="534">
        <f>MAX(30,6*Q77)</f>
        <v>30</v>
      </c>
      <c r="I86" s="521" t="str">
        <f>IF(D86&lt;=H86,"NON OK !!","OK !")</f>
        <v>OK !</v>
      </c>
      <c r="K86" s="448"/>
      <c r="M86" s="432"/>
    </row>
    <row r="87" spans="2:18" x14ac:dyDescent="0.25">
      <c r="B87" s="447"/>
      <c r="C87" s="432"/>
      <c r="K87" s="448"/>
      <c r="M87" s="432"/>
    </row>
    <row r="88" spans="2:18" x14ac:dyDescent="0.25">
      <c r="B88" s="447"/>
      <c r="C88" s="535" t="str">
        <f>IF(Configuration!Y4="EN","Stresses due to axial force NEd","Contraintes dues à l'effort normal NEd")</f>
        <v>Contraintes dues à l'effort normal NEd</v>
      </c>
      <c r="F88" s="514"/>
      <c r="G88" s="533"/>
      <c r="K88" s="448"/>
    </row>
    <row r="89" spans="2:18" x14ac:dyDescent="0.25">
      <c r="B89" s="447"/>
      <c r="E89" s="288" t="str">
        <f>IF(Configuration!Y4="EN","Tensile weld area: Sa =","Aire des soudures tendues : Sa =")</f>
        <v>Aire des soudures tendues : Sa =</v>
      </c>
      <c r="F89" s="623">
        <f>Q76*(T76+2*T77)+2*Q77*T78+Q78*(T80+2*T79)</f>
        <v>3680</v>
      </c>
      <c r="K89" s="448"/>
    </row>
    <row r="90" spans="2:18" ht="18" x14ac:dyDescent="0.25">
      <c r="B90" s="447"/>
      <c r="D90" s="288" t="s">
        <v>1032</v>
      </c>
      <c r="E90" s="543">
        <f>(SQRT(2)/2)*(D79/F89)</f>
        <v>1.4411143638312791</v>
      </c>
      <c r="F90" s="514"/>
      <c r="G90" s="288" t="s">
        <v>1033</v>
      </c>
      <c r="H90" s="543">
        <v>0</v>
      </c>
      <c r="K90" s="448"/>
    </row>
    <row r="91" spans="2:18" x14ac:dyDescent="0.25">
      <c r="B91" s="447"/>
      <c r="C91" s="535" t="str">
        <f>IF(Configuration!Y4="EN","Stresses due to bending moment MEd","Contraintes dues au moment fléchissant MEd")</f>
        <v>Contraintes dues au moment fléchissant MEd</v>
      </c>
      <c r="F91" s="514"/>
      <c r="G91" s="533"/>
      <c r="K91" s="448"/>
    </row>
    <row r="92" spans="2:18" x14ac:dyDescent="0.25">
      <c r="B92" s="447"/>
      <c r="D92" s="288"/>
      <c r="E92" s="288" t="str">
        <f>IF(Configuration!Y4="EN","Outer weld distance: dext =","Distance du cordon extérieur : dext =")</f>
        <v>Distance du cordon extérieur : dext =</v>
      </c>
      <c r="F92" s="624">
        <f>0.5*(Q80+0.5*SQRT(2)*(Q76+Q78)+(Q79+Q81))/10</f>
        <v>11.683553390593273</v>
      </c>
      <c r="G92" s="288"/>
      <c r="H92" s="543"/>
      <c r="K92" s="448"/>
    </row>
    <row r="93" spans="2:18" x14ac:dyDescent="0.25">
      <c r="B93" s="447"/>
      <c r="E93" s="288" t="str">
        <f>IF(Configuration!Y4="EN","Inner weld distance: dint =","Distance du cordon intérieur : dint =")</f>
        <v>Distance du cordon intérieur : dint =</v>
      </c>
      <c r="F93" s="624">
        <f>0.5*(Q80-0.5*SQRT(2)*(Q76+Q78))/10</f>
        <v>9.7264466094067252</v>
      </c>
      <c r="K93" s="448"/>
    </row>
    <row r="94" spans="2:18" x14ac:dyDescent="0.25">
      <c r="B94" s="447"/>
      <c r="E94" s="288" t="str">
        <f>IF(Configuration!Y4="EN","Weld moment of inertia: Iy =","Inertie des cordons de soudure : Iy =")</f>
        <v>Inertie des cordons de soudure : Iy =</v>
      </c>
      <c r="F94" s="627">
        <f>2*(0.01*(T77*Q76+T79*Q78))*F93^2+(0.01*(T76*Q76+T80*Q78))*F92^2</f>
        <v>2258.3897273043958</v>
      </c>
      <c r="K94" s="448"/>
    </row>
    <row r="95" spans="2:18" ht="18" x14ac:dyDescent="0.25">
      <c r="B95" s="447"/>
      <c r="D95" s="288" t="s">
        <v>1048</v>
      </c>
      <c r="E95" s="543">
        <f>-0.5*SQRT(2)*D81*F92/F94</f>
        <v>0</v>
      </c>
      <c r="F95" s="514"/>
      <c r="G95" s="288" t="s">
        <v>1036</v>
      </c>
      <c r="H95" s="543">
        <v>0</v>
      </c>
      <c r="K95" s="448"/>
    </row>
    <row r="96" spans="2:18" ht="18" x14ac:dyDescent="0.25">
      <c r="B96" s="447"/>
      <c r="D96" s="288" t="s">
        <v>1049</v>
      </c>
      <c r="E96" s="543">
        <f>0.5*SQRT(2)*D81*F92/F94</f>
        <v>0</v>
      </c>
      <c r="F96" s="514"/>
      <c r="G96" s="288" t="s">
        <v>1036</v>
      </c>
      <c r="H96" s="543">
        <v>0</v>
      </c>
      <c r="K96" s="448"/>
    </row>
    <row r="97" spans="2:11" x14ac:dyDescent="0.25">
      <c r="B97" s="447"/>
      <c r="C97" s="535" t="str">
        <f>IF(Configuration!Y4="EN","Stresses due to shear force VEd","Contraintes dues à l'effort tranchant VEd")</f>
        <v>Contraintes dues à l'effort tranchant VEd</v>
      </c>
      <c r="F97" s="514"/>
      <c r="G97" s="533"/>
      <c r="K97" s="448"/>
    </row>
    <row r="98" spans="2:11" ht="18" x14ac:dyDescent="0.25">
      <c r="B98" s="447"/>
      <c r="D98" s="288" t="s">
        <v>1034</v>
      </c>
      <c r="E98" s="543">
        <v>0</v>
      </c>
      <c r="F98" s="514"/>
      <c r="G98" s="288" t="s">
        <v>1050</v>
      </c>
      <c r="H98" s="543">
        <f>N77/(2*T78*Q77)</f>
        <v>10.112359550561798</v>
      </c>
      <c r="K98" s="448"/>
    </row>
    <row r="99" spans="2:11" x14ac:dyDescent="0.25">
      <c r="B99" s="447"/>
      <c r="K99" s="448"/>
    </row>
    <row r="100" spans="2:11" x14ac:dyDescent="0.25">
      <c r="B100" s="447"/>
      <c r="C100" s="432" t="str">
        <f>IF(Configuration!Y4="EN","Weld Check","Vérification des Cordons")</f>
        <v>Vérification des Cordons</v>
      </c>
      <c r="K100" s="448"/>
    </row>
    <row r="101" spans="2:11" x14ac:dyDescent="0.25">
      <c r="B101" s="447"/>
      <c r="C101" s="535" t="str">
        <f>IF(Configuration!Y4="EN","Point A: Upper flange","Point A : Semelle supérieure")</f>
        <v>Point A : Semelle supérieure</v>
      </c>
      <c r="K101" s="448"/>
    </row>
    <row r="102" spans="2:11" ht="18" x14ac:dyDescent="0.25">
      <c r="B102" s="447"/>
      <c r="C102" s="432"/>
      <c r="D102" s="288" t="s">
        <v>1051</v>
      </c>
      <c r="E102" s="543">
        <f>E90+E95</f>
        <v>1.4411143638312791</v>
      </c>
      <c r="G102" s="288" t="s">
        <v>1052</v>
      </c>
      <c r="H102" s="543">
        <f>E90+E95</f>
        <v>1.4411143638312791</v>
      </c>
      <c r="K102" s="448"/>
    </row>
    <row r="103" spans="2:11" ht="18" x14ac:dyDescent="0.25">
      <c r="B103" s="447"/>
      <c r="D103" s="288" t="s">
        <v>1046</v>
      </c>
      <c r="E103" s="543">
        <f>SQRT(E102^2+3*(H102^2))</f>
        <v>2.8822287276625582</v>
      </c>
      <c r="F103" s="394" t="str">
        <f>IF(E103&lt;=H103,"&lt;","&gt;")</f>
        <v>&lt;</v>
      </c>
      <c r="G103" s="541" t="s">
        <v>819</v>
      </c>
      <c r="H103" s="543">
        <f>W77/(X77*G_M2)</f>
        <v>40.470588235294116</v>
      </c>
      <c r="J103" s="544">
        <f>ABS(E103/H103)</f>
        <v>7.1217861003289959E-2</v>
      </c>
      <c r="K103" s="448"/>
    </row>
    <row r="104" spans="2:11" ht="18" x14ac:dyDescent="0.25">
      <c r="B104" s="447"/>
      <c r="C104" s="288" t="s">
        <v>720</v>
      </c>
      <c r="D104" s="288" t="s">
        <v>1047</v>
      </c>
      <c r="E104" s="622">
        <f>E102</f>
        <v>1.4411143638312791</v>
      </c>
      <c r="F104" s="394" t="str">
        <f>IF(E104&lt;=H104,"&lt;","&gt;")</f>
        <v>&lt;</v>
      </c>
      <c r="G104" s="288" t="s">
        <v>818</v>
      </c>
      <c r="H104" s="543">
        <f>0.9*W77/G_M2</f>
        <v>30.96</v>
      </c>
      <c r="J104" s="544">
        <f>ABS(E104/H104)</f>
        <v>4.6547621570777749E-2</v>
      </c>
      <c r="K104" s="448"/>
    </row>
    <row r="105" spans="2:11" x14ac:dyDescent="0.25">
      <c r="B105" s="447"/>
      <c r="C105" s="535" t="str">
        <f>IF(Configuration!Y4="EN","Point B: Lower flange","Point B : Semelle inférieure")</f>
        <v>Point B : Semelle inférieure</v>
      </c>
      <c r="K105" s="448"/>
    </row>
    <row r="106" spans="2:11" ht="18" x14ac:dyDescent="0.25">
      <c r="B106" s="447"/>
      <c r="C106" s="432"/>
      <c r="D106" s="288" t="s">
        <v>1053</v>
      </c>
      <c r="E106" s="543">
        <f>E90+E96</f>
        <v>1.4411143638312791</v>
      </c>
      <c r="G106" s="288" t="s">
        <v>1054</v>
      </c>
      <c r="H106" s="543">
        <f>E90+E96</f>
        <v>1.4411143638312791</v>
      </c>
      <c r="K106" s="448"/>
    </row>
    <row r="107" spans="2:11" ht="18" x14ac:dyDescent="0.25">
      <c r="B107" s="447"/>
      <c r="D107" s="288" t="s">
        <v>1046</v>
      </c>
      <c r="E107" s="543">
        <f>SQRT(E106^2+3*(H106^2))</f>
        <v>2.8822287276625582</v>
      </c>
      <c r="F107" s="394" t="str">
        <f>IF(E107&lt;=H107,"&lt;","&gt;")</f>
        <v>&lt;</v>
      </c>
      <c r="G107" s="541" t="s">
        <v>819</v>
      </c>
      <c r="H107" s="543">
        <f>W77/(X77*G_M2)</f>
        <v>40.470588235294116</v>
      </c>
      <c r="J107" s="544">
        <f>ABS(E107/H107)</f>
        <v>7.1217861003289959E-2</v>
      </c>
      <c r="K107" s="448"/>
    </row>
    <row r="108" spans="2:11" ht="18" x14ac:dyDescent="0.25">
      <c r="B108" s="447"/>
      <c r="C108" s="288" t="s">
        <v>720</v>
      </c>
      <c r="D108" s="288" t="s">
        <v>1047</v>
      </c>
      <c r="E108" s="622">
        <f>E106</f>
        <v>1.4411143638312791</v>
      </c>
      <c r="F108" s="394" t="str">
        <f>IF(E108&lt;=H108,"&lt;","&gt;")</f>
        <v>&lt;</v>
      </c>
      <c r="G108" s="288" t="s">
        <v>818</v>
      </c>
      <c r="H108" s="543">
        <f>0.9*W77/G_M2</f>
        <v>30.96</v>
      </c>
      <c r="J108" s="544">
        <f>ABS(E108/H108)</f>
        <v>4.6547621570777749E-2</v>
      </c>
      <c r="K108" s="448"/>
    </row>
    <row r="109" spans="2:11" x14ac:dyDescent="0.25">
      <c r="B109" s="447"/>
      <c r="C109" s="535" t="str">
        <f>IF(Configuration!Y4="EN","Point C: Web","Point C : Âme")</f>
        <v>Point C : Âme</v>
      </c>
      <c r="K109" s="448"/>
    </row>
    <row r="110" spans="2:11" ht="18" x14ac:dyDescent="0.25">
      <c r="B110" s="447"/>
      <c r="C110" s="432"/>
      <c r="D110" s="288" t="s">
        <v>1056</v>
      </c>
      <c r="E110" s="543">
        <f>E90</f>
        <v>1.4411143638312791</v>
      </c>
      <c r="G110" s="288" t="s">
        <v>1055</v>
      </c>
      <c r="H110" s="543">
        <f>H98</f>
        <v>10.112359550561798</v>
      </c>
      <c r="K110" s="448"/>
    </row>
    <row r="111" spans="2:11" ht="18" x14ac:dyDescent="0.25">
      <c r="B111" s="447"/>
      <c r="D111" s="288" t="s">
        <v>1046</v>
      </c>
      <c r="E111" s="543">
        <f>SQRT(E110^2+3*(E110^2+H110^2))</f>
        <v>17.750681380670397</v>
      </c>
      <c r="F111" s="394" t="str">
        <f>IF(E111&lt;=H111,"&lt;","&gt;")</f>
        <v>&lt;</v>
      </c>
      <c r="G111" s="541" t="s">
        <v>819</v>
      </c>
      <c r="H111" s="543">
        <f>W77/(X77*G_M2)</f>
        <v>40.470588235294116</v>
      </c>
      <c r="J111" s="544">
        <f>ABS(E111/H111)</f>
        <v>0.4386069527200534</v>
      </c>
      <c r="K111" s="448"/>
    </row>
    <row r="112" spans="2:11" ht="18" x14ac:dyDescent="0.25">
      <c r="B112" s="447"/>
      <c r="C112" s="288" t="s">
        <v>720</v>
      </c>
      <c r="D112" s="288" t="s">
        <v>1047</v>
      </c>
      <c r="E112" s="622">
        <f>E110</f>
        <v>1.4411143638312791</v>
      </c>
      <c r="F112" s="394" t="str">
        <f>IF(E112&lt;=H112,"&lt;","&gt;")</f>
        <v>&lt;</v>
      </c>
      <c r="G112" s="288" t="s">
        <v>818</v>
      </c>
      <c r="H112" s="543">
        <f>0.9*W77/G_M2</f>
        <v>30.96</v>
      </c>
      <c r="J112" s="544">
        <f>ABS(E112/H112)</f>
        <v>4.6547621570777749E-2</v>
      </c>
      <c r="K112" s="448"/>
    </row>
    <row r="113" spans="1:24" x14ac:dyDescent="0.25">
      <c r="B113" s="447"/>
      <c r="C113" s="1019" t="s">
        <v>809</v>
      </c>
      <c r="D113" s="1019"/>
      <c r="E113" s="1019"/>
      <c r="F113" s="1019"/>
      <c r="G113" s="1019"/>
      <c r="H113" s="1019"/>
      <c r="I113" s="1019"/>
      <c r="J113" s="1019"/>
      <c r="K113" s="455"/>
      <c r="L113" s="359"/>
      <c r="M113" s="359"/>
    </row>
    <row r="114" spans="1:24" ht="15.75" thickBot="1" x14ac:dyDescent="0.3">
      <c r="A114" s="377">
        <v>8</v>
      </c>
      <c r="B114" s="447"/>
      <c r="C114" s="432" t="str">
        <f>IF(Configuration!Y4="EN","Welded assembly of a T section","Assemblage soudé d'une section en T")</f>
        <v>Assemblage soudé d'une section en T</v>
      </c>
      <c r="K114" s="448"/>
      <c r="M114" s="432" t="s">
        <v>962</v>
      </c>
    </row>
    <row r="115" spans="1:24" ht="18" x14ac:dyDescent="0.35">
      <c r="B115" s="447"/>
      <c r="C115" s="432"/>
      <c r="K115" s="448"/>
      <c r="M115" s="388" t="s">
        <v>814</v>
      </c>
      <c r="N115" s="684">
        <v>50000</v>
      </c>
      <c r="O115" s="389" t="s">
        <v>632</v>
      </c>
      <c r="P115" s="390" t="s">
        <v>1057</v>
      </c>
      <c r="Q115" s="684">
        <v>6</v>
      </c>
      <c r="R115" s="389" t="s">
        <v>240</v>
      </c>
      <c r="S115" s="390" t="s">
        <v>1059</v>
      </c>
      <c r="T115" s="684">
        <v>250</v>
      </c>
      <c r="U115" s="389" t="s">
        <v>240</v>
      </c>
      <c r="V115" s="536" t="s">
        <v>424</v>
      </c>
      <c r="W115" s="536" t="s">
        <v>425</v>
      </c>
      <c r="X115" s="425" t="s">
        <v>426</v>
      </c>
    </row>
    <row r="116" spans="1:24" ht="18.75" thickBot="1" x14ac:dyDescent="0.4">
      <c r="B116" s="447"/>
      <c r="C116" s="540" t="str">
        <f>IF(Configuration!Y4="EN","Steel "&amp;N118&amp;" - βw= "&amp;X116&amp;" - af= "&amp;Q115&amp;" mm - aw= "&amp;Q116&amp;" mm","Acier "&amp;N118&amp;" - βw= "&amp;X116&amp;" - af= "&amp;Q115&amp;" mm - aw= "&amp;Q116&amp;" mm")</f>
        <v>Acier S235 - βw= 0.8 - af= 6 mm - aw= 4 mm</v>
      </c>
      <c r="K116" s="448"/>
      <c r="M116" s="391" t="s">
        <v>842</v>
      </c>
      <c r="N116" s="687">
        <v>15000</v>
      </c>
      <c r="O116" s="387" t="s">
        <v>632</v>
      </c>
      <c r="P116" s="392" t="s">
        <v>847</v>
      </c>
      <c r="Q116" s="687">
        <v>4</v>
      </c>
      <c r="R116" s="387" t="s">
        <v>240</v>
      </c>
      <c r="S116" s="392" t="s">
        <v>1060</v>
      </c>
      <c r="T116" s="687">
        <v>120</v>
      </c>
      <c r="U116" s="387" t="s">
        <v>240</v>
      </c>
      <c r="V116" s="538">
        <f>VLOOKUP(N118,Data!$A$3:$D$34,2)</f>
        <v>23.5</v>
      </c>
      <c r="W116" s="538">
        <f>VLOOKUP(N118,Data!$A$3:$D$34,3)</f>
        <v>36</v>
      </c>
      <c r="X116" s="539">
        <f>VLOOKUP(N118,Data!$A$3:$D$34,4)</f>
        <v>0.8</v>
      </c>
    </row>
    <row r="117" spans="1:24" ht="18.75" thickBot="1" x14ac:dyDescent="0.4">
      <c r="B117" s="447"/>
      <c r="C117" s="392" t="s">
        <v>814</v>
      </c>
      <c r="D117" s="377">
        <f>N115</f>
        <v>50000</v>
      </c>
      <c r="E117" s="387" t="s">
        <v>632</v>
      </c>
      <c r="K117" s="448"/>
      <c r="M117" s="391" t="s">
        <v>841</v>
      </c>
      <c r="N117" s="687">
        <v>10000</v>
      </c>
      <c r="O117" s="387" t="s">
        <v>514</v>
      </c>
      <c r="P117" s="392" t="s">
        <v>1058</v>
      </c>
      <c r="Q117" s="687">
        <v>12</v>
      </c>
      <c r="R117" s="387" t="s">
        <v>240</v>
      </c>
      <c r="S117" s="396" t="s">
        <v>851</v>
      </c>
      <c r="T117" s="686">
        <v>400</v>
      </c>
      <c r="U117" s="397" t="s">
        <v>240</v>
      </c>
    </row>
    <row r="118" spans="1:24" ht="18.75" thickBot="1" x14ac:dyDescent="0.4">
      <c r="B118" s="447"/>
      <c r="C118" s="392" t="s">
        <v>842</v>
      </c>
      <c r="D118" s="377">
        <f>N116</f>
        <v>15000</v>
      </c>
      <c r="E118" s="387" t="s">
        <v>632</v>
      </c>
      <c r="K118" s="448"/>
      <c r="M118" s="537" t="s">
        <v>423</v>
      </c>
      <c r="N118" s="685" t="s">
        <v>435</v>
      </c>
      <c r="O118" s="386"/>
      <c r="P118" s="396" t="s">
        <v>844</v>
      </c>
      <c r="Q118" s="686">
        <v>400</v>
      </c>
      <c r="R118" s="397" t="s">
        <v>240</v>
      </c>
      <c r="S118" s="392"/>
      <c r="T118" s="626"/>
      <c r="U118" s="387"/>
    </row>
    <row r="119" spans="1:24" ht="18" x14ac:dyDescent="0.35">
      <c r="B119" s="447"/>
      <c r="C119" s="392" t="s">
        <v>841</v>
      </c>
      <c r="D119" s="377">
        <f>N117</f>
        <v>10000</v>
      </c>
      <c r="E119" s="387" t="s">
        <v>514</v>
      </c>
      <c r="K119" s="448"/>
      <c r="M119" s="542" t="s">
        <v>820</v>
      </c>
      <c r="S119" s="382"/>
      <c r="T119" s="626"/>
      <c r="U119" s="387"/>
    </row>
    <row r="120" spans="1:24" x14ac:dyDescent="0.25">
      <c r="B120" s="447"/>
      <c r="C120" s="432"/>
      <c r="K120" s="448"/>
      <c r="P120" s="392"/>
      <c r="Q120" s="626"/>
      <c r="R120" s="387"/>
    </row>
    <row r="121" spans="1:24" ht="18" x14ac:dyDescent="0.35">
      <c r="B121" s="447"/>
      <c r="C121" s="392" t="s">
        <v>963</v>
      </c>
      <c r="D121" s="534">
        <f>T115</f>
        <v>250</v>
      </c>
      <c r="E121" s="394" t="str">
        <f>IF(D121&lt;=H121,"&lt;","&gt;")</f>
        <v>&gt;</v>
      </c>
      <c r="G121" s="392" t="s">
        <v>817</v>
      </c>
      <c r="H121" s="534">
        <f>MAX(30,6*Q115)</f>
        <v>36</v>
      </c>
      <c r="I121" s="521" t="str">
        <f>IF(D121&lt;=H121,"NON OK !!","OK !")</f>
        <v>OK !</v>
      </c>
      <c r="K121" s="448"/>
      <c r="M121" s="432"/>
    </row>
    <row r="122" spans="1:24" ht="18" x14ac:dyDescent="0.35">
      <c r="B122" s="447"/>
      <c r="C122" s="392" t="s">
        <v>964</v>
      </c>
      <c r="D122" s="534">
        <f>T116</f>
        <v>120</v>
      </c>
      <c r="E122" s="394" t="str">
        <f>IF(D122&lt;=H122,"&lt;","&gt;")</f>
        <v>&gt;</v>
      </c>
      <c r="G122" s="392" t="s">
        <v>817</v>
      </c>
      <c r="H122" s="534">
        <f>MAX(30,6*Q115)</f>
        <v>36</v>
      </c>
      <c r="I122" s="521" t="str">
        <f>IF(D122&lt;=H122,"NON OK !!","OK !")</f>
        <v>OK !</v>
      </c>
      <c r="K122" s="448"/>
      <c r="M122" s="432"/>
    </row>
    <row r="123" spans="1:24" ht="18" x14ac:dyDescent="0.35">
      <c r="B123" s="447"/>
      <c r="C123" s="392" t="s">
        <v>965</v>
      </c>
      <c r="D123" s="534">
        <f>T117</f>
        <v>400</v>
      </c>
      <c r="E123" s="394" t="str">
        <f>IF(D123&lt;=H123,"&lt;","&gt;")</f>
        <v>&gt;</v>
      </c>
      <c r="G123" s="392" t="s">
        <v>817</v>
      </c>
      <c r="H123" s="534">
        <f>MAX(30,6*Q116)</f>
        <v>30</v>
      </c>
      <c r="I123" s="521" t="str">
        <f>IF(D123&lt;=H123,"NON OK !!","OK !")</f>
        <v>OK !</v>
      </c>
      <c r="K123" s="448"/>
      <c r="M123" s="432"/>
    </row>
    <row r="124" spans="1:24" x14ac:dyDescent="0.25">
      <c r="B124" s="447"/>
      <c r="C124" s="432"/>
      <c r="K124" s="448"/>
      <c r="M124" s="432"/>
    </row>
    <row r="125" spans="1:24" x14ac:dyDescent="0.25">
      <c r="B125" s="447"/>
      <c r="C125" s="535" t="str">
        <f>IF(Configuration!Y4="EN","Centre of Gravity Positions:","Position des Centres de Gravité :")</f>
        <v>Position des Centres de Gravité :</v>
      </c>
      <c r="K125" s="448"/>
      <c r="M125" s="432"/>
    </row>
    <row r="126" spans="1:24" ht="18" x14ac:dyDescent="0.25">
      <c r="B126" s="447"/>
      <c r="D126" s="377" t="s">
        <v>1066</v>
      </c>
      <c r="E126" s="526">
        <f>(Q118+Q117+Q115/(2*SQRT(2)))</f>
        <v>414.12132034355966</v>
      </c>
      <c r="G126" s="377" t="s">
        <v>1065</v>
      </c>
      <c r="H126" s="526">
        <f>T117</f>
        <v>400</v>
      </c>
      <c r="K126" s="448"/>
      <c r="M126" s="432"/>
    </row>
    <row r="127" spans="1:24" ht="18" x14ac:dyDescent="0.25">
      <c r="B127" s="447"/>
      <c r="D127" s="377" t="s">
        <v>1077</v>
      </c>
      <c r="E127" s="526">
        <f>(Q118-Q115/(2*SQRT(2)))</f>
        <v>397.87867965644034</v>
      </c>
      <c r="G127" s="377" t="s">
        <v>1076</v>
      </c>
      <c r="H127" s="526">
        <f>E129</f>
        <v>298.71779791866669</v>
      </c>
      <c r="K127" s="448"/>
      <c r="M127" s="432"/>
    </row>
    <row r="128" spans="1:24" ht="18" x14ac:dyDescent="0.25">
      <c r="B128" s="447"/>
      <c r="D128" s="377" t="s">
        <v>1075</v>
      </c>
      <c r="E128" s="526">
        <v>0</v>
      </c>
      <c r="G128" s="377" t="s">
        <v>1074</v>
      </c>
      <c r="H128" s="526">
        <f>Q118/2</f>
        <v>200</v>
      </c>
      <c r="K128" s="448"/>
    </row>
    <row r="129" spans="2:11" ht="18" x14ac:dyDescent="0.25">
      <c r="B129" s="447"/>
      <c r="D129" s="581" t="s">
        <v>1078</v>
      </c>
      <c r="E129" s="628">
        <f>(Q115*T115*E126+2*Q115*T116*E127+2*Q116*T117*H128)/(Q115*T115+2*Q115*T116+2*Q116*T117)</f>
        <v>298.71779791866669</v>
      </c>
      <c r="K129" s="448"/>
    </row>
    <row r="130" spans="2:11" x14ac:dyDescent="0.25">
      <c r="B130" s="447"/>
      <c r="C130" s="535" t="str">
        <f>IF(Configuration!Y4="EN","Bending Moments of Inertia:","Inerties de Flexion :")</f>
        <v>Inerties de Flexion :</v>
      </c>
      <c r="K130" s="448"/>
    </row>
    <row r="131" spans="2:11" ht="18" x14ac:dyDescent="0.25">
      <c r="B131" s="447"/>
      <c r="D131" s="581" t="s">
        <v>1079</v>
      </c>
      <c r="E131" s="629">
        <f>H131+E132+H132</f>
        <v>10799.644562418845</v>
      </c>
      <c r="G131" s="377" t="s">
        <v>1067</v>
      </c>
      <c r="H131" s="627">
        <f>0.0001*(((T117^3*Q116)/6)+2*T117*Q116*(H128-E129)^2)</f>
        <v>7385.1318269580952</v>
      </c>
      <c r="K131" s="448"/>
    </row>
    <row r="132" spans="2:11" ht="18" x14ac:dyDescent="0.25">
      <c r="B132" s="447"/>
      <c r="D132" s="377" t="s">
        <v>1068</v>
      </c>
      <c r="E132" s="627">
        <f>0.0001*(((Q115^3*T115)/12)+T115*Q115*(E126-E129)^2)</f>
        <v>1998.145948210916</v>
      </c>
      <c r="G132" s="377" t="s">
        <v>1069</v>
      </c>
      <c r="H132" s="627">
        <f>0.0001*(((Q115^3*T116)/6)+2*T116*Q115*(E127-E129)^2)</f>
        <v>1416.3667872498334</v>
      </c>
      <c r="K132" s="448"/>
    </row>
    <row r="133" spans="2:11" x14ac:dyDescent="0.25">
      <c r="B133" s="447"/>
      <c r="C133" s="535" t="str">
        <f>IF(Configuration!Y4="EN","Static Moments:","Moments Statiques :")</f>
        <v>Moments Statiques :</v>
      </c>
      <c r="K133" s="448"/>
    </row>
    <row r="134" spans="2:11" ht="18" x14ac:dyDescent="0.25">
      <c r="B134" s="447"/>
      <c r="D134" s="288" t="s">
        <v>1070</v>
      </c>
      <c r="E134" s="625">
        <v>0</v>
      </c>
      <c r="G134" s="288" t="s">
        <v>1072</v>
      </c>
      <c r="H134" s="625">
        <f>0.001*(Q115*T115*(E126-E129)+2*Q115*T116*(E127-E129))</f>
        <v>315.89695333973356</v>
      </c>
      <c r="K134" s="448"/>
    </row>
    <row r="135" spans="2:11" ht="18" x14ac:dyDescent="0.25">
      <c r="B135" s="447"/>
      <c r="D135" s="288" t="s">
        <v>1073</v>
      </c>
      <c r="E135" s="625">
        <f>0.001*(Q115*T115*(E126-E129)+2*Q115*T116*(E127-E129)+Q116*(T117-E129)^2)</f>
        <v>356.92929117350968</v>
      </c>
      <c r="G135" s="288" t="s">
        <v>1071</v>
      </c>
      <c r="H135" s="625">
        <v>0</v>
      </c>
      <c r="K135" s="448"/>
    </row>
    <row r="136" spans="2:11" x14ac:dyDescent="0.25">
      <c r="B136" s="447"/>
      <c r="K136" s="448"/>
    </row>
    <row r="137" spans="2:11" x14ac:dyDescent="0.25">
      <c r="B137" s="447"/>
      <c r="C137" s="535" t="str">
        <f>IF(Configuration!Y4="EN","Stresses due to axial force NEd","Contraintes dues à l'effort normal NEd")</f>
        <v>Contraintes dues à l'effort normal NEd</v>
      </c>
      <c r="F137" s="514"/>
      <c r="G137" s="533"/>
      <c r="K137" s="448"/>
    </row>
    <row r="138" spans="2:11" x14ac:dyDescent="0.25">
      <c r="B138" s="447"/>
      <c r="E138" s="288" t="str">
        <f>IF(Configuration!Y4="EN","Tensile weld area: Aa =","Aire des soudures tendues : Aa =")</f>
        <v>Aire des soudures tendues : Aa =</v>
      </c>
      <c r="F138" s="623">
        <f>Q115*(T115+2*T116)+2*Q116*T117</f>
        <v>6140</v>
      </c>
      <c r="K138" s="448"/>
    </row>
    <row r="139" spans="2:11" ht="18" x14ac:dyDescent="0.25">
      <c r="B139" s="447"/>
      <c r="D139" s="288" t="s">
        <v>1032</v>
      </c>
      <c r="E139" s="543">
        <f>(SQRT(2)/2)*(D117/F138)</f>
        <v>5.7581985438643937</v>
      </c>
      <c r="F139" s="514"/>
      <c r="G139" s="288" t="s">
        <v>1033</v>
      </c>
      <c r="H139" s="543">
        <v>0</v>
      </c>
      <c r="K139" s="448"/>
    </row>
    <row r="140" spans="2:11" x14ac:dyDescent="0.25">
      <c r="B140" s="447"/>
      <c r="C140" s="535" t="str">
        <f>IF(Configuration!Y4="EN","Stresses due to shear force VEd","Contraintes dues à l'effort tranchant VEd")</f>
        <v>Contraintes dues à l'effort tranchant VEd</v>
      </c>
      <c r="K140" s="448"/>
    </row>
    <row r="141" spans="2:11" ht="18" x14ac:dyDescent="0.25">
      <c r="B141" s="447"/>
      <c r="D141" s="288" t="s">
        <v>1034</v>
      </c>
      <c r="E141" s="543">
        <v>0</v>
      </c>
      <c r="F141" s="514"/>
      <c r="G141" s="288" t="s">
        <v>1061</v>
      </c>
      <c r="H141" s="543">
        <f>0.1*E134*D118/(2*E131*Q116)</f>
        <v>0</v>
      </c>
      <c r="J141" s="544"/>
      <c r="K141" s="448"/>
    </row>
    <row r="142" spans="2:11" ht="18" x14ac:dyDescent="0.25">
      <c r="B142" s="447"/>
      <c r="G142" s="288" t="s">
        <v>1062</v>
      </c>
      <c r="H142" s="543">
        <f>0.1*H134*D118/(2*E131*Q116)</f>
        <v>5.4845026064389177</v>
      </c>
      <c r="J142" s="544"/>
      <c r="K142" s="448"/>
    </row>
    <row r="143" spans="2:11" ht="18" x14ac:dyDescent="0.25">
      <c r="B143" s="447"/>
      <c r="G143" s="288" t="s">
        <v>1063</v>
      </c>
      <c r="H143" s="543">
        <f>0.1*E135*D118/(2*E131*Q116)</f>
        <v>6.1968930281205239</v>
      </c>
      <c r="K143" s="448"/>
    </row>
    <row r="144" spans="2:11" ht="18" x14ac:dyDescent="0.25">
      <c r="B144" s="447"/>
      <c r="G144" s="288" t="s">
        <v>1064</v>
      </c>
      <c r="H144" s="543">
        <f>0.1*H135*D118/(2*E131*Q116)</f>
        <v>0</v>
      </c>
      <c r="K144" s="448"/>
    </row>
    <row r="145" spans="2:11" x14ac:dyDescent="0.25">
      <c r="B145" s="447"/>
      <c r="C145" s="535" t="str">
        <f>IF(Configuration!Y4="EN","Stresses due to bending moment MEd","Contraintes dues au moment fléchissant MEd")</f>
        <v>Contraintes dues au moment fléchissant MEd</v>
      </c>
      <c r="F145" s="514"/>
      <c r="G145" s="533"/>
      <c r="J145" s="544"/>
      <c r="K145" s="448"/>
    </row>
    <row r="146" spans="2:11" ht="18" x14ac:dyDescent="0.25">
      <c r="B146" s="447"/>
      <c r="D146" s="288" t="s">
        <v>1080</v>
      </c>
      <c r="E146" s="543">
        <f>0.5*SQRT(2)*D119/(E131/(0.1*(E126-E129)))</f>
        <v>7.5560462020593322</v>
      </c>
      <c r="F146" s="514"/>
      <c r="G146" s="288" t="s">
        <v>1036</v>
      </c>
      <c r="H146" s="543">
        <v>0</v>
      </c>
      <c r="J146" s="544"/>
      <c r="K146" s="448"/>
    </row>
    <row r="147" spans="2:11" ht="18" x14ac:dyDescent="0.25">
      <c r="B147" s="447"/>
      <c r="D147" s="288" t="s">
        <v>1081</v>
      </c>
      <c r="E147" s="543">
        <f>0.5*SQRT(2)*D119/(E131/(0.1*(H126-E129)))</f>
        <v>6.6314526826590843</v>
      </c>
      <c r="F147" s="624"/>
      <c r="K147" s="448"/>
    </row>
    <row r="148" spans="2:11" ht="18" x14ac:dyDescent="0.25">
      <c r="B148" s="447"/>
      <c r="D148" s="288" t="s">
        <v>1082</v>
      </c>
      <c r="E148" s="543">
        <v>0</v>
      </c>
      <c r="F148" s="627"/>
      <c r="K148" s="448"/>
    </row>
    <row r="149" spans="2:11" ht="18" x14ac:dyDescent="0.25">
      <c r="B149" s="447"/>
      <c r="D149" s="288" t="s">
        <v>1083</v>
      </c>
      <c r="E149" s="543">
        <f>0.5*SQRT(2)*D119/(E131/(0.1*(E129-A128)))</f>
        <v>19.558549297486593</v>
      </c>
      <c r="J149" s="544"/>
      <c r="K149" s="448"/>
    </row>
    <row r="150" spans="2:11" x14ac:dyDescent="0.25">
      <c r="B150" s="447"/>
      <c r="D150" s="288"/>
      <c r="E150" s="543"/>
      <c r="J150" s="544"/>
      <c r="K150" s="448"/>
    </row>
    <row r="151" spans="2:11" x14ac:dyDescent="0.25">
      <c r="B151" s="447"/>
      <c r="C151" s="432" t="str">
        <f>IF(Configuration!Y4="EN","Weld Check","Vérification des Cordons")</f>
        <v>Vérification des Cordons</v>
      </c>
      <c r="K151" s="448"/>
    </row>
    <row r="152" spans="2:11" x14ac:dyDescent="0.25">
      <c r="B152" s="447"/>
      <c r="C152" s="535" t="str">
        <f>IF(Configuration!Y4="EN","Point A: External flange weld","Point A :  Cordon externe de la semelle")</f>
        <v>Point A :  Cordon externe de la semelle</v>
      </c>
      <c r="K152" s="448"/>
    </row>
    <row r="153" spans="2:11" ht="18" x14ac:dyDescent="0.25">
      <c r="B153" s="447"/>
      <c r="C153" s="432"/>
      <c r="D153" s="288" t="s">
        <v>1084</v>
      </c>
      <c r="E153" s="543">
        <f>E139-E146</f>
        <v>-1.7978476581949385</v>
      </c>
      <c r="G153" s="288" t="s">
        <v>1085</v>
      </c>
      <c r="H153" s="543">
        <f>E139-E146</f>
        <v>-1.7978476581949385</v>
      </c>
      <c r="K153" s="448"/>
    </row>
    <row r="154" spans="2:11" ht="18" x14ac:dyDescent="0.25">
      <c r="B154" s="447"/>
      <c r="D154" s="288" t="s">
        <v>1046</v>
      </c>
      <c r="E154" s="543">
        <f>SQRT(E153^2+3*(H153^2+H141^2))</f>
        <v>3.595695316389877</v>
      </c>
      <c r="F154" s="394" t="str">
        <f>IF(E154&lt;=H154,"&lt;","&gt;")</f>
        <v>&lt;</v>
      </c>
      <c r="G154" s="541" t="s">
        <v>819</v>
      </c>
      <c r="H154" s="543">
        <f>W116/(X116*G_M2)</f>
        <v>36</v>
      </c>
      <c r="J154" s="544">
        <f>ABS(E154/H154)</f>
        <v>9.9880425455274369E-2</v>
      </c>
      <c r="K154" s="448"/>
    </row>
    <row r="155" spans="2:11" ht="18" x14ac:dyDescent="0.25">
      <c r="B155" s="447"/>
      <c r="C155" s="288" t="s">
        <v>720</v>
      </c>
      <c r="D155" s="288" t="s">
        <v>1047</v>
      </c>
      <c r="E155" s="622">
        <f>E153</f>
        <v>-1.7978476581949385</v>
      </c>
      <c r="F155" s="394" t="str">
        <f>IF(E155&lt;=H155,"&lt;","&gt;")</f>
        <v>&lt;</v>
      </c>
      <c r="G155" s="288" t="s">
        <v>818</v>
      </c>
      <c r="H155" s="543">
        <f>0.9*W116/G_M2</f>
        <v>25.919999999999998</v>
      </c>
      <c r="J155" s="544">
        <f>ABS(E155/H155)</f>
        <v>6.9361406566162756E-2</v>
      </c>
      <c r="K155" s="448"/>
    </row>
    <row r="156" spans="2:11" x14ac:dyDescent="0.25">
      <c r="B156" s="447"/>
      <c r="C156" s="535" t="str">
        <f>IF(Configuration!Y4="EN","Point B: Internal flange weld","Point B :  Cordon interne de la semelle")</f>
        <v>Point B :  Cordon interne de la semelle</v>
      </c>
      <c r="K156" s="448"/>
    </row>
    <row r="157" spans="2:11" ht="18" x14ac:dyDescent="0.25">
      <c r="B157" s="447"/>
      <c r="C157" s="432"/>
      <c r="D157" s="288" t="s">
        <v>1087</v>
      </c>
      <c r="E157" s="543">
        <f>E139-E147</f>
        <v>-0.8732541387946906</v>
      </c>
      <c r="G157" s="288" t="s">
        <v>1086</v>
      </c>
      <c r="H157" s="543">
        <f>E139-E147</f>
        <v>-0.8732541387946906</v>
      </c>
      <c r="K157" s="448"/>
    </row>
    <row r="158" spans="2:11" ht="18" x14ac:dyDescent="0.25">
      <c r="B158" s="447"/>
      <c r="D158" s="288" t="s">
        <v>1046</v>
      </c>
      <c r="E158" s="543">
        <f>SQRT(E157^2+3*(H157^2+H142^2))</f>
        <v>9.6586540306501334</v>
      </c>
      <c r="F158" s="394" t="str">
        <f>IF(E158&lt;=H158,"&lt;","&gt;")</f>
        <v>&lt;</v>
      </c>
      <c r="G158" s="541" t="s">
        <v>819</v>
      </c>
      <c r="H158" s="543">
        <f>W116/(X116*G_M2)</f>
        <v>36</v>
      </c>
      <c r="J158" s="544">
        <f>ABS(E158/H158)</f>
        <v>0.26829594529583706</v>
      </c>
      <c r="K158" s="448"/>
    </row>
    <row r="159" spans="2:11" ht="18" x14ac:dyDescent="0.25">
      <c r="B159" s="447"/>
      <c r="C159" s="288" t="s">
        <v>720</v>
      </c>
      <c r="D159" s="288" t="s">
        <v>1047</v>
      </c>
      <c r="E159" s="622">
        <f>E157</f>
        <v>-0.8732541387946906</v>
      </c>
      <c r="F159" s="394" t="str">
        <f>IF(E159&lt;=H159,"&lt;","&gt;")</f>
        <v>&lt;</v>
      </c>
      <c r="G159" s="288" t="s">
        <v>818</v>
      </c>
      <c r="H159" s="543">
        <f>0.9*W116/G_M2</f>
        <v>25.919999999999998</v>
      </c>
      <c r="J159" s="544">
        <f>ABS(E159/H159)</f>
        <v>3.3690360293005039E-2</v>
      </c>
      <c r="K159" s="448"/>
    </row>
    <row r="160" spans="2:11" x14ac:dyDescent="0.25">
      <c r="B160" s="447"/>
      <c r="C160" s="535" t="str">
        <f>IF(Configuration!Y4="EN","Point C: Centre of gravity of the section","Point C :  Centre de gravité de la section")</f>
        <v>Point C :  Centre de gravité de la section</v>
      </c>
      <c r="K160" s="448"/>
    </row>
    <row r="161" spans="1:21" ht="18" x14ac:dyDescent="0.25">
      <c r="B161" s="447"/>
      <c r="C161" s="432"/>
      <c r="D161" s="288" t="s">
        <v>1088</v>
      </c>
      <c r="E161" s="543">
        <f>E139-E148</f>
        <v>5.7581985438643937</v>
      </c>
      <c r="G161" s="288" t="s">
        <v>1089</v>
      </c>
      <c r="H161" s="543">
        <f>E139-E148</f>
        <v>5.7581985438643937</v>
      </c>
      <c r="K161" s="448"/>
    </row>
    <row r="162" spans="1:21" ht="18" x14ac:dyDescent="0.25">
      <c r="B162" s="447"/>
      <c r="D162" s="288" t="s">
        <v>1046</v>
      </c>
      <c r="E162" s="543">
        <f>SQRT(E161^2+3*(H161^2+H143^2))</f>
        <v>15.742676122189467</v>
      </c>
      <c r="F162" s="394" t="str">
        <f>IF(E162&lt;=H162,"&lt;","&gt;")</f>
        <v>&lt;</v>
      </c>
      <c r="G162" s="541" t="s">
        <v>819</v>
      </c>
      <c r="H162" s="543">
        <f>W116/(X116*G_M2)</f>
        <v>36</v>
      </c>
      <c r="J162" s="544">
        <f>ABS(E162/H162)</f>
        <v>0.43729655894970743</v>
      </c>
      <c r="K162" s="448"/>
    </row>
    <row r="163" spans="1:21" ht="18" x14ac:dyDescent="0.25">
      <c r="B163" s="447"/>
      <c r="C163" s="288" t="s">
        <v>720</v>
      </c>
      <c r="D163" s="288" t="s">
        <v>1047</v>
      </c>
      <c r="E163" s="622">
        <f>E161</f>
        <v>5.7581985438643937</v>
      </c>
      <c r="F163" s="394" t="str">
        <f>IF(E163&lt;=H163,"&lt;","&gt;")</f>
        <v>&lt;</v>
      </c>
      <c r="G163" s="288" t="s">
        <v>818</v>
      </c>
      <c r="H163" s="543">
        <f>0.9*W116/G_M2</f>
        <v>25.919999999999998</v>
      </c>
      <c r="J163" s="544">
        <f>ABS(E163/H163)</f>
        <v>0.22215272159970656</v>
      </c>
      <c r="K163" s="448"/>
    </row>
    <row r="164" spans="1:21" x14ac:dyDescent="0.25">
      <c r="B164" s="447"/>
      <c r="C164" s="535" t="str">
        <f>IF(Configuration!Y4="EN","Point D: External web fibre","Point D :  Fibre externe de l'âme")</f>
        <v>Point D :  Fibre externe de l'âme</v>
      </c>
      <c r="K164" s="448"/>
    </row>
    <row r="165" spans="1:21" ht="18" x14ac:dyDescent="0.25">
      <c r="B165" s="447"/>
      <c r="C165" s="432"/>
      <c r="D165" s="288" t="s">
        <v>1090</v>
      </c>
      <c r="E165" s="543">
        <f>E139+E149</f>
        <v>25.316747841350988</v>
      </c>
      <c r="G165" s="288" t="s">
        <v>1091</v>
      </c>
      <c r="H165" s="543">
        <f>E139+E149</f>
        <v>25.316747841350988</v>
      </c>
      <c r="K165" s="448"/>
    </row>
    <row r="166" spans="1:21" ht="18" x14ac:dyDescent="0.25">
      <c r="B166" s="447"/>
      <c r="D166" s="288" t="s">
        <v>1046</v>
      </c>
      <c r="E166" s="543">
        <f>SQRT(E165^2+3*(H165^2+H144^2))</f>
        <v>50.633495682701977</v>
      </c>
      <c r="F166" s="394" t="str">
        <f>IF(E166&lt;=H166,"&lt;","&gt;")</f>
        <v>&gt;</v>
      </c>
      <c r="G166" s="541" t="s">
        <v>819</v>
      </c>
      <c r="H166" s="543">
        <f>W116/(X116*G_M2)</f>
        <v>36</v>
      </c>
      <c r="J166" s="544">
        <f>ABS(E166/H166)</f>
        <v>1.406485991186166</v>
      </c>
      <c r="K166" s="448"/>
    </row>
    <row r="167" spans="1:21" ht="18" x14ac:dyDescent="0.25">
      <c r="B167" s="447"/>
      <c r="C167" s="288" t="s">
        <v>720</v>
      </c>
      <c r="D167" s="288" t="s">
        <v>1047</v>
      </c>
      <c r="E167" s="622">
        <f>E165</f>
        <v>25.316747841350988</v>
      </c>
      <c r="F167" s="394" t="str">
        <f>IF(E167&lt;=H167,"&lt;","&gt;")</f>
        <v>&lt;</v>
      </c>
      <c r="G167" s="288" t="s">
        <v>818</v>
      </c>
      <c r="H167" s="543">
        <f>0.9*W116/G_M2</f>
        <v>25.919999999999998</v>
      </c>
      <c r="J167" s="544">
        <f>ABS(E167/H167)</f>
        <v>0.97672638276817092</v>
      </c>
      <c r="K167" s="448"/>
    </row>
    <row r="168" spans="1:21" x14ac:dyDescent="0.25">
      <c r="B168" s="447"/>
      <c r="C168" s="1019" t="s">
        <v>809</v>
      </c>
      <c r="D168" s="1019"/>
      <c r="E168" s="1019"/>
      <c r="F168" s="1019"/>
      <c r="G168" s="1019"/>
      <c r="H168" s="1019"/>
      <c r="I168" s="1019"/>
      <c r="J168" s="1019"/>
      <c r="K168" s="455"/>
      <c r="L168" s="359"/>
      <c r="M168" s="359"/>
    </row>
    <row r="169" spans="1:21" ht="15.75" thickBot="1" x14ac:dyDescent="0.3">
      <c r="A169" s="377">
        <v>9</v>
      </c>
      <c r="B169" s="447"/>
      <c r="C169" s="621" t="str">
        <f>IF(Configuration!Y4="EN","Welded assembly of a flat plate","Assemblage soudé d'un plat")</f>
        <v>Assemblage soudé d'un plat</v>
      </c>
      <c r="F169" s="540" t="str">
        <f>"Acier "&amp;N173&amp;" - βw= "&amp;U171&amp;" - a= "&amp;Q170&amp;" mm"</f>
        <v>Acier S275 - βw= 0.85 - a= 5 mm</v>
      </c>
      <c r="K169" s="448"/>
      <c r="M169" s="432" t="s">
        <v>961</v>
      </c>
    </row>
    <row r="170" spans="1:21" ht="18" x14ac:dyDescent="0.35">
      <c r="B170" s="447"/>
      <c r="C170" s="392" t="s">
        <v>814</v>
      </c>
      <c r="D170" s="377">
        <f>N170</f>
        <v>2000</v>
      </c>
      <c r="E170" s="387" t="s">
        <v>632</v>
      </c>
      <c r="K170" s="448"/>
      <c r="M170" s="388" t="s">
        <v>814</v>
      </c>
      <c r="N170" s="684">
        <v>2000</v>
      </c>
      <c r="O170" s="389" t="s">
        <v>632</v>
      </c>
      <c r="P170" s="390" t="s">
        <v>682</v>
      </c>
      <c r="Q170" s="684">
        <v>5</v>
      </c>
      <c r="R170" s="389" t="s">
        <v>240</v>
      </c>
      <c r="S170" s="536" t="s">
        <v>424</v>
      </c>
      <c r="T170" s="536" t="s">
        <v>425</v>
      </c>
      <c r="U170" s="425" t="s">
        <v>426</v>
      </c>
    </row>
    <row r="171" spans="1:21" ht="18.75" thickBot="1" x14ac:dyDescent="0.4">
      <c r="B171" s="447"/>
      <c r="C171" s="392" t="s">
        <v>842</v>
      </c>
      <c r="D171" s="377">
        <f>N171</f>
        <v>2200</v>
      </c>
      <c r="E171" s="387" t="s">
        <v>632</v>
      </c>
      <c r="K171" s="448"/>
      <c r="M171" s="391" t="s">
        <v>842</v>
      </c>
      <c r="N171" s="687">
        <v>2200</v>
      </c>
      <c r="O171" s="387" t="s">
        <v>632</v>
      </c>
      <c r="P171" s="396" t="s">
        <v>654</v>
      </c>
      <c r="Q171" s="686">
        <v>159</v>
      </c>
      <c r="R171" s="395" t="s">
        <v>240</v>
      </c>
      <c r="S171" s="538">
        <f>VLOOKUP(N173,Data!$A$3:$D$34,2)</f>
        <v>27.5</v>
      </c>
      <c r="T171" s="538">
        <f>VLOOKUP(N173,Data!$A$3:$D$34,3)</f>
        <v>43</v>
      </c>
      <c r="U171" s="539">
        <f>VLOOKUP(N173,Data!$A$3:$D$34,4)</f>
        <v>0.85</v>
      </c>
    </row>
    <row r="172" spans="1:21" ht="18" x14ac:dyDescent="0.35">
      <c r="B172" s="447"/>
      <c r="C172" s="392" t="s">
        <v>841</v>
      </c>
      <c r="D172" s="377">
        <f>N172</f>
        <v>0</v>
      </c>
      <c r="E172" s="387" t="s">
        <v>514</v>
      </c>
      <c r="K172" s="448"/>
      <c r="M172" s="391" t="s">
        <v>841</v>
      </c>
      <c r="N172" s="687">
        <v>0</v>
      </c>
      <c r="O172" s="393" t="s">
        <v>514</v>
      </c>
    </row>
    <row r="173" spans="1:21" ht="15.75" thickBot="1" x14ac:dyDescent="0.3">
      <c r="B173" s="447"/>
      <c r="C173" s="432"/>
      <c r="K173" s="448"/>
      <c r="M173" s="537" t="s">
        <v>423</v>
      </c>
      <c r="N173" s="685" t="s">
        <v>437</v>
      </c>
      <c r="O173" s="520"/>
    </row>
    <row r="174" spans="1:21" ht="18" x14ac:dyDescent="0.35">
      <c r="B174" s="447"/>
      <c r="C174" s="392" t="s">
        <v>831</v>
      </c>
      <c r="D174" s="534">
        <f>Q171-2*Q170</f>
        <v>149</v>
      </c>
      <c r="E174" s="394" t="str">
        <f>IF(D174&lt;=H174,"&lt;","&gt;")</f>
        <v>&gt;</v>
      </c>
      <c r="G174" s="392" t="s">
        <v>817</v>
      </c>
      <c r="H174" s="534">
        <f>MAX(30,6*Q170)</f>
        <v>30</v>
      </c>
      <c r="I174" s="521" t="str">
        <f>IF(D174&lt;=H174,"NON OK !!","OK !")</f>
        <v>OK !</v>
      </c>
      <c r="K174" s="448"/>
      <c r="M174" s="542" t="s">
        <v>820</v>
      </c>
    </row>
    <row r="175" spans="1:21" x14ac:dyDescent="0.25">
      <c r="B175" s="447"/>
      <c r="K175" s="448"/>
    </row>
    <row r="176" spans="1:21" x14ac:dyDescent="0.25">
      <c r="B176" s="447"/>
      <c r="C176" s="535" t="str">
        <f>IF(Configuration!Y4="EN","Stresses due to axial force NEd","Contraintes dues à l'effort normal NEd")</f>
        <v>Contraintes dues à l'effort normal NEd</v>
      </c>
      <c r="F176" s="514"/>
      <c r="G176" s="533"/>
      <c r="K176" s="448"/>
      <c r="M176" s="432"/>
    </row>
    <row r="177" spans="2:13" ht="18" x14ac:dyDescent="0.25">
      <c r="B177" s="447"/>
      <c r="D177" s="288" t="s">
        <v>1032</v>
      </c>
      <c r="E177" s="543">
        <f>(SQRT(2)/2)*(D170/(2*Q170*D174))</f>
        <v>0.94913661904234581</v>
      </c>
      <c r="F177" s="514"/>
      <c r="G177" s="288" t="s">
        <v>1033</v>
      </c>
      <c r="H177" s="543">
        <v>0</v>
      </c>
      <c r="K177" s="448"/>
      <c r="M177" s="432"/>
    </row>
    <row r="178" spans="2:13" x14ac:dyDescent="0.25">
      <c r="B178" s="447"/>
      <c r="C178" s="535" t="str">
        <f>IF(Configuration!Y4="EN","Stresses due to shear force VEd","Contraintes dues à l'effort tranchant VEd")</f>
        <v>Contraintes dues à l'effort tranchant VEd</v>
      </c>
      <c r="F178" s="514"/>
      <c r="G178" s="533"/>
      <c r="K178" s="448"/>
      <c r="M178" s="432"/>
    </row>
    <row r="179" spans="2:13" ht="18" x14ac:dyDescent="0.25">
      <c r="B179" s="447"/>
      <c r="D179" s="288" t="s">
        <v>1034</v>
      </c>
      <c r="E179" s="543">
        <v>0</v>
      </c>
      <c r="F179" s="514"/>
      <c r="G179" s="288" t="s">
        <v>1043</v>
      </c>
      <c r="H179" s="543">
        <v>0</v>
      </c>
      <c r="K179" s="448"/>
      <c r="M179" s="432"/>
    </row>
    <row r="180" spans="2:13" ht="18" x14ac:dyDescent="0.25">
      <c r="B180" s="447"/>
      <c r="G180" s="288" t="s">
        <v>1045</v>
      </c>
      <c r="H180" s="543">
        <v>0</v>
      </c>
      <c r="K180" s="448"/>
      <c r="M180" s="432"/>
    </row>
    <row r="181" spans="2:13" ht="18" x14ac:dyDescent="0.25">
      <c r="B181" s="447"/>
      <c r="G181" s="288" t="s">
        <v>1044</v>
      </c>
      <c r="H181" s="543">
        <f>IF(N172=0,1/2,3/4)*(D171/(D174*Q170))</f>
        <v>1.476510067114094</v>
      </c>
      <c r="K181" s="448"/>
      <c r="M181" s="432"/>
    </row>
    <row r="182" spans="2:13" x14ac:dyDescent="0.25">
      <c r="B182" s="447"/>
      <c r="C182" s="535" t="str">
        <f>IF(Configuration!Y4="EN","Stresses due to bending moment MEd","Contraintes dues au moment fléchissant MEd")</f>
        <v>Contraintes dues au moment fléchissant MEd</v>
      </c>
      <c r="D182" s="288"/>
      <c r="E182" s="543"/>
      <c r="F182" s="514"/>
      <c r="G182" s="288"/>
      <c r="H182" s="543"/>
      <c r="K182" s="448"/>
      <c r="M182" s="432"/>
    </row>
    <row r="183" spans="2:13" ht="18" x14ac:dyDescent="0.25">
      <c r="B183" s="447"/>
      <c r="D183" s="288" t="s">
        <v>1035</v>
      </c>
      <c r="E183" s="543">
        <f>(SQRT(2)/2)*(D172/(Q170*D174^2/3000))</f>
        <v>0</v>
      </c>
      <c r="F183" s="514"/>
      <c r="G183" s="288" t="s">
        <v>1036</v>
      </c>
      <c r="H183" s="543">
        <v>0</v>
      </c>
      <c r="K183" s="448"/>
      <c r="M183" s="432"/>
    </row>
    <row r="184" spans="2:13" x14ac:dyDescent="0.25">
      <c r="B184" s="447"/>
      <c r="K184" s="448"/>
      <c r="M184" s="432"/>
    </row>
    <row r="185" spans="2:13" x14ac:dyDescent="0.25">
      <c r="B185" s="447"/>
      <c r="C185" s="432" t="str">
        <f>IF(Configuration!Y4="EN","Weld Check","Vérification des Cordons")</f>
        <v>Vérification des Cordons</v>
      </c>
      <c r="K185" s="448"/>
      <c r="M185" s="432"/>
    </row>
    <row r="186" spans="2:13" x14ac:dyDescent="0.25">
      <c r="B186" s="447"/>
      <c r="C186" s="535" t="str">
        <f>IF(Configuration!Y4="EN","Point A: Upper end","Point A : Extrémité supérieure")</f>
        <v>Point A : Extrémité supérieure</v>
      </c>
      <c r="K186" s="448"/>
      <c r="M186" s="432"/>
    </row>
    <row r="187" spans="2:13" ht="18" x14ac:dyDescent="0.25">
      <c r="B187" s="447"/>
      <c r="C187" s="432"/>
      <c r="D187" s="288" t="s">
        <v>1037</v>
      </c>
      <c r="E187" s="543">
        <f>E177-E183</f>
        <v>0.94913661904234581</v>
      </c>
      <c r="G187" s="288" t="s">
        <v>1040</v>
      </c>
      <c r="H187" s="543">
        <f>E177-E183</f>
        <v>0.94913661904234581</v>
      </c>
      <c r="K187" s="448"/>
      <c r="M187" s="432"/>
    </row>
    <row r="188" spans="2:13" ht="18" x14ac:dyDescent="0.25">
      <c r="B188" s="447"/>
      <c r="D188" s="288" t="s">
        <v>1046</v>
      </c>
      <c r="E188" s="543">
        <f>SQRT(E187^2+3*(H187^2+H179^2))</f>
        <v>1.8982732380846916</v>
      </c>
      <c r="F188" s="394" t="str">
        <f>IF(E188&lt;=H188,"&lt;","&gt;")</f>
        <v>&lt;</v>
      </c>
      <c r="G188" s="541" t="s">
        <v>819</v>
      </c>
      <c r="H188" s="543">
        <f>T171/(U171*G_M2)</f>
        <v>40.470588235294116</v>
      </c>
      <c r="J188" s="544">
        <f>ABS(E188/H188)</f>
        <v>4.6905007336395001E-2</v>
      </c>
      <c r="K188" s="448"/>
      <c r="M188" s="432"/>
    </row>
    <row r="189" spans="2:13" ht="18" x14ac:dyDescent="0.25">
      <c r="B189" s="447"/>
      <c r="C189" s="288" t="s">
        <v>720</v>
      </c>
      <c r="D189" s="288" t="s">
        <v>1047</v>
      </c>
      <c r="E189" s="622">
        <f>E187</f>
        <v>0.94913661904234581</v>
      </c>
      <c r="F189" s="394" t="str">
        <f>IF(E189&lt;=H189,"&lt;","&gt;")</f>
        <v>&lt;</v>
      </c>
      <c r="G189" s="288" t="s">
        <v>818</v>
      </c>
      <c r="H189" s="543">
        <f>0.9*T171/G_M2</f>
        <v>30.96</v>
      </c>
      <c r="J189" s="544">
        <f>ABS(E189/H189)</f>
        <v>3.0656867540127447E-2</v>
      </c>
      <c r="K189" s="448"/>
      <c r="M189" s="432"/>
    </row>
    <row r="190" spans="2:13" x14ac:dyDescent="0.25">
      <c r="B190" s="447"/>
      <c r="C190" s="535" t="str">
        <f>IF(Configuration!Y4="EN","Point B: Lower end","Point B : Extrémité inférieure")</f>
        <v>Point B : Extrémité inférieure</v>
      </c>
      <c r="K190" s="448"/>
      <c r="M190" s="432"/>
    </row>
    <row r="191" spans="2:13" ht="18" x14ac:dyDescent="0.25">
      <c r="B191" s="447"/>
      <c r="C191" s="432"/>
      <c r="D191" s="288" t="s">
        <v>1038</v>
      </c>
      <c r="E191" s="543">
        <f>E177+E183</f>
        <v>0.94913661904234581</v>
      </c>
      <c r="G191" s="288" t="s">
        <v>1041</v>
      </c>
      <c r="H191" s="543">
        <f>E177+E183</f>
        <v>0.94913661904234581</v>
      </c>
      <c r="K191" s="448"/>
      <c r="M191" s="432"/>
    </row>
    <row r="192" spans="2:13" ht="18" x14ac:dyDescent="0.25">
      <c r="B192" s="447"/>
      <c r="D192" s="288" t="s">
        <v>1046</v>
      </c>
      <c r="E192" s="543">
        <f>SQRT(E191^2+3*(H191^2+H180^2))</f>
        <v>1.8982732380846916</v>
      </c>
      <c r="F192" s="394" t="str">
        <f>IF(E192&lt;=H192,"&lt;","&gt;")</f>
        <v>&lt;</v>
      </c>
      <c r="G192" s="541" t="s">
        <v>819</v>
      </c>
      <c r="H192" s="543">
        <f>T171/(U171*G_M2)</f>
        <v>40.470588235294116</v>
      </c>
      <c r="J192" s="544">
        <f>ABS(E192/H192)</f>
        <v>4.6905007336395001E-2</v>
      </c>
      <c r="K192" s="448"/>
      <c r="M192" s="432"/>
    </row>
    <row r="193" spans="1:24" ht="18" x14ac:dyDescent="0.25">
      <c r="B193" s="447"/>
      <c r="C193" s="288" t="s">
        <v>720</v>
      </c>
      <c r="D193" s="288" t="s">
        <v>970</v>
      </c>
      <c r="E193" s="622">
        <f>E191</f>
        <v>0.94913661904234581</v>
      </c>
      <c r="F193" s="394" t="str">
        <f>IF(E193&lt;=H193,"&lt;","&gt;")</f>
        <v>&lt;</v>
      </c>
      <c r="G193" s="288" t="s">
        <v>818</v>
      </c>
      <c r="H193" s="543">
        <f>0.9*T171/G_M2</f>
        <v>30.96</v>
      </c>
      <c r="J193" s="544">
        <f>ABS(E193/H193)</f>
        <v>3.0656867540127447E-2</v>
      </c>
      <c r="K193" s="448"/>
      <c r="M193" s="432"/>
    </row>
    <row r="194" spans="1:24" x14ac:dyDescent="0.25">
      <c r="B194" s="447"/>
      <c r="C194" s="535" t="str">
        <f>IF(Configuration!Y4="EN","Point C: Centre of welds","Point C : Centre des cordons")</f>
        <v>Point C : Centre des cordons</v>
      </c>
      <c r="K194" s="448"/>
      <c r="M194" s="432"/>
    </row>
    <row r="195" spans="1:24" ht="18" x14ac:dyDescent="0.25">
      <c r="B195" s="447"/>
      <c r="C195" s="432"/>
      <c r="D195" s="288" t="s">
        <v>1039</v>
      </c>
      <c r="E195" s="543">
        <f>E177</f>
        <v>0.94913661904234581</v>
      </c>
      <c r="G195" s="288" t="s">
        <v>1042</v>
      </c>
      <c r="H195" s="543">
        <f>E177</f>
        <v>0.94913661904234581</v>
      </c>
      <c r="K195" s="448"/>
      <c r="M195" s="432"/>
    </row>
    <row r="196" spans="1:24" ht="18" x14ac:dyDescent="0.25">
      <c r="B196" s="447"/>
      <c r="D196" s="288" t="s">
        <v>1046</v>
      </c>
      <c r="E196" s="543">
        <f>SQRT(E195^2+3*(H195^2+H181^2))</f>
        <v>3.1849155752227309</v>
      </c>
      <c r="F196" s="394" t="str">
        <f>IF(E196&lt;=H196,"&lt;","&gt;")</f>
        <v>&lt;</v>
      </c>
      <c r="G196" s="541" t="s">
        <v>819</v>
      </c>
      <c r="H196" s="543">
        <f>T171/(U171*G_M2)</f>
        <v>40.470588235294116</v>
      </c>
      <c r="J196" s="544">
        <f>ABS(E196/H196)</f>
        <v>7.8697041829631442E-2</v>
      </c>
      <c r="K196" s="448"/>
      <c r="M196" s="432"/>
    </row>
    <row r="197" spans="1:24" ht="18" x14ac:dyDescent="0.25">
      <c r="B197" s="447"/>
      <c r="C197" s="288" t="s">
        <v>720</v>
      </c>
      <c r="D197" s="288" t="s">
        <v>1047</v>
      </c>
      <c r="E197" s="622">
        <f>E195</f>
        <v>0.94913661904234581</v>
      </c>
      <c r="F197" s="394" t="str">
        <f>IF(E197&lt;=H197,"&lt;","&gt;")</f>
        <v>&lt;</v>
      </c>
      <c r="G197" s="288" t="s">
        <v>818</v>
      </c>
      <c r="H197" s="543">
        <f>0.9*T171/G_M2</f>
        <v>30.96</v>
      </c>
      <c r="J197" s="544">
        <f>ABS(E197/H197)</f>
        <v>3.0656867540127447E-2</v>
      </c>
      <c r="K197" s="448"/>
      <c r="M197" s="432"/>
    </row>
    <row r="198" spans="1:24" x14ac:dyDescent="0.25">
      <c r="B198" s="447"/>
      <c r="K198" s="448"/>
    </row>
    <row r="199" spans="1:24" x14ac:dyDescent="0.25">
      <c r="B199" s="447"/>
      <c r="K199" s="448"/>
    </row>
    <row r="200" spans="1:24" x14ac:dyDescent="0.25">
      <c r="B200" s="447"/>
      <c r="C200" s="1019" t="s">
        <v>809</v>
      </c>
      <c r="D200" s="1019"/>
      <c r="E200" s="1019"/>
      <c r="F200" s="1019"/>
      <c r="G200" s="1019"/>
      <c r="H200" s="1019"/>
      <c r="I200" s="1019"/>
      <c r="J200" s="1019"/>
      <c r="K200" s="455"/>
      <c r="L200" s="359"/>
      <c r="M200" s="359"/>
    </row>
    <row r="201" spans="1:24" ht="15.75" thickBot="1" x14ac:dyDescent="0.3">
      <c r="A201" s="377">
        <v>10</v>
      </c>
      <c r="B201" s="447"/>
      <c r="C201" s="432" t="str">
        <f>IF(Configuration!Y4="EN","Welded assembly of a rectangular hollow section","Assemblage soudé d'un profils creux rectangulaire")</f>
        <v>Assemblage soudé d'un profils creux rectangulaire</v>
      </c>
      <c r="K201" s="448"/>
      <c r="M201" s="432" t="s">
        <v>960</v>
      </c>
    </row>
    <row r="202" spans="1:24" ht="18" x14ac:dyDescent="0.35">
      <c r="B202" s="447"/>
      <c r="C202" s="540" t="str">
        <f>IF(Configuration!Y4="EN","Steel "&amp;N205&amp;" - βw= "&amp;X203&amp;" - ah= "&amp;T202&amp;" mm - ab= "&amp;T203&amp;" mm","Acier "&amp;N205&amp;" - βw= "&amp;X203&amp;" - ah= "&amp;T202&amp;" mm - ab= "&amp;T203&amp;" mm")</f>
        <v>Acier S235 - βw= 0.8 - ah= 3 mm - ab= 3 mm</v>
      </c>
      <c r="K202" s="448"/>
      <c r="M202" s="388" t="s">
        <v>814</v>
      </c>
      <c r="N202" s="684">
        <v>0</v>
      </c>
      <c r="O202" s="389" t="s">
        <v>632</v>
      </c>
      <c r="P202" s="390" t="s">
        <v>1095</v>
      </c>
      <c r="Q202" s="684">
        <v>0</v>
      </c>
      <c r="R202" s="389" t="s">
        <v>514</v>
      </c>
      <c r="S202" s="390" t="s">
        <v>1127</v>
      </c>
      <c r="T202" s="684">
        <v>3</v>
      </c>
      <c r="U202" s="389" t="s">
        <v>240</v>
      </c>
      <c r="V202" s="536" t="s">
        <v>424</v>
      </c>
      <c r="W202" s="536" t="s">
        <v>425</v>
      </c>
      <c r="X202" s="425" t="s">
        <v>426</v>
      </c>
    </row>
    <row r="203" spans="1:24" ht="18.75" thickBot="1" x14ac:dyDescent="0.4">
      <c r="B203" s="447"/>
      <c r="C203" s="392" t="s">
        <v>814</v>
      </c>
      <c r="D203" s="377">
        <f>N202</f>
        <v>0</v>
      </c>
      <c r="E203" s="387" t="s">
        <v>632</v>
      </c>
      <c r="K203" s="448"/>
      <c r="M203" s="391" t="s">
        <v>1096</v>
      </c>
      <c r="N203" s="687">
        <v>0</v>
      </c>
      <c r="O203" s="387" t="s">
        <v>632</v>
      </c>
      <c r="P203" s="392" t="s">
        <v>1093</v>
      </c>
      <c r="Q203" s="687">
        <v>0</v>
      </c>
      <c r="R203" s="387" t="s">
        <v>514</v>
      </c>
      <c r="S203" s="392" t="s">
        <v>1092</v>
      </c>
      <c r="T203" s="687">
        <v>3</v>
      </c>
      <c r="U203" s="387" t="s">
        <v>240</v>
      </c>
      <c r="V203" s="538">
        <f>VLOOKUP(N205,Data!$A$3:$D$34,2)</f>
        <v>23.5</v>
      </c>
      <c r="W203" s="538">
        <f>VLOOKUP(N205,Data!$A$3:$D$34,3)</f>
        <v>36</v>
      </c>
      <c r="X203" s="539">
        <f>VLOOKUP(N205,Data!$A$3:$D$34,4)</f>
        <v>0.8</v>
      </c>
    </row>
    <row r="204" spans="1:24" ht="18.75" thickBot="1" x14ac:dyDescent="0.4">
      <c r="B204" s="447"/>
      <c r="C204" s="392" t="s">
        <v>1096</v>
      </c>
      <c r="D204" s="377">
        <f>N203</f>
        <v>0</v>
      </c>
      <c r="E204" s="387" t="s">
        <v>632</v>
      </c>
      <c r="K204" s="448"/>
      <c r="M204" s="391" t="s">
        <v>842</v>
      </c>
      <c r="N204" s="687">
        <v>0</v>
      </c>
      <c r="O204" s="387" t="s">
        <v>632</v>
      </c>
      <c r="P204" s="396" t="s">
        <v>1094</v>
      </c>
      <c r="Q204" s="686">
        <v>0</v>
      </c>
      <c r="R204" s="395" t="s">
        <v>514</v>
      </c>
      <c r="S204" s="392" t="s">
        <v>1128</v>
      </c>
      <c r="T204" s="687">
        <v>250</v>
      </c>
      <c r="U204" s="393" t="s">
        <v>240</v>
      </c>
    </row>
    <row r="205" spans="1:24" ht="18.75" thickBot="1" x14ac:dyDescent="0.4">
      <c r="B205" s="447"/>
      <c r="C205" s="392" t="s">
        <v>842</v>
      </c>
      <c r="D205" s="377">
        <f>N204</f>
        <v>0</v>
      </c>
      <c r="E205" s="387" t="s">
        <v>632</v>
      </c>
      <c r="K205" s="448"/>
      <c r="M205" s="537" t="s">
        <v>423</v>
      </c>
      <c r="N205" s="685" t="s">
        <v>435</v>
      </c>
      <c r="O205" s="520"/>
      <c r="S205" s="537" t="s">
        <v>1129</v>
      </c>
      <c r="T205" s="686">
        <v>150</v>
      </c>
      <c r="U205" s="397" t="s">
        <v>240</v>
      </c>
    </row>
    <row r="206" spans="1:24" ht="18" x14ac:dyDescent="0.35">
      <c r="B206" s="447"/>
      <c r="C206" s="392" t="s">
        <v>1095</v>
      </c>
      <c r="D206" s="377">
        <f>Q202</f>
        <v>0</v>
      </c>
      <c r="E206" s="387" t="s">
        <v>514</v>
      </c>
      <c r="K206" s="448"/>
      <c r="M206" s="542" t="s">
        <v>820</v>
      </c>
      <c r="S206" s="382"/>
      <c r="T206" s="626"/>
      <c r="U206" s="387"/>
    </row>
    <row r="207" spans="1:24" ht="18" x14ac:dyDescent="0.35">
      <c r="B207" s="447"/>
      <c r="C207" s="392" t="s">
        <v>1093</v>
      </c>
      <c r="D207" s="377">
        <f>Q203</f>
        <v>0</v>
      </c>
      <c r="E207" s="387" t="s">
        <v>514</v>
      </c>
      <c r="K207" s="448"/>
      <c r="P207" s="392"/>
      <c r="Q207" s="626"/>
      <c r="R207" s="387"/>
    </row>
    <row r="208" spans="1:24" ht="18" x14ac:dyDescent="0.35">
      <c r="B208" s="447"/>
      <c r="C208" s="392" t="s">
        <v>1094</v>
      </c>
      <c r="D208" s="377">
        <f>Q204</f>
        <v>0</v>
      </c>
      <c r="E208" s="387" t="s">
        <v>514</v>
      </c>
      <c r="K208" s="448"/>
      <c r="P208" s="392"/>
      <c r="Q208" s="626"/>
      <c r="R208" s="387"/>
    </row>
    <row r="209" spans="2:18" x14ac:dyDescent="0.25">
      <c r="B209" s="447"/>
      <c r="K209" s="448"/>
      <c r="P209" s="392"/>
      <c r="Q209" s="626"/>
      <c r="R209" s="387"/>
    </row>
    <row r="210" spans="2:18" x14ac:dyDescent="0.25">
      <c r="B210" s="447"/>
      <c r="C210" s="535" t="str">
        <f>IF(Configuration!Y4="EN","Calculation parameters","Paramètres de calcul")</f>
        <v>Paramètres de calcul</v>
      </c>
      <c r="K210" s="448"/>
      <c r="M210" s="432"/>
    </row>
    <row r="211" spans="2:18" x14ac:dyDescent="0.25">
      <c r="B211" s="447"/>
      <c r="C211" s="630" t="str">
        <f>IF(Configuration!Y4="EN","Weld spacing","Entraxes des cordons")</f>
        <v>Entraxes des cordons</v>
      </c>
      <c r="K211" s="448"/>
      <c r="M211" s="432"/>
    </row>
    <row r="212" spans="2:18" x14ac:dyDescent="0.25">
      <c r="B212" s="447"/>
      <c r="D212" s="288" t="s">
        <v>1102</v>
      </c>
      <c r="E212" s="557">
        <f>T205+T202/(SQRT(2))</f>
        <v>152.12132034355963</v>
      </c>
      <c r="G212" s="288" t="s">
        <v>1103</v>
      </c>
      <c r="H212" s="557">
        <f>T204+T203/(SQRT(2))</f>
        <v>252.12132034355963</v>
      </c>
      <c r="K212" s="448"/>
      <c r="M212" s="432"/>
    </row>
    <row r="213" spans="2:18" x14ac:dyDescent="0.25">
      <c r="B213" s="447"/>
      <c r="C213" s="630" t="str">
        <f>IF(Configuration!Y4="EN","Section moduli","Modules de flexion")</f>
        <v>Modules de flexion</v>
      </c>
      <c r="K213" s="448"/>
      <c r="M213" s="432"/>
    </row>
    <row r="214" spans="2:18" ht="18" x14ac:dyDescent="0.25">
      <c r="B214" s="447"/>
      <c r="D214" s="288" t="s">
        <v>1104</v>
      </c>
      <c r="E214" s="631">
        <f>0.001*T203*T205*H212</f>
        <v>113.45459415460184</v>
      </c>
      <c r="G214" s="288" t="s">
        <v>1105</v>
      </c>
      <c r="H214" s="631">
        <f>0.001*T202*T204*E212</f>
        <v>114.09099025766972</v>
      </c>
      <c r="K214" s="448"/>
      <c r="M214" s="432"/>
    </row>
    <row r="215" spans="2:18" x14ac:dyDescent="0.25">
      <c r="B215" s="447"/>
      <c r="K215" s="448"/>
      <c r="M215" s="432"/>
    </row>
    <row r="216" spans="2:18" x14ac:dyDescent="0.25">
      <c r="B216" s="447"/>
      <c r="C216" s="535" t="str">
        <f>IF(Configuration!Y4="EN","Stresses due to axial force NEd","Contraintes dues à l'effort normal NEd")</f>
        <v>Contraintes dues à l'effort normal NEd</v>
      </c>
      <c r="F216" s="514"/>
      <c r="G216" s="533"/>
      <c r="K216" s="448"/>
      <c r="M216" s="432"/>
    </row>
    <row r="217" spans="2:18" ht="18" x14ac:dyDescent="0.25">
      <c r="B217" s="447"/>
      <c r="D217" s="288" t="s">
        <v>1032</v>
      </c>
      <c r="E217" s="543">
        <f>(SQRT(2)/2)*(D203/(2*(T205*T203+T204*T202)))</f>
        <v>0</v>
      </c>
      <c r="F217" s="514"/>
      <c r="G217" s="288" t="s">
        <v>1033</v>
      </c>
      <c r="H217" s="543">
        <v>0</v>
      </c>
      <c r="K217" s="448"/>
      <c r="M217" s="432"/>
    </row>
    <row r="218" spans="2:18" x14ac:dyDescent="0.25">
      <c r="B218" s="447"/>
      <c r="C218" s="535" t="str">
        <f>IF(Configuration!Y4="EN","Stresses due to shear force Vy,Ed","Contraintes dues à l'effort tranchant Vy,Ed")</f>
        <v>Contraintes dues à l'effort tranchant Vy,Ed</v>
      </c>
      <c r="F218" s="514"/>
      <c r="G218" s="533"/>
      <c r="K218" s="448"/>
      <c r="M218" s="432"/>
    </row>
    <row r="219" spans="2:18" ht="18" x14ac:dyDescent="0.25">
      <c r="B219" s="447"/>
      <c r="D219" s="288" t="s">
        <v>1106</v>
      </c>
      <c r="E219" s="543">
        <v>0</v>
      </c>
      <c r="F219" s="514"/>
      <c r="G219" s="288" t="s">
        <v>1107</v>
      </c>
      <c r="H219" s="543">
        <f>D204/(2*T205*T203)</f>
        <v>0</v>
      </c>
      <c r="K219" s="448"/>
      <c r="M219" s="432"/>
    </row>
    <row r="220" spans="2:18" x14ac:dyDescent="0.25">
      <c r="B220" s="447"/>
      <c r="C220" s="535" t="str">
        <f>IF(Configuration!Y4="EN","Stresses due to shear force Vz,Ed","Contraintes dues à l'effort tranchant Vz,Ed")</f>
        <v>Contraintes dues à l'effort tranchant Vz,Ed</v>
      </c>
      <c r="F220" s="514"/>
      <c r="G220" s="533"/>
      <c r="K220" s="448"/>
      <c r="M220" s="432"/>
    </row>
    <row r="221" spans="2:18" ht="18" x14ac:dyDescent="0.25">
      <c r="B221" s="447"/>
      <c r="D221" s="288" t="s">
        <v>1108</v>
      </c>
      <c r="E221" s="543">
        <v>0</v>
      </c>
      <c r="F221" s="514"/>
      <c r="G221" s="288" t="s">
        <v>1109</v>
      </c>
      <c r="H221" s="543">
        <f>D205/(2*T204*T202)</f>
        <v>0</v>
      </c>
      <c r="K221" s="448"/>
      <c r="M221" s="432"/>
    </row>
    <row r="222" spans="2:18" x14ac:dyDescent="0.25">
      <c r="B222" s="447"/>
      <c r="C222" s="535" t="str">
        <f>IF(Configuration!Y4="EN","Stresses due to torsional moment Mx,Ed","Contraintes dues au moment de torsion Mx,Ed")</f>
        <v>Contraintes dues au moment de torsion Mx,Ed</v>
      </c>
      <c r="D222" s="288"/>
      <c r="E222" s="543"/>
      <c r="F222" s="514"/>
      <c r="G222" s="288"/>
      <c r="H222" s="543"/>
      <c r="K222" s="448"/>
      <c r="M222" s="432"/>
    </row>
    <row r="223" spans="2:18" x14ac:dyDescent="0.25">
      <c r="B223" s="447"/>
      <c r="C223" s="630" t="str">
        <f>IF(Configuration!Y4="EN","Shear flow in horizontal welds","Flux de cillaillement dans les cordons horizontaux")</f>
        <v>Flux de cillaillement dans les cordons horizontaux</v>
      </c>
      <c r="K223" s="448"/>
      <c r="M223" s="432"/>
    </row>
    <row r="224" spans="2:18" ht="18" x14ac:dyDescent="0.25">
      <c r="B224" s="447"/>
      <c r="D224" s="288" t="s">
        <v>1117</v>
      </c>
      <c r="E224" s="543">
        <v>0</v>
      </c>
      <c r="F224" s="514"/>
      <c r="G224" s="288" t="s">
        <v>1116</v>
      </c>
      <c r="H224" s="543">
        <f>1000*D206/(2*T203*E212*H212)</f>
        <v>0</v>
      </c>
      <c r="K224" s="448"/>
      <c r="M224" s="432"/>
    </row>
    <row r="225" spans="2:13" x14ac:dyDescent="0.25">
      <c r="B225" s="447"/>
      <c r="C225" s="630" t="str">
        <f>IF(Configuration!Y4="EN","Shear flow in vertical welds","Flux de cillaillement dans les cordons verticaux")</f>
        <v>Flux de cillaillement dans les cordons verticaux</v>
      </c>
      <c r="K225" s="448"/>
      <c r="M225" s="432"/>
    </row>
    <row r="226" spans="2:13" ht="18" x14ac:dyDescent="0.25">
      <c r="B226" s="447"/>
      <c r="D226" s="288" t="s">
        <v>1125</v>
      </c>
      <c r="E226" s="543">
        <v>0</v>
      </c>
      <c r="F226" s="514"/>
      <c r="G226" s="288" t="s">
        <v>1124</v>
      </c>
      <c r="H226" s="543">
        <f>1000*D206/(2*T202*E212*H212)</f>
        <v>0</v>
      </c>
      <c r="K226" s="448"/>
      <c r="M226" s="432"/>
    </row>
    <row r="227" spans="2:13" x14ac:dyDescent="0.25">
      <c r="B227" s="447"/>
      <c r="C227" s="535" t="str">
        <f>IF(Configuration!Y4="EN","Stresses due to bending moment My,Ed","Contraintes dues au moment fléchissant My,Ed")</f>
        <v>Contraintes dues au moment fléchissant My,Ed</v>
      </c>
      <c r="D227" s="288"/>
      <c r="E227" s="543"/>
      <c r="F227" s="514"/>
      <c r="G227" s="288"/>
      <c r="H227" s="543"/>
      <c r="K227" s="448"/>
      <c r="M227" s="432"/>
    </row>
    <row r="228" spans="2:13" ht="18" x14ac:dyDescent="0.25">
      <c r="B228" s="447"/>
      <c r="D228" s="288" t="s">
        <v>1110</v>
      </c>
      <c r="E228" s="543">
        <f>(SQRT(2)/2)*(D207/E214)</f>
        <v>0</v>
      </c>
      <c r="F228" s="514"/>
      <c r="G228" s="288" t="s">
        <v>1111</v>
      </c>
      <c r="H228" s="543">
        <v>0</v>
      </c>
      <c r="K228" s="448"/>
      <c r="M228" s="432"/>
    </row>
    <row r="229" spans="2:13" x14ac:dyDescent="0.25">
      <c r="B229" s="447"/>
      <c r="C229" s="535" t="str">
        <f>IF(Configuration!Y4="EN","Stresses due to bending moment Mz,Ed","Contraintes dues au moment fléchissant Mz,Ed")</f>
        <v>Contraintes dues au moment fléchissant Mz,Ed</v>
      </c>
      <c r="D229" s="288"/>
      <c r="E229" s="543"/>
      <c r="F229" s="514"/>
      <c r="G229" s="288"/>
      <c r="H229" s="543"/>
      <c r="K229" s="448"/>
      <c r="M229" s="432"/>
    </row>
    <row r="230" spans="2:13" ht="18" x14ac:dyDescent="0.25">
      <c r="B230" s="447"/>
      <c r="D230" s="288" t="s">
        <v>1113</v>
      </c>
      <c r="E230" s="543">
        <f>(SQRT(2)/2)*(D208/H214)</f>
        <v>0</v>
      </c>
      <c r="F230" s="514"/>
      <c r="G230" s="288" t="s">
        <v>1112</v>
      </c>
      <c r="H230" s="543">
        <v>0</v>
      </c>
      <c r="K230" s="448"/>
      <c r="M230" s="432"/>
    </row>
    <row r="231" spans="2:13" x14ac:dyDescent="0.25">
      <c r="B231" s="447"/>
      <c r="C231" s="432"/>
      <c r="K231" s="448"/>
      <c r="M231" s="432"/>
    </row>
    <row r="232" spans="2:13" x14ac:dyDescent="0.25">
      <c r="B232" s="447"/>
      <c r="C232" s="432" t="str">
        <f>IF(Configuration!Y4="EN","Weld Check","Vérification des Cordons")</f>
        <v>Vérification des Cordons</v>
      </c>
      <c r="K232" s="448"/>
      <c r="M232" s="432"/>
    </row>
    <row r="233" spans="2:13" x14ac:dyDescent="0.25">
      <c r="B233" s="447"/>
      <c r="C233" s="535" t="str">
        <f>IF(Configuration!Y4="EN","Point A: Upper flange","Point A : Semelle supérieure")</f>
        <v>Point A : Semelle supérieure</v>
      </c>
      <c r="K233" s="448"/>
      <c r="M233" s="432"/>
    </row>
    <row r="234" spans="2:13" ht="18" x14ac:dyDescent="0.25">
      <c r="B234" s="447"/>
      <c r="C234" s="432"/>
      <c r="D234" s="288" t="s">
        <v>1114</v>
      </c>
      <c r="E234" s="543">
        <f>E217-E228</f>
        <v>0</v>
      </c>
      <c r="G234" s="288" t="s">
        <v>1123</v>
      </c>
      <c r="H234" s="543">
        <f>H219-H224</f>
        <v>0</v>
      </c>
      <c r="K234" s="448"/>
      <c r="M234" s="432"/>
    </row>
    <row r="235" spans="2:13" ht="18" x14ac:dyDescent="0.25">
      <c r="B235" s="447"/>
      <c r="D235" s="288" t="s">
        <v>1115</v>
      </c>
      <c r="E235" s="543">
        <f>E217-E228</f>
        <v>0</v>
      </c>
      <c r="K235" s="448"/>
      <c r="M235" s="432"/>
    </row>
    <row r="236" spans="2:13" ht="18" x14ac:dyDescent="0.25">
      <c r="B236" s="447"/>
      <c r="D236" s="288" t="s">
        <v>1046</v>
      </c>
      <c r="E236" s="543">
        <f>SQRT(E234^2+3*(E235^2+H234^2))</f>
        <v>0</v>
      </c>
      <c r="F236" s="394" t="str">
        <f>IF(E236&lt;=H236,"&lt;","&gt;")</f>
        <v>&lt;</v>
      </c>
      <c r="G236" s="541" t="s">
        <v>819</v>
      </c>
      <c r="H236" s="543">
        <f>W203/(X203*G_M2)</f>
        <v>36</v>
      </c>
      <c r="J236" s="544">
        <f>ABS(E236/H236)</f>
        <v>0</v>
      </c>
      <c r="K236" s="448"/>
      <c r="M236" s="432"/>
    </row>
    <row r="237" spans="2:13" ht="18" x14ac:dyDescent="0.25">
      <c r="B237" s="447"/>
      <c r="C237" s="288" t="s">
        <v>720</v>
      </c>
      <c r="D237" s="288" t="s">
        <v>1047</v>
      </c>
      <c r="E237" s="622">
        <f>E234</f>
        <v>0</v>
      </c>
      <c r="F237" s="394" t="str">
        <f>IF(E237&lt;=H237,"&lt;","&gt;")</f>
        <v>&lt;</v>
      </c>
      <c r="G237" s="288" t="s">
        <v>818</v>
      </c>
      <c r="H237" s="543">
        <f>0.9*W203/G_M2</f>
        <v>25.919999999999998</v>
      </c>
      <c r="J237" s="544">
        <f>ABS(E237/H237)</f>
        <v>0</v>
      </c>
      <c r="K237" s="448"/>
      <c r="M237" s="432"/>
    </row>
    <row r="238" spans="2:13" x14ac:dyDescent="0.25">
      <c r="B238" s="447"/>
      <c r="C238" s="535" t="str">
        <f>IF(Configuration!Y4="EN","Point B: Lower flange","Point B : Semelle inférieure")</f>
        <v>Point B : Semelle inférieure</v>
      </c>
      <c r="K238" s="448"/>
      <c r="M238" s="432"/>
    </row>
    <row r="239" spans="2:13" ht="18" x14ac:dyDescent="0.25">
      <c r="B239" s="447"/>
      <c r="C239" s="432"/>
      <c r="D239" s="288" t="s">
        <v>1118</v>
      </c>
      <c r="E239" s="543">
        <f>E217+E228</f>
        <v>0</v>
      </c>
      <c r="G239" s="288" t="s">
        <v>1122</v>
      </c>
      <c r="H239" s="543">
        <f>H219+H224</f>
        <v>0</v>
      </c>
      <c r="K239" s="448"/>
      <c r="M239" s="432"/>
    </row>
    <row r="240" spans="2:13" ht="18" x14ac:dyDescent="0.25">
      <c r="B240" s="447"/>
      <c r="D240" s="288" t="s">
        <v>1119</v>
      </c>
      <c r="E240" s="543">
        <f>E217+E228</f>
        <v>0</v>
      </c>
      <c r="K240" s="448"/>
      <c r="M240" s="432"/>
    </row>
    <row r="241" spans="1:24" ht="18" x14ac:dyDescent="0.25">
      <c r="B241" s="447"/>
      <c r="D241" s="288" t="s">
        <v>1046</v>
      </c>
      <c r="E241" s="543">
        <f>SQRT(E239^2+3*(E240^2+H239^2))</f>
        <v>0</v>
      </c>
      <c r="F241" s="394" t="str">
        <f>IF(E241&lt;=H241,"&lt;","&gt;")</f>
        <v>&lt;</v>
      </c>
      <c r="G241" s="541" t="s">
        <v>819</v>
      </c>
      <c r="H241" s="543">
        <f>W203/(X203*G_M2)</f>
        <v>36</v>
      </c>
      <c r="J241" s="544">
        <f>ABS(E241/H241)</f>
        <v>0</v>
      </c>
      <c r="K241" s="448"/>
      <c r="M241" s="432"/>
    </row>
    <row r="242" spans="1:24" ht="18" x14ac:dyDescent="0.25">
      <c r="B242" s="447"/>
      <c r="C242" s="288" t="s">
        <v>720</v>
      </c>
      <c r="D242" s="288" t="s">
        <v>1047</v>
      </c>
      <c r="E242" s="622">
        <f>E239</f>
        <v>0</v>
      </c>
      <c r="F242" s="394" t="str">
        <f>IF(E242&lt;=H242,"&lt;","&gt;")</f>
        <v>&lt;</v>
      </c>
      <c r="G242" s="288" t="s">
        <v>818</v>
      </c>
      <c r="H242" s="543">
        <f>0.9*W203/G_M2</f>
        <v>25.919999999999998</v>
      </c>
      <c r="J242" s="544">
        <f>ABS(E242/H242)</f>
        <v>0</v>
      </c>
      <c r="K242" s="448"/>
      <c r="M242" s="432"/>
    </row>
    <row r="243" spans="1:24" x14ac:dyDescent="0.25">
      <c r="B243" s="447"/>
      <c r="C243" s="535" t="str">
        <f>IF(Configuration!Y4="EN","Point C: Left side web","Point C : Âme côté gauche")</f>
        <v>Point C : Âme côté gauche</v>
      </c>
      <c r="K243" s="448"/>
      <c r="M243" s="432"/>
    </row>
    <row r="244" spans="1:24" ht="18" x14ac:dyDescent="0.25">
      <c r="B244" s="447"/>
      <c r="C244" s="432"/>
      <c r="D244" s="288" t="s">
        <v>1120</v>
      </c>
      <c r="E244" s="543">
        <f>E217+E230</f>
        <v>0</v>
      </c>
      <c r="G244" s="288" t="s">
        <v>1126</v>
      </c>
      <c r="H244" s="543">
        <f>H221-H226</f>
        <v>0</v>
      </c>
      <c r="K244" s="448"/>
      <c r="M244" s="432"/>
    </row>
    <row r="245" spans="1:24" ht="18" x14ac:dyDescent="0.25">
      <c r="B245" s="447"/>
      <c r="D245" s="288" t="s">
        <v>1121</v>
      </c>
      <c r="E245" s="543">
        <f>E217+E230</f>
        <v>0</v>
      </c>
      <c r="K245" s="448"/>
      <c r="M245" s="432"/>
    </row>
    <row r="246" spans="1:24" ht="18" x14ac:dyDescent="0.25">
      <c r="B246" s="447"/>
      <c r="D246" s="288" t="s">
        <v>1046</v>
      </c>
      <c r="E246" s="543">
        <f>SQRT(E244^2+3*(E245^2+H244^2))</f>
        <v>0</v>
      </c>
      <c r="F246" s="394" t="str">
        <f>IF(E246&lt;=H246,"&lt;","&gt;")</f>
        <v>&lt;</v>
      </c>
      <c r="G246" s="541" t="s">
        <v>819</v>
      </c>
      <c r="H246" s="543">
        <f>W203/(X203*G_M2)</f>
        <v>36</v>
      </c>
      <c r="J246" s="544">
        <f>ABS(E246/H246)</f>
        <v>0</v>
      </c>
      <c r="K246" s="448"/>
      <c r="M246" s="432"/>
    </row>
    <row r="247" spans="1:24" ht="18" x14ac:dyDescent="0.25">
      <c r="B247" s="447"/>
      <c r="C247" s="288" t="s">
        <v>720</v>
      </c>
      <c r="D247" s="288" t="s">
        <v>1047</v>
      </c>
      <c r="E247" s="622">
        <f>E244</f>
        <v>0</v>
      </c>
      <c r="F247" s="394" t="str">
        <f>IF(E247&lt;=H247,"&lt;","&gt;")</f>
        <v>&lt;</v>
      </c>
      <c r="G247" s="288" t="s">
        <v>818</v>
      </c>
      <c r="H247" s="543">
        <f>0.9*W203/G_M2</f>
        <v>25.919999999999998</v>
      </c>
      <c r="J247" s="544">
        <f>ABS(E247/H247)</f>
        <v>0</v>
      </c>
      <c r="K247" s="448"/>
      <c r="M247" s="432"/>
    </row>
    <row r="248" spans="1:24" x14ac:dyDescent="0.25">
      <c r="B248" s="447"/>
      <c r="C248" s="535" t="str">
        <f>IF(Configuration!Y4="EN","Point D: Right side web","Point D : Âme côté droit")</f>
        <v>Point D : Âme côté droit</v>
      </c>
      <c r="K248" s="448"/>
      <c r="M248" s="432"/>
    </row>
    <row r="249" spans="1:24" ht="18" x14ac:dyDescent="0.25">
      <c r="B249" s="447"/>
      <c r="C249" s="432"/>
      <c r="D249" s="288" t="s">
        <v>1130</v>
      </c>
      <c r="E249" s="543">
        <f>E217-E230</f>
        <v>0</v>
      </c>
      <c r="G249" s="288" t="s">
        <v>1132</v>
      </c>
      <c r="H249" s="543">
        <f>H221+H226</f>
        <v>0</v>
      </c>
      <c r="K249" s="448"/>
      <c r="M249" s="432"/>
    </row>
    <row r="250" spans="1:24" ht="18" x14ac:dyDescent="0.25">
      <c r="B250" s="447"/>
      <c r="D250" s="288" t="s">
        <v>1131</v>
      </c>
      <c r="E250" s="543">
        <f>E217-E230</f>
        <v>0</v>
      </c>
      <c r="K250" s="448"/>
      <c r="M250" s="432"/>
    </row>
    <row r="251" spans="1:24" ht="18" x14ac:dyDescent="0.25">
      <c r="B251" s="447"/>
      <c r="D251" s="288" t="s">
        <v>1046</v>
      </c>
      <c r="E251" s="543">
        <f>SQRT(E249^2+3*(E250^2+H249^2))</f>
        <v>0</v>
      </c>
      <c r="F251" s="394" t="str">
        <f>IF(E251&lt;=H251,"&lt;","&gt;")</f>
        <v>&lt;</v>
      </c>
      <c r="G251" s="541" t="s">
        <v>819</v>
      </c>
      <c r="H251" s="543">
        <f>W203/(X203*G_M2)</f>
        <v>36</v>
      </c>
      <c r="J251" s="544">
        <f>ABS(E251/H251)</f>
        <v>0</v>
      </c>
      <c r="K251" s="448"/>
      <c r="M251" s="432"/>
    </row>
    <row r="252" spans="1:24" ht="18" x14ac:dyDescent="0.25">
      <c r="B252" s="447"/>
      <c r="C252" s="288" t="s">
        <v>720</v>
      </c>
      <c r="D252" s="288" t="s">
        <v>1047</v>
      </c>
      <c r="E252" s="622">
        <f>E249</f>
        <v>0</v>
      </c>
      <c r="F252" s="394" t="str">
        <f>IF(E252&lt;=H252,"&lt;","&gt;")</f>
        <v>&lt;</v>
      </c>
      <c r="G252" s="288" t="s">
        <v>818</v>
      </c>
      <c r="H252" s="543">
        <f>0.9*W203/G_M2</f>
        <v>25.919999999999998</v>
      </c>
      <c r="J252" s="544">
        <f>ABS(E252/H252)</f>
        <v>0</v>
      </c>
      <c r="K252" s="448"/>
      <c r="M252" s="432"/>
    </row>
    <row r="253" spans="1:24" x14ac:dyDescent="0.25">
      <c r="B253" s="447"/>
      <c r="C253" s="1019" t="s">
        <v>809</v>
      </c>
      <c r="D253" s="1019"/>
      <c r="E253" s="1019"/>
      <c r="F253" s="1019"/>
      <c r="G253" s="1019"/>
      <c r="H253" s="1019"/>
      <c r="I253" s="1019"/>
      <c r="J253" s="1019"/>
      <c r="K253" s="455"/>
      <c r="L253" s="359"/>
      <c r="M253" s="359"/>
    </row>
    <row r="254" spans="1:24" ht="15.75" thickBot="1" x14ac:dyDescent="0.3">
      <c r="A254" s="377">
        <v>11</v>
      </c>
      <c r="B254" s="447"/>
      <c r="C254" s="432" t="str">
        <f>IF(Configuration!Y4="EN","Welded assembly of a circular hollow section","Assemblage soudé d'un profils creux circulaire")</f>
        <v>Assemblage soudé d'un profils creux circulaire</v>
      </c>
      <c r="K254" s="448"/>
      <c r="M254" s="432" t="s">
        <v>959</v>
      </c>
    </row>
    <row r="255" spans="1:24" ht="18" x14ac:dyDescent="0.35">
      <c r="B255" s="447"/>
      <c r="C255" s="540" t="str">
        <f>IF(Configuration!Y4="EN","Steel "&amp;N258&amp;" - βw= "&amp;X256&amp;" - a= "&amp;T255&amp;" mm","Acier "&amp;N258&amp;" - βw= "&amp;X256&amp;" - a= "&amp;T255&amp;" mm")</f>
        <v>Acier S235 - βw= 0.8 - a= 3 mm</v>
      </c>
      <c r="K255" s="448"/>
      <c r="M255" s="388" t="s">
        <v>814</v>
      </c>
      <c r="N255" s="684">
        <v>0</v>
      </c>
      <c r="O255" s="389" t="s">
        <v>632</v>
      </c>
      <c r="P255" s="390" t="s">
        <v>1095</v>
      </c>
      <c r="Q255" s="684">
        <v>0</v>
      </c>
      <c r="R255" s="389" t="s">
        <v>514</v>
      </c>
      <c r="S255" s="390" t="s">
        <v>682</v>
      </c>
      <c r="T255" s="684">
        <v>3</v>
      </c>
      <c r="U255" s="389" t="s">
        <v>240</v>
      </c>
      <c r="V255" s="536" t="s">
        <v>424</v>
      </c>
      <c r="W255" s="536" t="s">
        <v>425</v>
      </c>
      <c r="X255" s="425" t="s">
        <v>426</v>
      </c>
    </row>
    <row r="256" spans="1:24" ht="18.75" thickBot="1" x14ac:dyDescent="0.4">
      <c r="B256" s="447"/>
      <c r="C256" s="392" t="s">
        <v>814</v>
      </c>
      <c r="D256" s="377">
        <f>N255</f>
        <v>0</v>
      </c>
      <c r="E256" s="387" t="s">
        <v>632</v>
      </c>
      <c r="K256" s="448"/>
      <c r="M256" s="391" t="s">
        <v>1096</v>
      </c>
      <c r="N256" s="687">
        <v>0</v>
      </c>
      <c r="O256" s="387" t="s">
        <v>632</v>
      </c>
      <c r="P256" s="392" t="s">
        <v>1093</v>
      </c>
      <c r="Q256" s="687">
        <v>0</v>
      </c>
      <c r="R256" s="387" t="s">
        <v>514</v>
      </c>
      <c r="S256" s="396" t="s">
        <v>733</v>
      </c>
      <c r="T256" s="686">
        <v>120</v>
      </c>
      <c r="U256" s="395" t="s">
        <v>240</v>
      </c>
      <c r="V256" s="538">
        <f>VLOOKUP(N258,Data!$A$3:$D$34,2)</f>
        <v>23.5</v>
      </c>
      <c r="W256" s="538">
        <f>VLOOKUP(N258,Data!$A$3:$D$34,3)</f>
        <v>36</v>
      </c>
      <c r="X256" s="539">
        <f>VLOOKUP(N258,Data!$A$3:$D$34,4)</f>
        <v>0.8</v>
      </c>
    </row>
    <row r="257" spans="2:21" ht="18.75" thickBot="1" x14ac:dyDescent="0.4">
      <c r="B257" s="447"/>
      <c r="C257" s="392" t="s">
        <v>1096</v>
      </c>
      <c r="D257" s="377">
        <f>N256</f>
        <v>0</v>
      </c>
      <c r="E257" s="387" t="s">
        <v>632</v>
      </c>
      <c r="K257" s="448"/>
      <c r="M257" s="391" t="s">
        <v>842</v>
      </c>
      <c r="N257" s="687">
        <v>0</v>
      </c>
      <c r="O257" s="387" t="s">
        <v>632</v>
      </c>
      <c r="P257" s="396" t="s">
        <v>1094</v>
      </c>
      <c r="Q257" s="686">
        <v>0</v>
      </c>
      <c r="R257" s="397" t="s">
        <v>514</v>
      </c>
    </row>
    <row r="258" spans="2:21" ht="18.75" thickBot="1" x14ac:dyDescent="0.4">
      <c r="B258" s="447"/>
      <c r="C258" s="392" t="s">
        <v>842</v>
      </c>
      <c r="D258" s="377">
        <f>N257</f>
        <v>0</v>
      </c>
      <c r="E258" s="387" t="s">
        <v>632</v>
      </c>
      <c r="K258" s="448"/>
      <c r="M258" s="537" t="s">
        <v>423</v>
      </c>
      <c r="N258" s="685" t="s">
        <v>435</v>
      </c>
      <c r="O258" s="520"/>
    </row>
    <row r="259" spans="2:21" ht="18" x14ac:dyDescent="0.35">
      <c r="B259" s="447"/>
      <c r="C259" s="392" t="s">
        <v>1095</v>
      </c>
      <c r="D259" s="377">
        <f>Q255</f>
        <v>0</v>
      </c>
      <c r="E259" s="387" t="s">
        <v>514</v>
      </c>
      <c r="K259" s="448"/>
      <c r="M259" s="542" t="s">
        <v>820</v>
      </c>
      <c r="S259" s="382"/>
      <c r="T259" s="626"/>
      <c r="U259" s="387"/>
    </row>
    <row r="260" spans="2:21" ht="18" x14ac:dyDescent="0.35">
      <c r="B260" s="447"/>
      <c r="C260" s="392" t="s">
        <v>1093</v>
      </c>
      <c r="D260" s="377">
        <f>Q256</f>
        <v>0</v>
      </c>
      <c r="E260" s="387" t="s">
        <v>514</v>
      </c>
      <c r="K260" s="448"/>
      <c r="S260" s="382"/>
      <c r="T260" s="626"/>
      <c r="U260" s="387"/>
    </row>
    <row r="261" spans="2:21" ht="18" x14ac:dyDescent="0.35">
      <c r="B261" s="447"/>
      <c r="C261" s="392" t="s">
        <v>1094</v>
      </c>
      <c r="D261" s="377">
        <f>Q257</f>
        <v>0</v>
      </c>
      <c r="E261" s="387" t="s">
        <v>514</v>
      </c>
      <c r="K261" s="448"/>
      <c r="S261" s="382"/>
      <c r="T261" s="626"/>
      <c r="U261" s="387"/>
    </row>
    <row r="262" spans="2:21" x14ac:dyDescent="0.25">
      <c r="B262" s="447"/>
      <c r="K262" s="448"/>
      <c r="S262" s="382"/>
      <c r="T262" s="626"/>
      <c r="U262" s="387"/>
    </row>
    <row r="263" spans="2:21" x14ac:dyDescent="0.25">
      <c r="B263" s="447"/>
      <c r="C263" s="535" t="str">
        <f>IF(Configuration!Y4="EN","Calculation parameters","Paramètres de calcul")</f>
        <v>Paramètres de calcul</v>
      </c>
      <c r="K263" s="448"/>
      <c r="P263" s="392"/>
      <c r="Q263" s="626"/>
      <c r="R263" s="387"/>
    </row>
    <row r="264" spans="2:21" x14ac:dyDescent="0.25">
      <c r="B264" s="447"/>
      <c r="C264" s="630" t="str">
        <f>IF(Configuration!Y4="EN","Throat radius","Rayon de la gorge")</f>
        <v>Rayon de la gorge</v>
      </c>
      <c r="K264" s="448"/>
      <c r="M264" s="432"/>
    </row>
    <row r="265" spans="2:21" ht="18" x14ac:dyDescent="0.25">
      <c r="B265" s="447"/>
      <c r="D265" s="288" t="s">
        <v>1134</v>
      </c>
      <c r="E265" s="557">
        <f>(T256/2)+T255/(2*SQRT(2))</f>
        <v>61.060660171779823</v>
      </c>
      <c r="G265" s="288"/>
      <c r="H265" s="557"/>
      <c r="K265" s="448"/>
      <c r="M265" s="432"/>
    </row>
    <row r="266" spans="2:21" x14ac:dyDescent="0.25">
      <c r="B266" s="447"/>
      <c r="C266" s="630" t="str">
        <f>IF(Configuration!Y4="EN","Moment of inertia of two quarter welds","Inertie de deux quarts de soudure")</f>
        <v>Inertie de deux quarts de soudure</v>
      </c>
      <c r="G266" s="630" t="str">
        <f>IF(Configuration!Y4="EN","Section moduli","Modules de flexion")</f>
        <v>Modules de flexion</v>
      </c>
      <c r="K266" s="448"/>
      <c r="M266" s="432"/>
    </row>
    <row r="267" spans="2:21" ht="18" x14ac:dyDescent="0.25">
      <c r="B267" s="447"/>
      <c r="D267" s="288" t="s">
        <v>1133</v>
      </c>
      <c r="E267" s="627">
        <f>T255*E265^3*(1+PI()/2)/10000</f>
        <v>175.57933985477095</v>
      </c>
      <c r="G267" s="288" t="s">
        <v>1135</v>
      </c>
      <c r="H267" s="631">
        <f>E267/(0.1*E265)</f>
        <v>28.754903625479926</v>
      </c>
      <c r="K267" s="448"/>
      <c r="M267" s="432"/>
    </row>
    <row r="268" spans="2:21" x14ac:dyDescent="0.25">
      <c r="B268" s="447"/>
      <c r="K268" s="448"/>
      <c r="M268" s="432"/>
    </row>
    <row r="269" spans="2:21" x14ac:dyDescent="0.25">
      <c r="B269" s="447"/>
      <c r="C269" s="535" t="str">
        <f>IF(Configuration!Y4="EN","Stresses due to axial force NEd","Contraintes dues à l'effort normal NEd")</f>
        <v>Contraintes dues à l'effort normal NEd</v>
      </c>
      <c r="F269" s="514"/>
      <c r="G269" s="533"/>
      <c r="K269" s="448"/>
      <c r="M269" s="432"/>
    </row>
    <row r="270" spans="2:21" ht="18" x14ac:dyDescent="0.25">
      <c r="B270" s="447"/>
      <c r="D270" s="288" t="s">
        <v>1032</v>
      </c>
      <c r="E270" s="543">
        <f>(SQRT(2)/2)*(D256/(2*PI()*T255*E265))</f>
        <v>0</v>
      </c>
      <c r="F270" s="514"/>
      <c r="G270" s="288" t="s">
        <v>1033</v>
      </c>
      <c r="H270" s="543">
        <v>0</v>
      </c>
      <c r="K270" s="448"/>
      <c r="M270" s="432"/>
    </row>
    <row r="271" spans="2:21" x14ac:dyDescent="0.25">
      <c r="B271" s="447"/>
      <c r="C271" s="535" t="str">
        <f>IF(Configuration!Y4="EN","Stresses due to shear force Vy,Ed","Contraintes dues à l'effort tranchant Vy,Ed")</f>
        <v>Contraintes dues à l'effort tranchant Vy,Ed</v>
      </c>
      <c r="F271" s="514"/>
      <c r="G271" s="533"/>
      <c r="K271" s="448"/>
      <c r="M271" s="432"/>
    </row>
    <row r="272" spans="2:21" ht="18" x14ac:dyDescent="0.25">
      <c r="B272" s="447"/>
      <c r="D272" s="288" t="s">
        <v>1106</v>
      </c>
      <c r="E272" s="543">
        <v>0</v>
      </c>
      <c r="F272" s="514"/>
      <c r="G272" s="288" t="s">
        <v>1107</v>
      </c>
      <c r="H272" s="543">
        <f>D257/(PI()*T255*E265)</f>
        <v>0</v>
      </c>
      <c r="K272" s="448"/>
      <c r="M272" s="432"/>
    </row>
    <row r="273" spans="2:13" x14ac:dyDescent="0.25">
      <c r="B273" s="447"/>
      <c r="C273" s="535" t="str">
        <f>IF(Configuration!Y4="EN","Stresses due to shear force Vz,Ed","Contraintes dues à l'effort tranchant Vz,Ed")</f>
        <v>Contraintes dues à l'effort tranchant Vz,Ed</v>
      </c>
      <c r="F273" s="514"/>
      <c r="G273" s="533"/>
      <c r="K273" s="448"/>
      <c r="M273" s="432"/>
    </row>
    <row r="274" spans="2:13" ht="18" x14ac:dyDescent="0.25">
      <c r="B274" s="447"/>
      <c r="D274" s="288" t="s">
        <v>1108</v>
      </c>
      <c r="E274" s="543">
        <v>0</v>
      </c>
      <c r="F274" s="514"/>
      <c r="G274" s="288" t="s">
        <v>1109</v>
      </c>
      <c r="H274" s="543">
        <f>D258/(PI()*T255*E265)</f>
        <v>0</v>
      </c>
      <c r="K274" s="448"/>
      <c r="M274" s="432"/>
    </row>
    <row r="275" spans="2:13" x14ac:dyDescent="0.25">
      <c r="B275" s="447"/>
      <c r="C275" s="535" t="str">
        <f>IF(Configuration!Y4="EN","Stresses due to torsional moment Mx,Ed","Contraintes dues au moment de torsion Mx,Ed")</f>
        <v>Contraintes dues au moment de torsion Mx,Ed</v>
      </c>
      <c r="D275" s="288"/>
      <c r="E275" s="543"/>
      <c r="F275" s="514"/>
      <c r="G275" s="288"/>
      <c r="H275" s="543"/>
      <c r="K275" s="448"/>
      <c r="M275" s="432"/>
    </row>
    <row r="276" spans="2:13" ht="18" x14ac:dyDescent="0.25">
      <c r="B276" s="447"/>
      <c r="D276" s="288" t="s">
        <v>1139</v>
      </c>
      <c r="E276" s="543">
        <v>0</v>
      </c>
      <c r="F276" s="514"/>
      <c r="G276" s="288" t="s">
        <v>1138</v>
      </c>
      <c r="H276" s="543">
        <f>1000*D259/(2*PI()*T255*E265^2)</f>
        <v>0</v>
      </c>
      <c r="K276" s="448"/>
      <c r="M276" s="432"/>
    </row>
    <row r="277" spans="2:13" x14ac:dyDescent="0.25">
      <c r="B277" s="447"/>
      <c r="C277" s="535" t="str">
        <f>IF(Configuration!Y4="EN","Stresses due to bending moment My,Ed","Contraintes dues au moment fléchissant My,Ed")</f>
        <v>Contraintes dues au moment fléchissant My,Ed</v>
      </c>
      <c r="D277" s="288"/>
      <c r="E277" s="543"/>
      <c r="F277" s="514"/>
      <c r="G277" s="288"/>
      <c r="H277" s="543"/>
      <c r="K277" s="448"/>
      <c r="M277" s="432"/>
    </row>
    <row r="278" spans="2:13" ht="18" x14ac:dyDescent="0.25">
      <c r="B278" s="447"/>
      <c r="D278" s="288" t="s">
        <v>1110</v>
      </c>
      <c r="E278" s="543">
        <f>(SQRT(2)/2)*(D260/H267)</f>
        <v>0</v>
      </c>
      <c r="F278" s="514"/>
      <c r="G278" s="288" t="s">
        <v>1111</v>
      </c>
      <c r="H278" s="543">
        <v>0</v>
      </c>
      <c r="K278" s="448"/>
      <c r="M278" s="432"/>
    </row>
    <row r="279" spans="2:13" x14ac:dyDescent="0.25">
      <c r="B279" s="447"/>
      <c r="C279" s="535" t="str">
        <f>IF(Configuration!Y4="EN","Stresses due to bending moment Mz,Ed","Contraintes dues au moment fléchissant Mz,Ed")</f>
        <v>Contraintes dues au moment fléchissant Mz,Ed</v>
      </c>
      <c r="D279" s="288"/>
      <c r="E279" s="543"/>
      <c r="F279" s="514"/>
      <c r="G279" s="288"/>
      <c r="H279" s="543"/>
      <c r="K279" s="448"/>
      <c r="M279" s="432"/>
    </row>
    <row r="280" spans="2:13" ht="18" x14ac:dyDescent="0.25">
      <c r="B280" s="447"/>
      <c r="D280" s="288" t="s">
        <v>1113</v>
      </c>
      <c r="E280" s="543">
        <f>(SQRT(2)/2)*(D261/H267)</f>
        <v>0</v>
      </c>
      <c r="F280" s="514"/>
      <c r="G280" s="288" t="s">
        <v>1112</v>
      </c>
      <c r="H280" s="543">
        <v>0</v>
      </c>
      <c r="K280" s="448"/>
      <c r="M280" s="432"/>
    </row>
    <row r="281" spans="2:13" x14ac:dyDescent="0.25">
      <c r="B281" s="447"/>
      <c r="C281" s="432"/>
      <c r="K281" s="448"/>
      <c r="M281" s="432"/>
    </row>
    <row r="282" spans="2:13" x14ac:dyDescent="0.25">
      <c r="B282" s="447"/>
      <c r="C282" s="432" t="str">
        <f>IF(Configuration!Y4="EN","Weld Check","Vérification des Cordons")</f>
        <v>Vérification des Cordons</v>
      </c>
      <c r="K282" s="448"/>
      <c r="M282" s="432"/>
    </row>
    <row r="283" spans="2:13" x14ac:dyDescent="0.25">
      <c r="B283" s="447"/>
      <c r="C283" s="535" t="s">
        <v>1142</v>
      </c>
      <c r="K283" s="448"/>
      <c r="M283" s="432"/>
    </row>
    <row r="284" spans="2:13" ht="18" x14ac:dyDescent="0.25">
      <c r="B284" s="447"/>
      <c r="C284" s="432"/>
      <c r="D284" s="288" t="s">
        <v>1114</v>
      </c>
      <c r="E284" s="543">
        <f>E270-E278</f>
        <v>0</v>
      </c>
      <c r="G284" s="288" t="s">
        <v>1136</v>
      </c>
      <c r="H284" s="543">
        <f>H272-H276</f>
        <v>0</v>
      </c>
      <c r="K284" s="448"/>
      <c r="M284" s="432"/>
    </row>
    <row r="285" spans="2:13" ht="18" x14ac:dyDescent="0.25">
      <c r="B285" s="447"/>
      <c r="D285" s="288" t="s">
        <v>1115</v>
      </c>
      <c r="E285" s="543">
        <f>E270-E278</f>
        <v>0</v>
      </c>
      <c r="K285" s="448"/>
      <c r="M285" s="432"/>
    </row>
    <row r="286" spans="2:13" ht="18" x14ac:dyDescent="0.25">
      <c r="B286" s="447"/>
      <c r="D286" s="288" t="s">
        <v>1046</v>
      </c>
      <c r="E286" s="543">
        <f>SQRT(E284^2+3*(E285^2+H284^2))</f>
        <v>0</v>
      </c>
      <c r="F286" s="394" t="str">
        <f>IF(E286&lt;=H286,"&lt;","&gt;")</f>
        <v>&lt;</v>
      </c>
      <c r="G286" s="541" t="s">
        <v>819</v>
      </c>
      <c r="H286" s="543">
        <f>W256/(X256*G_M2)</f>
        <v>36</v>
      </c>
      <c r="J286" s="544">
        <f>ABS(E286/H286)</f>
        <v>0</v>
      </c>
      <c r="K286" s="448"/>
      <c r="M286" s="432"/>
    </row>
    <row r="287" spans="2:13" ht="18" x14ac:dyDescent="0.25">
      <c r="B287" s="447"/>
      <c r="C287" s="288" t="s">
        <v>720</v>
      </c>
      <c r="D287" s="288" t="s">
        <v>1047</v>
      </c>
      <c r="E287" s="622">
        <f>E284</f>
        <v>0</v>
      </c>
      <c r="F287" s="394" t="str">
        <f>IF(E287&lt;=H287,"&lt;","&gt;")</f>
        <v>&lt;</v>
      </c>
      <c r="G287" s="288" t="s">
        <v>818</v>
      </c>
      <c r="H287" s="543">
        <f>0.9*W256/G_M2</f>
        <v>25.919999999999998</v>
      </c>
      <c r="J287" s="544">
        <f>ABS(E287/H287)</f>
        <v>0</v>
      </c>
      <c r="K287" s="448"/>
      <c r="M287" s="432"/>
    </row>
    <row r="288" spans="2:13" x14ac:dyDescent="0.25">
      <c r="B288" s="447"/>
      <c r="C288" s="535" t="s">
        <v>1143</v>
      </c>
      <c r="K288" s="448"/>
      <c r="M288" s="432"/>
    </row>
    <row r="289" spans="1:13" ht="18" x14ac:dyDescent="0.25">
      <c r="B289" s="447"/>
      <c r="C289" s="432"/>
      <c r="D289" s="288" t="s">
        <v>1118</v>
      </c>
      <c r="E289" s="543">
        <f>E270+E278</f>
        <v>0</v>
      </c>
      <c r="G289" s="288" t="s">
        <v>1137</v>
      </c>
      <c r="H289" s="543">
        <f>H272+H276</f>
        <v>0</v>
      </c>
      <c r="K289" s="448"/>
      <c r="M289" s="432"/>
    </row>
    <row r="290" spans="1:13" ht="18" x14ac:dyDescent="0.25">
      <c r="B290" s="447"/>
      <c r="D290" s="288" t="s">
        <v>1119</v>
      </c>
      <c r="E290" s="543">
        <f>E270+E278</f>
        <v>0</v>
      </c>
      <c r="K290" s="448"/>
      <c r="M290" s="432"/>
    </row>
    <row r="291" spans="1:13" ht="18" x14ac:dyDescent="0.25">
      <c r="B291" s="447"/>
      <c r="D291" s="288" t="s">
        <v>1046</v>
      </c>
      <c r="E291" s="543">
        <f>SQRT(E289^2+3*(E290^2+H289^2))</f>
        <v>0</v>
      </c>
      <c r="F291" s="394" t="str">
        <f>IF(E291&lt;=H291,"&lt;","&gt;")</f>
        <v>&lt;</v>
      </c>
      <c r="G291" s="541" t="s">
        <v>819</v>
      </c>
      <c r="H291" s="543">
        <f>W256/(X256*G_M2)</f>
        <v>36</v>
      </c>
      <c r="J291" s="544">
        <f>ABS(E291/H291)</f>
        <v>0</v>
      </c>
      <c r="K291" s="448"/>
      <c r="M291" s="432"/>
    </row>
    <row r="292" spans="1:13" ht="18" x14ac:dyDescent="0.25">
      <c r="B292" s="447"/>
      <c r="C292" s="288" t="s">
        <v>720</v>
      </c>
      <c r="D292" s="288" t="s">
        <v>1047</v>
      </c>
      <c r="E292" s="622">
        <f>E289</f>
        <v>0</v>
      </c>
      <c r="F292" s="394" t="str">
        <f>IF(E292&lt;=H292,"&lt;","&gt;")</f>
        <v>&lt;</v>
      </c>
      <c r="G292" s="288" t="s">
        <v>818</v>
      </c>
      <c r="H292" s="543">
        <f>0.9*W256/G_M2</f>
        <v>25.919999999999998</v>
      </c>
      <c r="J292" s="544">
        <f>ABS(E292/H292)</f>
        <v>0</v>
      </c>
      <c r="K292" s="448"/>
      <c r="M292" s="432"/>
    </row>
    <row r="293" spans="1:13" x14ac:dyDescent="0.25">
      <c r="B293" s="447"/>
      <c r="C293" s="535" t="s">
        <v>1144</v>
      </c>
      <c r="K293" s="448"/>
      <c r="M293" s="432"/>
    </row>
    <row r="294" spans="1:13" ht="18" x14ac:dyDescent="0.25">
      <c r="B294" s="447"/>
      <c r="C294" s="432"/>
      <c r="D294" s="288" t="s">
        <v>1120</v>
      </c>
      <c r="E294" s="543">
        <f>E270+E280</f>
        <v>0</v>
      </c>
      <c r="G294" s="288" t="s">
        <v>1140</v>
      </c>
      <c r="H294" s="543">
        <f>H274-H276</f>
        <v>0</v>
      </c>
      <c r="K294" s="448"/>
      <c r="M294" s="432"/>
    </row>
    <row r="295" spans="1:13" ht="18" x14ac:dyDescent="0.25">
      <c r="B295" s="447"/>
      <c r="D295" s="288" t="s">
        <v>1121</v>
      </c>
      <c r="E295" s="543">
        <f>E270+E280</f>
        <v>0</v>
      </c>
      <c r="K295" s="448"/>
      <c r="M295" s="432"/>
    </row>
    <row r="296" spans="1:13" ht="18" x14ac:dyDescent="0.25">
      <c r="B296" s="447"/>
      <c r="D296" s="288" t="s">
        <v>1046</v>
      </c>
      <c r="E296" s="543">
        <f>SQRT(E294^2+3*(E295^2+H294^2))</f>
        <v>0</v>
      </c>
      <c r="F296" s="394" t="str">
        <f>IF(E296&lt;=H296,"&lt;","&gt;")</f>
        <v>&lt;</v>
      </c>
      <c r="G296" s="541" t="s">
        <v>819</v>
      </c>
      <c r="H296" s="543">
        <f>W256/(X256*G_M2)</f>
        <v>36</v>
      </c>
      <c r="J296" s="544">
        <f>ABS(E296/H296)</f>
        <v>0</v>
      </c>
      <c r="K296" s="448"/>
      <c r="M296" s="432"/>
    </row>
    <row r="297" spans="1:13" ht="18" x14ac:dyDescent="0.25">
      <c r="B297" s="447"/>
      <c r="C297" s="288" t="s">
        <v>720</v>
      </c>
      <c r="D297" s="288" t="s">
        <v>1047</v>
      </c>
      <c r="E297" s="622">
        <f>E294</f>
        <v>0</v>
      </c>
      <c r="F297" s="394" t="str">
        <f>IF(E297&lt;=H297,"&lt;","&gt;")</f>
        <v>&lt;</v>
      </c>
      <c r="G297" s="288" t="s">
        <v>818</v>
      </c>
      <c r="H297" s="543">
        <f>0.9*W256/G_M2</f>
        <v>25.919999999999998</v>
      </c>
      <c r="J297" s="544">
        <f>ABS(E297/H297)</f>
        <v>0</v>
      </c>
      <c r="K297" s="448"/>
      <c r="M297" s="432"/>
    </row>
    <row r="298" spans="1:13" x14ac:dyDescent="0.25">
      <c r="B298" s="447"/>
      <c r="C298" s="535" t="s">
        <v>1145</v>
      </c>
      <c r="K298" s="448"/>
      <c r="M298" s="432"/>
    </row>
    <row r="299" spans="1:13" ht="18" x14ac:dyDescent="0.25">
      <c r="B299" s="447"/>
      <c r="C299" s="432"/>
      <c r="D299" s="288" t="s">
        <v>1130</v>
      </c>
      <c r="E299" s="543">
        <f>E270-E280</f>
        <v>0</v>
      </c>
      <c r="G299" s="288" t="s">
        <v>1141</v>
      </c>
      <c r="H299" s="543">
        <f>H274+H276</f>
        <v>0</v>
      </c>
      <c r="K299" s="448"/>
      <c r="M299" s="432"/>
    </row>
    <row r="300" spans="1:13" ht="18" x14ac:dyDescent="0.25">
      <c r="B300" s="447"/>
      <c r="D300" s="288" t="s">
        <v>1131</v>
      </c>
      <c r="E300" s="543">
        <f>E270-E280</f>
        <v>0</v>
      </c>
      <c r="K300" s="448"/>
      <c r="M300" s="432"/>
    </row>
    <row r="301" spans="1:13" ht="18" x14ac:dyDescent="0.25">
      <c r="B301" s="447"/>
      <c r="D301" s="288" t="s">
        <v>1046</v>
      </c>
      <c r="E301" s="543">
        <f>SQRT(E299^2+3*(E300^2+H299^2))</f>
        <v>0</v>
      </c>
      <c r="F301" s="394" t="str">
        <f>IF(E301&lt;=H301,"&lt;","&gt;")</f>
        <v>&lt;</v>
      </c>
      <c r="G301" s="541" t="s">
        <v>819</v>
      </c>
      <c r="H301" s="543">
        <f>W256/(X256*G_M2)</f>
        <v>36</v>
      </c>
      <c r="J301" s="544">
        <f>ABS(E301/H301)</f>
        <v>0</v>
      </c>
      <c r="K301" s="448"/>
      <c r="M301" s="432"/>
    </row>
    <row r="302" spans="1:13" ht="18" x14ac:dyDescent="0.25">
      <c r="B302" s="447"/>
      <c r="C302" s="288" t="s">
        <v>720</v>
      </c>
      <c r="D302" s="288" t="s">
        <v>1047</v>
      </c>
      <c r="E302" s="622">
        <f>E299</f>
        <v>0</v>
      </c>
      <c r="F302" s="394" t="str">
        <f>IF(E302&lt;=H302,"&lt;","&gt;")</f>
        <v>&lt;</v>
      </c>
      <c r="G302" s="288" t="s">
        <v>818</v>
      </c>
      <c r="H302" s="543">
        <f>0.9*W256/G_M2</f>
        <v>25.919999999999998</v>
      </c>
      <c r="J302" s="544">
        <f>ABS(E302/H302)</f>
        <v>0</v>
      </c>
      <c r="K302" s="448"/>
      <c r="M302" s="432"/>
    </row>
    <row r="303" spans="1:13" x14ac:dyDescent="0.25">
      <c r="B303" s="447"/>
      <c r="C303" s="1019" t="s">
        <v>809</v>
      </c>
      <c r="D303" s="1019"/>
      <c r="E303" s="1019"/>
      <c r="F303" s="1019"/>
      <c r="G303" s="1019"/>
      <c r="H303" s="1019"/>
      <c r="I303" s="1019"/>
      <c r="J303" s="1019"/>
      <c r="K303" s="455"/>
      <c r="L303" s="359"/>
      <c r="M303" s="359"/>
    </row>
    <row r="304" spans="1:13" ht="15.75" thickBot="1" x14ac:dyDescent="0.3">
      <c r="A304" s="377">
        <v>12</v>
      </c>
      <c r="B304" s="447"/>
      <c r="C304" s="432" t="str">
        <f>IF(Configuration!Y4="EN","Stiffener welds","Soudures d'un raidisseur")</f>
        <v>Soudures d'un raidisseur</v>
      </c>
      <c r="K304" s="448"/>
      <c r="M304" s="432" t="s">
        <v>958</v>
      </c>
    </row>
    <row r="305" spans="2:21" ht="18" x14ac:dyDescent="0.35">
      <c r="B305" s="447"/>
      <c r="C305" s="540" t="str">
        <f>IF(Configuration!Y4="EN","Steel "&amp;N307&amp;" - βw= "&amp;U306&amp;" - a = "&amp;Q305&amp;" mm","Acier "&amp;N307&amp;" - βw= "&amp;U306&amp;" - a = "&amp;Q305&amp;" mm")</f>
        <v>Acier S235 - βw= 0.8 - a = 4 mm</v>
      </c>
      <c r="F305" s="392" t="s">
        <v>1097</v>
      </c>
      <c r="G305" s="534">
        <f>Q308</f>
        <v>445</v>
      </c>
      <c r="K305" s="448"/>
      <c r="M305" s="388" t="s">
        <v>967</v>
      </c>
      <c r="N305" s="684">
        <v>11400</v>
      </c>
      <c r="O305" s="389" t="s">
        <v>632</v>
      </c>
      <c r="P305" s="390" t="s">
        <v>1057</v>
      </c>
      <c r="Q305" s="684">
        <v>4</v>
      </c>
      <c r="R305" s="389" t="s">
        <v>240</v>
      </c>
      <c r="S305" s="536" t="s">
        <v>424</v>
      </c>
      <c r="T305" s="536" t="s">
        <v>425</v>
      </c>
      <c r="U305" s="425" t="s">
        <v>426</v>
      </c>
    </row>
    <row r="306" spans="2:21" ht="18.75" thickBot="1" x14ac:dyDescent="0.4">
      <c r="B306" s="447"/>
      <c r="F306" s="392" t="s">
        <v>877</v>
      </c>
      <c r="G306" s="534">
        <f>N306</f>
        <v>15</v>
      </c>
      <c r="K306" s="448"/>
      <c r="M306" s="391" t="s">
        <v>877</v>
      </c>
      <c r="N306" s="687">
        <v>15</v>
      </c>
      <c r="O306" s="395" t="s">
        <v>240</v>
      </c>
      <c r="P306" s="392" t="s">
        <v>847</v>
      </c>
      <c r="Q306" s="687">
        <v>4</v>
      </c>
      <c r="R306" s="387" t="s">
        <v>240</v>
      </c>
      <c r="S306" s="538">
        <f>VLOOKUP(N307,Data!$A$3:$D$34,2)</f>
        <v>23.5</v>
      </c>
      <c r="T306" s="538">
        <f>VLOOKUP(N307,Data!$A$3:$D$34,3)</f>
        <v>36</v>
      </c>
      <c r="U306" s="539">
        <f>VLOOKUP(N307,Data!$A$3:$D$34,4)</f>
        <v>0.8</v>
      </c>
    </row>
    <row r="307" spans="2:21" ht="18.75" thickBot="1" x14ac:dyDescent="0.4">
      <c r="B307" s="447"/>
      <c r="C307" s="392" t="s">
        <v>967</v>
      </c>
      <c r="D307" s="377">
        <f>N305</f>
        <v>11400</v>
      </c>
      <c r="E307" s="387" t="s">
        <v>632</v>
      </c>
      <c r="F307" s="392" t="s">
        <v>1059</v>
      </c>
      <c r="G307" s="534">
        <f>Q307</f>
        <v>360</v>
      </c>
      <c r="K307" s="448"/>
      <c r="M307" s="537" t="s">
        <v>423</v>
      </c>
      <c r="N307" s="689" t="s">
        <v>435</v>
      </c>
      <c r="P307" s="391" t="s">
        <v>1059</v>
      </c>
      <c r="Q307" s="687">
        <v>360</v>
      </c>
      <c r="R307" s="393" t="s">
        <v>240</v>
      </c>
    </row>
    <row r="308" spans="2:21" ht="18.75" thickBot="1" x14ac:dyDescent="0.4">
      <c r="B308" s="447"/>
      <c r="C308" s="392" t="s">
        <v>1148</v>
      </c>
      <c r="D308" s="568">
        <f>D307*((6*N306+3*Q307)/(6*N306+4*Q308))</f>
        <v>7132.6203208556144</v>
      </c>
      <c r="E308" s="387" t="s">
        <v>632</v>
      </c>
      <c r="K308" s="448"/>
      <c r="M308" s="542" t="s">
        <v>820</v>
      </c>
      <c r="P308" s="537" t="s">
        <v>1097</v>
      </c>
      <c r="Q308" s="686">
        <v>445</v>
      </c>
      <c r="R308" s="397" t="s">
        <v>240</v>
      </c>
    </row>
    <row r="309" spans="2:21" x14ac:dyDescent="0.25">
      <c r="B309" s="447"/>
      <c r="K309" s="448"/>
    </row>
    <row r="310" spans="2:21" ht="18" x14ac:dyDescent="0.35">
      <c r="B310" s="447"/>
      <c r="C310" s="392" t="s">
        <v>963</v>
      </c>
      <c r="D310" s="534">
        <f>Q307</f>
        <v>360</v>
      </c>
      <c r="E310" s="394" t="str">
        <f>IF(D310&lt;=H310,"&lt;","&gt;")</f>
        <v>&gt;</v>
      </c>
      <c r="G310" s="392" t="s">
        <v>817</v>
      </c>
      <c r="H310" s="534">
        <f>MAX(30,6*Q305)</f>
        <v>30</v>
      </c>
      <c r="I310" s="521" t="str">
        <f>IF(D310&lt;=H310,"NON OK !!","OK !")</f>
        <v>OK !</v>
      </c>
      <c r="K310" s="448"/>
    </row>
    <row r="311" spans="2:21" ht="18" x14ac:dyDescent="0.35">
      <c r="B311" s="447"/>
      <c r="C311" s="392" t="s">
        <v>965</v>
      </c>
      <c r="D311" s="534">
        <f>Q308</f>
        <v>445</v>
      </c>
      <c r="E311" s="394" t="str">
        <f>IF(D311&lt;=H311,"&lt;","&gt;")</f>
        <v>&gt;</v>
      </c>
      <c r="G311" s="392" t="s">
        <v>817</v>
      </c>
      <c r="H311" s="534">
        <f>MAX(30,6*Q306)</f>
        <v>30</v>
      </c>
      <c r="I311" s="521" t="str">
        <f>IF(D311&lt;=H311,"NON OK !!","OK !")</f>
        <v>OK !</v>
      </c>
      <c r="K311" s="448"/>
    </row>
    <row r="312" spans="2:21" x14ac:dyDescent="0.25">
      <c r="B312" s="447"/>
      <c r="K312" s="448"/>
    </row>
    <row r="313" spans="2:21" x14ac:dyDescent="0.25">
      <c r="B313" s="447"/>
      <c r="C313" s="432" t="str">
        <f>IF(Configuration!Y4="EN","Weld Check","Vérification des Cordons")</f>
        <v>Vérification des Cordons</v>
      </c>
      <c r="K313" s="448"/>
    </row>
    <row r="314" spans="2:21" x14ac:dyDescent="0.25">
      <c r="B314" s="447"/>
      <c r="C314" s="535" t="str">
        <f>IF(Configuration!Y4="EN","Stress in the lower welds:","Contrainte dans les cordons inférieurs :")</f>
        <v>Contrainte dans les cordons inférieurs :</v>
      </c>
      <c r="K314" s="448"/>
    </row>
    <row r="315" spans="2:21" ht="18" x14ac:dyDescent="0.25">
      <c r="B315" s="447"/>
      <c r="C315" s="432"/>
      <c r="D315" s="288" t="s">
        <v>1146</v>
      </c>
      <c r="E315" s="543">
        <f>(SQRT(2)/2)*D307/(2*D310*Q305)</f>
        <v>2.7989643421967507</v>
      </c>
      <c r="G315" s="288" t="s">
        <v>1147</v>
      </c>
      <c r="H315" s="543">
        <f>D308/(2*Q307*Q305)</f>
        <v>2.4766042780748663</v>
      </c>
      <c r="K315" s="448"/>
    </row>
    <row r="316" spans="2:21" ht="18" x14ac:dyDescent="0.25">
      <c r="B316" s="447"/>
      <c r="D316" s="288" t="s">
        <v>1046</v>
      </c>
      <c r="E316" s="543">
        <f>SQRT(E315^2+3*(E315^2+H315^2))</f>
        <v>7.0524826696768104</v>
      </c>
      <c r="F316" s="394" t="str">
        <f>IF(E316&lt;=H316,"&lt;","&gt;")</f>
        <v>&lt;</v>
      </c>
      <c r="G316" s="541" t="s">
        <v>819</v>
      </c>
      <c r="H316" s="543">
        <f>T306/(U306*G_M2)</f>
        <v>36</v>
      </c>
      <c r="J316" s="544">
        <f>ABS(E316/H316)</f>
        <v>0.19590229637991141</v>
      </c>
      <c r="K316" s="448"/>
    </row>
    <row r="317" spans="2:21" ht="18" x14ac:dyDescent="0.25">
      <c r="B317" s="447"/>
      <c r="C317" s="288" t="s">
        <v>720</v>
      </c>
      <c r="D317" s="288" t="s">
        <v>1047</v>
      </c>
      <c r="E317" s="622">
        <f>E315</f>
        <v>2.7989643421967507</v>
      </c>
      <c r="F317" s="394" t="str">
        <f>IF(E317&lt;=H317,"&lt;","&gt;")</f>
        <v>&lt;</v>
      </c>
      <c r="G317" s="288" t="s">
        <v>818</v>
      </c>
      <c r="H317" s="543">
        <f>0.9*T306/G_M2</f>
        <v>25.919999999999998</v>
      </c>
      <c r="J317" s="544">
        <f>ABS(E317/H317)</f>
        <v>0.10798473542425736</v>
      </c>
      <c r="K317" s="448"/>
    </row>
    <row r="318" spans="2:21" x14ac:dyDescent="0.25">
      <c r="B318" s="447"/>
      <c r="C318" s="535" t="str">
        <f>IF(Configuration!Y4="EN","Stress in the vertical welds:","Contrainte dans les cordons verticaux :")</f>
        <v>Contrainte dans les cordons verticaux :</v>
      </c>
      <c r="K318" s="448"/>
    </row>
    <row r="319" spans="2:21" ht="18" x14ac:dyDescent="0.25">
      <c r="B319" s="447"/>
      <c r="C319" s="432"/>
      <c r="D319" s="288" t="s">
        <v>1146</v>
      </c>
      <c r="E319" s="543">
        <f>(SQRT(2)/2)*D308/(D311*Q306)</f>
        <v>2.8334405598348167</v>
      </c>
      <c r="G319" s="288" t="s">
        <v>1147</v>
      </c>
      <c r="H319" s="543">
        <f>D307/(2*D311*Q306)</f>
        <v>3.202247191011236</v>
      </c>
      <c r="K319" s="448"/>
    </row>
    <row r="320" spans="2:21" ht="18" x14ac:dyDescent="0.25">
      <c r="B320" s="447"/>
      <c r="D320" s="288" t="s">
        <v>1046</v>
      </c>
      <c r="E320" s="543">
        <f>SQRT(E319^2+3*(E319^2+H319^2))</f>
        <v>7.929483138356888</v>
      </c>
      <c r="F320" s="394" t="str">
        <f>IF(E320&lt;=H320,"&lt;","&gt;")</f>
        <v>&lt;</v>
      </c>
      <c r="G320" s="541" t="s">
        <v>819</v>
      </c>
      <c r="H320" s="543">
        <f>T306/(U306*G_M2)</f>
        <v>36</v>
      </c>
      <c r="J320" s="544">
        <f>ABS(E320/H320)</f>
        <v>0.22026342050991354</v>
      </c>
      <c r="K320" s="448"/>
    </row>
    <row r="321" spans="1:21" ht="18" x14ac:dyDescent="0.25">
      <c r="B321" s="447"/>
      <c r="C321" s="288" t="s">
        <v>720</v>
      </c>
      <c r="D321" s="288" t="s">
        <v>1047</v>
      </c>
      <c r="E321" s="622">
        <f>E319</f>
        <v>2.8334405598348167</v>
      </c>
      <c r="F321" s="394" t="str">
        <f>IF(E321&lt;=H321,"&lt;","&gt;")</f>
        <v>&lt;</v>
      </c>
      <c r="G321" s="288" t="s">
        <v>818</v>
      </c>
      <c r="H321" s="543">
        <f>0.9*T306/G_M2</f>
        <v>25.919999999999998</v>
      </c>
      <c r="J321" s="544">
        <f>ABS(E321/H321)</f>
        <v>0.10931483641338029</v>
      </c>
      <c r="K321" s="448"/>
    </row>
    <row r="322" spans="1:21" x14ac:dyDescent="0.25">
      <c r="B322" s="447"/>
      <c r="C322" s="1019" t="s">
        <v>809</v>
      </c>
      <c r="D322" s="1019"/>
      <c r="E322" s="1019"/>
      <c r="F322" s="1019"/>
      <c r="G322" s="1019"/>
      <c r="H322" s="1019"/>
      <c r="I322" s="1019"/>
      <c r="J322" s="1019"/>
      <c r="K322" s="455"/>
      <c r="L322" s="359"/>
      <c r="M322" s="359"/>
    </row>
    <row r="323" spans="1:21" ht="15.75" thickBot="1" x14ac:dyDescent="0.3">
      <c r="A323" s="377">
        <v>13</v>
      </c>
      <c r="B323" s="447"/>
      <c r="C323" s="432" t="str">
        <f>IF(Configuration!Y4="EN","Web-to-flange weld of a built-up section (PRS)","Soudure âme semelle d'un profilé PRS")</f>
        <v>Soudure âme semelle d'un profilé PRS</v>
      </c>
      <c r="K323" s="448"/>
      <c r="M323" s="432" t="s">
        <v>957</v>
      </c>
    </row>
    <row r="324" spans="1:21" ht="18" x14ac:dyDescent="0.35">
      <c r="B324" s="447"/>
      <c r="C324" s="432"/>
      <c r="K324" s="448"/>
      <c r="M324" s="388" t="s">
        <v>842</v>
      </c>
      <c r="N324" s="684">
        <v>10000</v>
      </c>
      <c r="O324" s="389" t="s">
        <v>632</v>
      </c>
      <c r="P324" s="390" t="s">
        <v>1099</v>
      </c>
      <c r="Q324" s="684">
        <v>250</v>
      </c>
      <c r="R324" s="389" t="s">
        <v>240</v>
      </c>
      <c r="S324" s="536" t="s">
        <v>424</v>
      </c>
      <c r="T324" s="536" t="s">
        <v>425</v>
      </c>
      <c r="U324" s="425" t="s">
        <v>426</v>
      </c>
    </row>
    <row r="325" spans="1:21" ht="18.75" thickBot="1" x14ac:dyDescent="0.4">
      <c r="B325" s="447"/>
      <c r="C325" s="540" t="str">
        <f>IF(Configuration!Y4="EN","Steel "&amp;N328&amp;" - βw= "&amp;U325&amp;" - "&amp;N327&amp;" weld - as= "&amp;N325&amp;" mm - ai= "&amp;N326&amp;" mm","Acier "&amp;N328&amp;" - βw= "&amp;U325&amp;" - "&amp;N327&amp;" cordon - as= "&amp;N325&amp;" mm - ai= "&amp;N326&amp;" mm")</f>
        <v>Acier S235 - βw= 0.8 - Double cordon - as= 3 mm - ai= 3 mm</v>
      </c>
      <c r="K325" s="448"/>
      <c r="M325" s="391" t="s">
        <v>1160</v>
      </c>
      <c r="N325" s="687">
        <v>3</v>
      </c>
      <c r="O325" s="387" t="s">
        <v>240</v>
      </c>
      <c r="P325" s="392" t="s">
        <v>843</v>
      </c>
      <c r="Q325" s="687">
        <v>12</v>
      </c>
      <c r="R325" s="387" t="s">
        <v>240</v>
      </c>
      <c r="S325" s="538">
        <f>VLOOKUP(N328,Data!$A$3:$D$34,2)</f>
        <v>23.5</v>
      </c>
      <c r="T325" s="538">
        <f>VLOOKUP(N328,Data!$A$3:$D$34,3)</f>
        <v>36</v>
      </c>
      <c r="U325" s="539">
        <f>VLOOKUP(N328,Data!$A$3:$D$34,4)</f>
        <v>0.8</v>
      </c>
    </row>
    <row r="326" spans="1:21" ht="18" x14ac:dyDescent="0.35">
      <c r="B326" s="447"/>
      <c r="K326" s="448"/>
      <c r="M326" s="391" t="s">
        <v>1161</v>
      </c>
      <c r="N326" s="687">
        <v>3</v>
      </c>
      <c r="O326" s="387" t="s">
        <v>240</v>
      </c>
      <c r="P326" s="392" t="s">
        <v>844</v>
      </c>
      <c r="Q326" s="687">
        <v>500</v>
      </c>
      <c r="R326" s="393" t="s">
        <v>240</v>
      </c>
    </row>
    <row r="327" spans="1:21" ht="18" x14ac:dyDescent="0.35">
      <c r="B327" s="447"/>
      <c r="C327" s="392" t="s">
        <v>842</v>
      </c>
      <c r="D327" s="377">
        <f>N324</f>
        <v>10000</v>
      </c>
      <c r="E327" s="387" t="s">
        <v>632</v>
      </c>
      <c r="K327" s="448"/>
      <c r="M327" s="391" t="s">
        <v>1098</v>
      </c>
      <c r="N327" s="687" t="s">
        <v>1162</v>
      </c>
      <c r="O327" s="394">
        <f>IF(N327="Simple",1,2)</f>
        <v>2</v>
      </c>
      <c r="P327" s="392" t="s">
        <v>1155</v>
      </c>
      <c r="Q327" s="687">
        <v>6</v>
      </c>
      <c r="R327" s="393" t="s">
        <v>240</v>
      </c>
    </row>
    <row r="328" spans="1:21" ht="18.75" thickBot="1" x14ac:dyDescent="0.4">
      <c r="B328" s="447"/>
      <c r="C328" s="432"/>
      <c r="K328" s="448"/>
      <c r="M328" s="537" t="s">
        <v>423</v>
      </c>
      <c r="N328" s="685" t="s">
        <v>435</v>
      </c>
      <c r="O328" s="386"/>
      <c r="P328" s="392" t="s">
        <v>1100</v>
      </c>
      <c r="Q328" s="687">
        <v>250</v>
      </c>
      <c r="R328" s="393" t="s">
        <v>240</v>
      </c>
    </row>
    <row r="329" spans="1:21" ht="18.75" thickBot="1" x14ac:dyDescent="0.4">
      <c r="B329" s="447"/>
      <c r="C329" s="535" t="str">
        <f>IF(Configuration!Y4="EN","Calculation parameters","Paramètres de calcul")</f>
        <v>Paramètres de calcul</v>
      </c>
      <c r="K329" s="448"/>
      <c r="M329" s="542" t="s">
        <v>820</v>
      </c>
      <c r="N329" s="377" t="str">
        <f>IF(N327="Simple","      ◣","◢  ◣")</f>
        <v>◢  ◣</v>
      </c>
      <c r="O329" s="377" t="str">
        <f>IF(N327="Simple","◢      ","◢  ◣")</f>
        <v>◢  ◣</v>
      </c>
      <c r="P329" s="537" t="s">
        <v>845</v>
      </c>
      <c r="Q329" s="686">
        <v>12</v>
      </c>
      <c r="R329" s="397" t="s">
        <v>240</v>
      </c>
    </row>
    <row r="330" spans="1:21" x14ac:dyDescent="0.25">
      <c r="B330" s="447"/>
      <c r="C330" s="630" t="str">
        <f>IF(Configuration!Y4="EN","Flange and web areas","Aire des semelles et de l'âme")</f>
        <v>Aire des semelles et de l'âme</v>
      </c>
      <c r="K330" s="448"/>
    </row>
    <row r="331" spans="1:21" ht="18" x14ac:dyDescent="0.25">
      <c r="B331" s="447"/>
      <c r="D331" s="288" t="s">
        <v>1150</v>
      </c>
      <c r="E331" s="623">
        <f>Q325*Q324</f>
        <v>3000</v>
      </c>
      <c r="G331" s="288" t="s">
        <v>1151</v>
      </c>
      <c r="H331" s="623">
        <f>Q326*Q327</f>
        <v>3000</v>
      </c>
      <c r="K331" s="448"/>
    </row>
    <row r="332" spans="1:21" ht="18" x14ac:dyDescent="0.25">
      <c r="B332" s="447"/>
      <c r="D332" s="288" t="s">
        <v>1157</v>
      </c>
      <c r="E332" s="623">
        <f>Q329*Q328</f>
        <v>3000</v>
      </c>
      <c r="K332" s="448"/>
      <c r="M332" s="432"/>
    </row>
    <row r="333" spans="1:21" x14ac:dyDescent="0.25">
      <c r="B333" s="447"/>
      <c r="C333" s="630" t="str">
        <f>IF(Configuration!Y4="EN","Distance from centroid to lower fibre","Distance du centre de gravité à la fibre inférieure")</f>
        <v>Distance du centre de gravité à la fibre inférieure</v>
      </c>
      <c r="K333" s="448"/>
      <c r="M333" s="432"/>
    </row>
    <row r="334" spans="1:21" ht="18" x14ac:dyDescent="0.25">
      <c r="B334" s="447"/>
      <c r="D334" s="288" t="s">
        <v>1156</v>
      </c>
      <c r="E334" s="526">
        <f>(E331*(Q329+Q326+Q325/2)+H331*(Q329+Q326/2)+E332*(Q329/2))/(E331+E332+H331)</f>
        <v>262</v>
      </c>
      <c r="K334" s="448"/>
      <c r="M334" s="432"/>
    </row>
    <row r="335" spans="1:21" x14ac:dyDescent="0.25">
      <c r="B335" s="447"/>
      <c r="C335" s="630" t="str">
        <f>IF(Configuration!Y4="EN","Distance to centroid of flanges and web","Distance au centre de gravité des semelles et de l'âme")</f>
        <v>Distance au centre de gravité des semelles et de l'âme</v>
      </c>
      <c r="E335" s="623"/>
      <c r="K335" s="448"/>
      <c r="M335" s="432"/>
    </row>
    <row r="336" spans="1:21" ht="18" x14ac:dyDescent="0.25">
      <c r="B336" s="447"/>
      <c r="D336" s="288" t="s">
        <v>1152</v>
      </c>
      <c r="E336" s="526">
        <f>Q329+Q326+(Q325/2)-E334</f>
        <v>256</v>
      </c>
      <c r="G336" s="288" t="s">
        <v>1154</v>
      </c>
      <c r="H336" s="526">
        <f>ABS(Q329+(Q326/2)-E334)</f>
        <v>0</v>
      </c>
      <c r="K336" s="448"/>
      <c r="M336" s="432"/>
    </row>
    <row r="337" spans="1:21" ht="18" x14ac:dyDescent="0.25">
      <c r="B337" s="447"/>
      <c r="D337" s="288" t="s">
        <v>1153</v>
      </c>
      <c r="E337" s="526">
        <f>E334-Q329/2</f>
        <v>256</v>
      </c>
      <c r="K337" s="448"/>
      <c r="M337" s="432"/>
    </row>
    <row r="338" spans="1:21" x14ac:dyDescent="0.25">
      <c r="B338" s="447"/>
      <c r="C338" s="630" t="str">
        <f>IF(Configuration!Y4="EN","Section moment of inertia","Inertie de la section")</f>
        <v>Inertie de la section</v>
      </c>
      <c r="K338" s="448"/>
      <c r="M338" s="432"/>
    </row>
    <row r="339" spans="1:21" ht="18" x14ac:dyDescent="0.25">
      <c r="B339" s="447"/>
      <c r="D339" s="288" t="s">
        <v>1149</v>
      </c>
      <c r="E339" s="627">
        <f>0.0001*((1/12)*(Q324*Q325^3+Q327*Q326^3+Q328*Q329^3)+E331*E336^2+H331*H336^2+E332*E337^2)</f>
        <v>45578.8</v>
      </c>
      <c r="K339" s="448"/>
      <c r="M339" s="432"/>
    </row>
    <row r="340" spans="1:21" x14ac:dyDescent="0.25">
      <c r="B340" s="447"/>
      <c r="C340" s="630" t="str">
        <f>IF(Configuration!Y4="EN","Shear flow in welds","Flux de cillasillement dans les cordons")</f>
        <v>Flux de cillasillement dans les cordons</v>
      </c>
      <c r="K340" s="448"/>
      <c r="M340" s="432"/>
    </row>
    <row r="341" spans="1:21" ht="18" x14ac:dyDescent="0.25">
      <c r="B341" s="447"/>
      <c r="C341" s="432"/>
      <c r="D341" s="288" t="s">
        <v>1158</v>
      </c>
      <c r="E341" s="632">
        <f>ABS(D327)*(E331*E336/(10000*E339))</f>
        <v>16.849939006731198</v>
      </c>
      <c r="G341" s="288" t="s">
        <v>1159</v>
      </c>
      <c r="H341" s="632">
        <f>ABS(D327)*(E332*E337/(10000*E339))</f>
        <v>16.849939006731198</v>
      </c>
      <c r="K341" s="448"/>
      <c r="M341" s="432"/>
    </row>
    <row r="342" spans="1:21" x14ac:dyDescent="0.25">
      <c r="B342" s="447"/>
      <c r="C342" s="432"/>
      <c r="K342" s="448"/>
      <c r="M342" s="432"/>
    </row>
    <row r="343" spans="1:21" x14ac:dyDescent="0.25">
      <c r="B343" s="447"/>
      <c r="C343" s="432" t="str">
        <f>IF(Configuration!Y4="EN","Weld Check","Vérification des Cordons")</f>
        <v>Vérification des Cordons</v>
      </c>
      <c r="K343" s="448"/>
      <c r="M343" s="432"/>
    </row>
    <row r="344" spans="1:21" x14ac:dyDescent="0.25">
      <c r="B344" s="447"/>
      <c r="C344" s="535" t="str">
        <f>IF(Configuration!Y4="EN","Stress in the upper welds:","Contrainte dans les cordons supérieurs :")</f>
        <v>Contrainte dans les cordons supérieurs :</v>
      </c>
      <c r="K344" s="448"/>
      <c r="M344" s="432"/>
    </row>
    <row r="345" spans="1:21" ht="18" x14ac:dyDescent="0.25">
      <c r="B345" s="447"/>
      <c r="C345" s="432"/>
      <c r="D345" s="288" t="s">
        <v>1146</v>
      </c>
      <c r="E345" s="543">
        <v>0</v>
      </c>
      <c r="G345" s="288" t="s">
        <v>1147</v>
      </c>
      <c r="H345" s="543">
        <f>E341/(O327*N325)</f>
        <v>2.808323167788533</v>
      </c>
      <c r="K345" s="448"/>
      <c r="M345" s="432"/>
    </row>
    <row r="346" spans="1:21" ht="18" x14ac:dyDescent="0.25">
      <c r="B346" s="447"/>
      <c r="D346" s="288" t="s">
        <v>1046</v>
      </c>
      <c r="E346" s="543">
        <f>SQRT(E345^2+3*(E345^2+H345^2))</f>
        <v>4.8641584106825162</v>
      </c>
      <c r="F346" s="394" t="str">
        <f>IF(E346&lt;=H346,"&lt;","&gt;")</f>
        <v>&lt;</v>
      </c>
      <c r="G346" s="541" t="s">
        <v>819</v>
      </c>
      <c r="H346" s="543">
        <f>T325/(U325*G_M2)</f>
        <v>36</v>
      </c>
      <c r="J346" s="544">
        <f>ABS(E346/H346)</f>
        <v>0.13511551140784767</v>
      </c>
      <c r="K346" s="448"/>
      <c r="M346" s="432"/>
    </row>
    <row r="347" spans="1:21" x14ac:dyDescent="0.25">
      <c r="B347" s="447"/>
      <c r="C347" s="535" t="str">
        <f>IF(Configuration!Y4="EN","Stress in the lower welds:","Contrainte dans les cordons inférieurs :")</f>
        <v>Contrainte dans les cordons inférieurs :</v>
      </c>
      <c r="K347" s="448"/>
      <c r="M347" s="432"/>
    </row>
    <row r="348" spans="1:21" ht="18" x14ac:dyDescent="0.25">
      <c r="B348" s="447"/>
      <c r="C348" s="432"/>
      <c r="D348" s="288" t="s">
        <v>1146</v>
      </c>
      <c r="E348" s="543">
        <v>0</v>
      </c>
      <c r="G348" s="288" t="s">
        <v>1147</v>
      </c>
      <c r="H348" s="543">
        <f>H341/(O327*N326)</f>
        <v>2.808323167788533</v>
      </c>
      <c r="K348" s="448"/>
      <c r="M348" s="432"/>
    </row>
    <row r="349" spans="1:21" ht="18" x14ac:dyDescent="0.25">
      <c r="B349" s="447"/>
      <c r="D349" s="288" t="s">
        <v>1046</v>
      </c>
      <c r="E349" s="543">
        <f>SQRT(E348^2+3*(E348^2+H348^2))</f>
        <v>4.8641584106825162</v>
      </c>
      <c r="F349" s="394" t="str">
        <f>IF(E349&lt;=H349,"&lt;","&gt;")</f>
        <v>&lt;</v>
      </c>
      <c r="G349" s="541" t="s">
        <v>819</v>
      </c>
      <c r="H349" s="543">
        <f>T325/(U325*G_M2)</f>
        <v>36</v>
      </c>
      <c r="J349" s="544">
        <f>ABS(E349/H349)</f>
        <v>0.13511551140784767</v>
      </c>
      <c r="K349" s="448"/>
      <c r="M349" s="432"/>
    </row>
    <row r="350" spans="1:21" x14ac:dyDescent="0.25">
      <c r="B350" s="447"/>
      <c r="C350" s="1019" t="s">
        <v>809</v>
      </c>
      <c r="D350" s="1019"/>
      <c r="E350" s="1019"/>
      <c r="F350" s="1019"/>
      <c r="G350" s="1019"/>
      <c r="H350" s="1019"/>
      <c r="I350" s="1019"/>
      <c r="J350" s="1019"/>
      <c r="K350" s="455"/>
      <c r="L350" s="359"/>
      <c r="M350" s="359"/>
    </row>
    <row r="351" spans="1:21" ht="15.75" thickBot="1" x14ac:dyDescent="0.3">
      <c r="A351" s="377">
        <v>14</v>
      </c>
      <c r="B351" s="447"/>
      <c r="C351" s="432" t="str">
        <f>IF(Configuration!Y4="EN","Bracket with double fillet weld","Taquet avec double cordon d'angle")</f>
        <v>Taquet avec double cordon d'angle</v>
      </c>
      <c r="K351" s="448"/>
      <c r="M351" s="432" t="s">
        <v>955</v>
      </c>
    </row>
    <row r="352" spans="1:21" ht="18" x14ac:dyDescent="0.35">
      <c r="B352" s="447"/>
      <c r="C352" s="392" t="s">
        <v>967</v>
      </c>
      <c r="D352" s="377">
        <f>N352</f>
        <v>2800</v>
      </c>
      <c r="E352" s="521" t="s">
        <v>632</v>
      </c>
      <c r="K352" s="448"/>
      <c r="M352" s="388" t="s">
        <v>967</v>
      </c>
      <c r="N352" s="684">
        <v>2800</v>
      </c>
      <c r="O352" s="389" t="s">
        <v>632</v>
      </c>
      <c r="P352" s="390" t="s">
        <v>682</v>
      </c>
      <c r="Q352" s="684">
        <v>5</v>
      </c>
      <c r="R352" s="389" t="s">
        <v>240</v>
      </c>
      <c r="S352" s="536" t="s">
        <v>424</v>
      </c>
      <c r="T352" s="536" t="s">
        <v>425</v>
      </c>
      <c r="U352" s="425" t="s">
        <v>426</v>
      </c>
    </row>
    <row r="353" spans="1:21" ht="15.75" thickBot="1" x14ac:dyDescent="0.3">
      <c r="B353" s="447"/>
      <c r="C353" s="540" t="str">
        <f>IF(Configuration!Y4="EN","Steel "&amp;N353&amp;" - βw= "&amp;U353&amp;" - a = "&amp;Q352&amp;" mm","Acier "&amp;N353&amp;" - βw= "&amp;U353&amp;" - a = "&amp;Q352&amp;" mm")</f>
        <v>Acier S275 - βw= 0.85 - a = 5 mm</v>
      </c>
      <c r="K353" s="448"/>
      <c r="M353" s="537" t="s">
        <v>423</v>
      </c>
      <c r="N353" s="685" t="s">
        <v>437</v>
      </c>
      <c r="O353" s="386"/>
      <c r="P353" s="392" t="s">
        <v>654</v>
      </c>
      <c r="Q353" s="687">
        <v>250</v>
      </c>
      <c r="R353" s="387" t="s">
        <v>240</v>
      </c>
      <c r="S353" s="538">
        <f>VLOOKUP(N353,Data!$A$3:$D$34,2)</f>
        <v>27.5</v>
      </c>
      <c r="T353" s="538">
        <f>VLOOKUP(N353,Data!$A$3:$D$34,3)</f>
        <v>43</v>
      </c>
      <c r="U353" s="539">
        <f>VLOOKUP(N353,Data!$A$3:$D$34,4)</f>
        <v>0.85</v>
      </c>
    </row>
    <row r="354" spans="1:21" ht="18" x14ac:dyDescent="0.35">
      <c r="B354" s="447"/>
      <c r="C354" s="392" t="s">
        <v>814</v>
      </c>
      <c r="D354" s="377">
        <f>N352</f>
        <v>2800</v>
      </c>
      <c r="E354" s="387" t="s">
        <v>632</v>
      </c>
      <c r="K354" s="448"/>
      <c r="M354" s="542" t="s">
        <v>820</v>
      </c>
      <c r="P354" s="391" t="s">
        <v>966</v>
      </c>
      <c r="Q354" s="687">
        <v>30</v>
      </c>
      <c r="R354" s="393" t="s">
        <v>240</v>
      </c>
    </row>
    <row r="355" spans="1:21" ht="18.75" thickBot="1" x14ac:dyDescent="0.4">
      <c r="B355" s="447"/>
      <c r="C355" s="392" t="s">
        <v>816</v>
      </c>
      <c r="D355" s="534">
        <f>Q353-2*Q352</f>
        <v>240</v>
      </c>
      <c r="E355" s="394" t="str">
        <f>IF(D355&lt;=H355,"&lt;","&gt;")</f>
        <v>&gt;</v>
      </c>
      <c r="G355" s="392" t="s">
        <v>817</v>
      </c>
      <c r="H355" s="534">
        <f>MAX(30,6*Q352)</f>
        <v>30</v>
      </c>
      <c r="I355" s="521" t="str">
        <f>IF(D355&lt;=H355,"NON OK !!","OK !")</f>
        <v>OK !</v>
      </c>
      <c r="K355" s="448"/>
      <c r="P355" s="537" t="s">
        <v>733</v>
      </c>
      <c r="Q355" s="686">
        <v>60</v>
      </c>
      <c r="R355" s="397" t="s">
        <v>240</v>
      </c>
    </row>
    <row r="356" spans="1:21" ht="18" x14ac:dyDescent="0.25">
      <c r="B356" s="447"/>
      <c r="C356" s="288"/>
      <c r="D356" s="288" t="s">
        <v>969</v>
      </c>
      <c r="E356" s="543">
        <f>0.25*SQRT(2)*N352/(Q352*D355)</f>
        <v>0.82495791138430552</v>
      </c>
      <c r="G356" s="288" t="s">
        <v>980</v>
      </c>
      <c r="H356" s="543">
        <f>-0.25*SQRT(2)*N352/(Q352*D355)</f>
        <v>-0.82495791138430552</v>
      </c>
      <c r="K356" s="448"/>
      <c r="M356" s="432"/>
    </row>
    <row r="357" spans="1:21" ht="18" x14ac:dyDescent="0.25">
      <c r="B357" s="447"/>
      <c r="C357" s="432"/>
      <c r="D357" s="288" t="s">
        <v>971</v>
      </c>
      <c r="E357" s="543">
        <f>-0.5*SQRT(2)*N352*Q354/(Q355*Q352*D355)</f>
        <v>-0.82495791138430552</v>
      </c>
      <c r="G357" s="288" t="s">
        <v>978</v>
      </c>
      <c r="H357" s="543">
        <f>E357+H356</f>
        <v>-1.649915822768611</v>
      </c>
      <c r="K357" s="448"/>
      <c r="M357" s="432"/>
    </row>
    <row r="358" spans="1:21" ht="18" x14ac:dyDescent="0.25">
      <c r="B358" s="447"/>
      <c r="C358" s="432"/>
      <c r="D358" s="288" t="s">
        <v>972</v>
      </c>
      <c r="E358" s="543">
        <f>0.5*SQRT(2)*N352*Q354/(Q355*Q352*D355)</f>
        <v>0.82495791138430552</v>
      </c>
      <c r="G358" s="288" t="s">
        <v>979</v>
      </c>
      <c r="H358" s="543">
        <f>E358+H356</f>
        <v>0</v>
      </c>
      <c r="K358" s="448"/>
      <c r="M358" s="432"/>
    </row>
    <row r="359" spans="1:21" ht="18" x14ac:dyDescent="0.25">
      <c r="B359" s="447"/>
      <c r="D359" s="288" t="s">
        <v>974</v>
      </c>
      <c r="E359" s="543">
        <f>SQRT(E360^2+3*H357^2)</f>
        <v>2.8577380332470415</v>
      </c>
      <c r="F359" s="394" t="str">
        <f>IF(E359&lt;=H359,"&lt;","&gt;")</f>
        <v>&lt;</v>
      </c>
      <c r="G359" s="541" t="s">
        <v>819</v>
      </c>
      <c r="H359" s="543">
        <f>T353/(U353*G_M2)</f>
        <v>40.470588235294116</v>
      </c>
      <c r="J359" s="544">
        <f>E359/H359</f>
        <v>7.0612713030813526E-2</v>
      </c>
      <c r="K359" s="448"/>
      <c r="M359" s="432"/>
    </row>
    <row r="360" spans="1:21" ht="18" x14ac:dyDescent="0.25">
      <c r="B360" s="447"/>
      <c r="D360" s="288" t="s">
        <v>975</v>
      </c>
      <c r="E360" s="543">
        <f>E356+E357</f>
        <v>0</v>
      </c>
      <c r="F360" s="394" t="str">
        <f>IF(E360&lt;=H360,"&lt;","&gt;")</f>
        <v>&lt;</v>
      </c>
      <c r="G360" s="288" t="s">
        <v>818</v>
      </c>
      <c r="H360" s="543">
        <f>0.9*T353/G_M2</f>
        <v>30.96</v>
      </c>
      <c r="J360" s="544">
        <f>E360/H360</f>
        <v>0</v>
      </c>
      <c r="K360" s="448"/>
      <c r="M360" s="432"/>
    </row>
    <row r="361" spans="1:21" ht="18" x14ac:dyDescent="0.25">
      <c r="B361" s="447"/>
      <c r="D361" s="288" t="s">
        <v>976</v>
      </c>
      <c r="E361" s="543">
        <f>SQRT(E362^2+3*H358^2)</f>
        <v>1.649915822768611</v>
      </c>
      <c r="F361" s="394" t="str">
        <f>IF(E361&lt;=H361,"&lt;","&gt;")</f>
        <v>&lt;</v>
      </c>
      <c r="G361" s="541" t="s">
        <v>819</v>
      </c>
      <c r="H361" s="543">
        <f>T353/(U353*G_M2)</f>
        <v>40.470588235294116</v>
      </c>
      <c r="J361" s="544">
        <f>E361/H361</f>
        <v>4.0768268876549982E-2</v>
      </c>
      <c r="K361" s="448"/>
    </row>
    <row r="362" spans="1:21" ht="18" x14ac:dyDescent="0.25">
      <c r="B362" s="447"/>
      <c r="D362" s="288" t="s">
        <v>977</v>
      </c>
      <c r="E362" s="543">
        <f>E356+E358</f>
        <v>1.649915822768611</v>
      </c>
      <c r="F362" s="394" t="str">
        <f>IF(E362&lt;=H362,"&lt;","&gt;")</f>
        <v>&lt;</v>
      </c>
      <c r="G362" s="288" t="s">
        <v>818</v>
      </c>
      <c r="H362" s="543">
        <f>0.9*T353/G_M2</f>
        <v>30.96</v>
      </c>
      <c r="J362" s="544">
        <f>E362/H362</f>
        <v>5.3291854740588208E-2</v>
      </c>
      <c r="K362" s="448"/>
    </row>
    <row r="363" spans="1:21" x14ac:dyDescent="0.25">
      <c r="B363" s="447"/>
      <c r="C363" s="1019" t="s">
        <v>809</v>
      </c>
      <c r="D363" s="1019"/>
      <c r="E363" s="1019"/>
      <c r="F363" s="1019"/>
      <c r="G363" s="1019"/>
      <c r="H363" s="1019"/>
      <c r="I363" s="1019"/>
      <c r="J363" s="1019"/>
      <c r="K363" s="455"/>
      <c r="L363" s="359"/>
      <c r="M363" s="359"/>
    </row>
    <row r="364" spans="1:21" ht="15.75" thickBot="1" x14ac:dyDescent="0.3">
      <c r="A364" s="377">
        <v>15</v>
      </c>
      <c r="B364" s="447"/>
      <c r="C364" s="432" t="str">
        <f>IF(Configuration!Y4="EN","Bracket with single fillet weld","Taquet avec simple cordon d'angle")</f>
        <v>Taquet avec simple cordon d'angle</v>
      </c>
      <c r="K364" s="448"/>
      <c r="M364" s="432" t="s">
        <v>956</v>
      </c>
    </row>
    <row r="365" spans="1:21" ht="18" x14ac:dyDescent="0.35">
      <c r="B365" s="447"/>
      <c r="C365" s="392" t="s">
        <v>967</v>
      </c>
      <c r="D365" s="377">
        <f>N365</f>
        <v>2800</v>
      </c>
      <c r="E365" s="521" t="s">
        <v>632</v>
      </c>
      <c r="K365" s="448"/>
      <c r="M365" s="388" t="s">
        <v>967</v>
      </c>
      <c r="N365" s="684">
        <v>2800</v>
      </c>
      <c r="O365" s="389" t="s">
        <v>632</v>
      </c>
      <c r="P365" s="390" t="s">
        <v>682</v>
      </c>
      <c r="Q365" s="684">
        <v>5</v>
      </c>
      <c r="R365" s="389" t="s">
        <v>240</v>
      </c>
      <c r="S365" s="536" t="s">
        <v>424</v>
      </c>
      <c r="T365" s="536" t="s">
        <v>425</v>
      </c>
      <c r="U365" s="425" t="s">
        <v>426</v>
      </c>
    </row>
    <row r="366" spans="1:21" ht="15.75" thickBot="1" x14ac:dyDescent="0.3">
      <c r="B366" s="447"/>
      <c r="C366" s="540" t="str">
        <f>IF(Configuration!Y4="EN","Steel "&amp;N366&amp;" - βw= "&amp;U366&amp;" - a = "&amp;Q365&amp;" mm","Acier "&amp;N366&amp;" - βw= "&amp;U366&amp;" - a = "&amp;Q365&amp;" mm")</f>
        <v>Acier S275 - βw= 0.85 - a = 5 mm</v>
      </c>
      <c r="K366" s="448"/>
      <c r="M366" s="537" t="s">
        <v>423</v>
      </c>
      <c r="N366" s="685" t="s">
        <v>437</v>
      </c>
      <c r="O366" s="386"/>
      <c r="P366" s="392" t="s">
        <v>654</v>
      </c>
      <c r="Q366" s="687">
        <v>250</v>
      </c>
      <c r="R366" s="387" t="s">
        <v>240</v>
      </c>
      <c r="S366" s="538">
        <f>VLOOKUP(N366,Data!$A$3:$D$34,2)</f>
        <v>27.5</v>
      </c>
      <c r="T366" s="538">
        <f>VLOOKUP(N366,Data!$A$3:$D$34,3)</f>
        <v>43</v>
      </c>
      <c r="U366" s="539">
        <f>VLOOKUP(N366,Data!$A$3:$D$34,4)</f>
        <v>0.85</v>
      </c>
    </row>
    <row r="367" spans="1:21" ht="18.75" thickBot="1" x14ac:dyDescent="0.4">
      <c r="B367" s="447"/>
      <c r="C367" s="392" t="s">
        <v>814</v>
      </c>
      <c r="D367" s="377">
        <f>N365</f>
        <v>2800</v>
      </c>
      <c r="E367" s="387" t="s">
        <v>632</v>
      </c>
      <c r="K367" s="448"/>
      <c r="M367" s="542" t="s">
        <v>820</v>
      </c>
      <c r="O367" s="385"/>
      <c r="P367" s="537" t="s">
        <v>966</v>
      </c>
      <c r="Q367" s="686">
        <v>25</v>
      </c>
      <c r="R367" s="397" t="s">
        <v>240</v>
      </c>
    </row>
    <row r="368" spans="1:21" ht="18" x14ac:dyDescent="0.35">
      <c r="B368" s="447"/>
      <c r="C368" s="392" t="s">
        <v>816</v>
      </c>
      <c r="D368" s="534">
        <f>Q366-2*Q365</f>
        <v>240</v>
      </c>
      <c r="E368" s="394" t="str">
        <f>IF(D368&lt;=H368,"&lt;","&gt;")</f>
        <v>&gt;</v>
      </c>
      <c r="G368" s="392" t="s">
        <v>817</v>
      </c>
      <c r="H368" s="534">
        <f>MAX(30,6*Q365)</f>
        <v>30</v>
      </c>
      <c r="I368" s="521" t="str">
        <f>IF(D368&lt;=H368,"NON OK !!","OK !")</f>
        <v>OK !</v>
      </c>
      <c r="K368" s="448"/>
    </row>
    <row r="369" spans="2:21" ht="18" x14ac:dyDescent="0.25">
      <c r="B369" s="447"/>
      <c r="C369" s="288"/>
      <c r="D369" s="288" t="s">
        <v>969</v>
      </c>
      <c r="E369" s="543">
        <f>0.5*SQRT(2)*N365/(Q365*D368)</f>
        <v>1.649915822768611</v>
      </c>
      <c r="G369" s="288" t="s">
        <v>968</v>
      </c>
      <c r="H369" s="543">
        <f>6*N365*Q367/(Q365^2*D368)</f>
        <v>70</v>
      </c>
      <c r="K369" s="448"/>
    </row>
    <row r="370" spans="2:21" ht="18" x14ac:dyDescent="0.25">
      <c r="B370" s="447"/>
      <c r="C370" s="432"/>
      <c r="D370" s="288" t="s">
        <v>973</v>
      </c>
      <c r="E370" s="543">
        <f>-0.5*SQRT(2)*N365/(Q365*D368)</f>
        <v>-1.649915822768611</v>
      </c>
      <c r="K370" s="448"/>
      <c r="M370" s="432"/>
    </row>
    <row r="371" spans="2:21" ht="18" x14ac:dyDescent="0.25">
      <c r="B371" s="447"/>
      <c r="C371" s="432"/>
      <c r="D371" s="288" t="s">
        <v>970</v>
      </c>
      <c r="E371" s="543">
        <f>E369+H369</f>
        <v>71.649915822768605</v>
      </c>
      <c r="F371" s="394" t="str">
        <f>IF(E371&lt;=H371,"&lt;","&gt;")</f>
        <v>&gt;</v>
      </c>
      <c r="G371" s="288" t="s">
        <v>818</v>
      </c>
      <c r="H371" s="543">
        <f>0.9*T366/G_M2</f>
        <v>30.96</v>
      </c>
      <c r="J371" s="544">
        <f>E371/H371</f>
        <v>2.3142737668852909</v>
      </c>
      <c r="K371" s="448"/>
      <c r="M371" s="432"/>
    </row>
    <row r="372" spans="2:21" ht="18" x14ac:dyDescent="0.25">
      <c r="B372" s="447"/>
      <c r="D372" s="288" t="s">
        <v>822</v>
      </c>
      <c r="E372" s="543">
        <f>SQRT(E371^2+3*E370^2)</f>
        <v>71.706883240568288</v>
      </c>
      <c r="F372" s="394" t="str">
        <f>IF(E372&lt;=H372,"&lt;","&gt;")</f>
        <v>&gt;</v>
      </c>
      <c r="G372" s="541" t="s">
        <v>819</v>
      </c>
      <c r="H372" s="543">
        <f>T366/(U366*G_M2)</f>
        <v>40.470588235294116</v>
      </c>
      <c r="J372" s="544">
        <f>E372/H372</f>
        <v>1.7718270568163677</v>
      </c>
      <c r="K372" s="448"/>
      <c r="M372" s="432"/>
    </row>
    <row r="373" spans="2:21" x14ac:dyDescent="0.25">
      <c r="B373" s="447"/>
      <c r="C373" s="1019" t="s">
        <v>809</v>
      </c>
      <c r="D373" s="1019"/>
      <c r="E373" s="1019"/>
      <c r="F373" s="1019"/>
      <c r="G373" s="1019"/>
      <c r="H373" s="1019"/>
      <c r="I373" s="1019"/>
      <c r="J373" s="1019"/>
      <c r="K373" s="455"/>
      <c r="L373" s="359"/>
      <c r="M373" s="359"/>
    </row>
    <row r="374" spans="2:21" ht="15.75" thickBot="1" x14ac:dyDescent="0.3">
      <c r="B374" s="447"/>
      <c r="C374" s="621" t="str">
        <f>IF(Configuration!Y4="EN","Welded gusset plate assembly","Assemblage soudé d'un gousset")</f>
        <v>Assemblage soudé d'un gousset</v>
      </c>
      <c r="F374" s="540" t="str">
        <f>IF(Configuration!Y4="EN","Steel "&amp;N377&amp;" - βw= "&amp;U376&amp;" - a= "&amp;Q375&amp;" mm","Acier "&amp;N377&amp;" - βw= "&amp;U376&amp;" - a= "&amp;Q375&amp;" mm")</f>
        <v>Acier S235 - βw= 0.8 - a= 5 mm</v>
      </c>
      <c r="K374" s="448"/>
      <c r="M374" s="432" t="s">
        <v>1633</v>
      </c>
    </row>
    <row r="375" spans="2:21" ht="18" x14ac:dyDescent="0.35">
      <c r="B375" s="447"/>
      <c r="C375" s="392" t="s">
        <v>967</v>
      </c>
      <c r="D375" s="377">
        <f>N375</f>
        <v>68000</v>
      </c>
      <c r="E375" s="387" t="s">
        <v>632</v>
      </c>
      <c r="K375" s="448"/>
      <c r="M375" s="388" t="s">
        <v>967</v>
      </c>
      <c r="N375" s="684">
        <v>68000</v>
      </c>
      <c r="O375" s="389" t="s">
        <v>632</v>
      </c>
      <c r="P375" s="390" t="s">
        <v>682</v>
      </c>
      <c r="Q375" s="684">
        <v>5</v>
      </c>
      <c r="R375" s="389" t="s">
        <v>240</v>
      </c>
      <c r="S375" s="536" t="s">
        <v>424</v>
      </c>
      <c r="T375" s="536" t="s">
        <v>425</v>
      </c>
      <c r="U375" s="425" t="s">
        <v>426</v>
      </c>
    </row>
    <row r="376" spans="2:21" ht="18.75" thickBot="1" x14ac:dyDescent="0.4">
      <c r="B376" s="447"/>
      <c r="C376" s="392" t="s">
        <v>718</v>
      </c>
      <c r="D376" s="377">
        <f>N376</f>
        <v>37</v>
      </c>
      <c r="E376" s="387" t="s">
        <v>825</v>
      </c>
      <c r="F376" s="288" t="s">
        <v>1646</v>
      </c>
      <c r="G376" s="377">
        <f>Q378</f>
        <v>1</v>
      </c>
      <c r="K376" s="448"/>
      <c r="M376" s="391" t="s">
        <v>718</v>
      </c>
      <c r="N376" s="687">
        <v>37</v>
      </c>
      <c r="O376" s="387" t="s">
        <v>825</v>
      </c>
      <c r="P376" s="392" t="s">
        <v>1623</v>
      </c>
      <c r="Q376" s="687">
        <v>300</v>
      </c>
      <c r="R376" s="387" t="s">
        <v>240</v>
      </c>
      <c r="S376" s="538">
        <f>VLOOKUP(N377,Data!$A$3:$D$34,2)</f>
        <v>23.5</v>
      </c>
      <c r="T376" s="538">
        <f>VLOOKUP(N377,Data!$A$3:$D$34,3)</f>
        <v>36</v>
      </c>
      <c r="U376" s="539">
        <f>VLOOKUP(N377,Data!$A$3:$D$34,4)</f>
        <v>0.8</v>
      </c>
    </row>
    <row r="377" spans="2:21" ht="18.75" thickBot="1" x14ac:dyDescent="0.4">
      <c r="B377" s="447"/>
      <c r="C377" s="392" t="s">
        <v>1627</v>
      </c>
      <c r="D377" s="568">
        <f>D375*COS(RADIANS(D376))</f>
        <v>54307.214683215912</v>
      </c>
      <c r="E377" s="387" t="s">
        <v>632</v>
      </c>
      <c r="K377" s="448"/>
      <c r="M377" s="537" t="s">
        <v>423</v>
      </c>
      <c r="N377" s="685" t="s">
        <v>435</v>
      </c>
      <c r="O377" s="386"/>
      <c r="P377" s="396" t="s">
        <v>1624</v>
      </c>
      <c r="Q377" s="686">
        <v>300</v>
      </c>
      <c r="R377" s="397" t="s">
        <v>240</v>
      </c>
    </row>
    <row r="378" spans="2:21" ht="18" x14ac:dyDescent="0.35">
      <c r="B378" s="447"/>
      <c r="C378" s="392" t="s">
        <v>1628</v>
      </c>
      <c r="D378" s="568">
        <f>D375*SIN(RADIANS(D376))</f>
        <v>40923.421574339285</v>
      </c>
      <c r="E378" s="387" t="s">
        <v>632</v>
      </c>
      <c r="K378" s="448"/>
      <c r="M378" s="542" t="s">
        <v>820</v>
      </c>
      <c r="P378" s="288" t="s">
        <v>1646</v>
      </c>
      <c r="Q378" s="678">
        <v>1</v>
      </c>
    </row>
    <row r="379" spans="2:21" x14ac:dyDescent="0.25">
      <c r="B379" s="447"/>
      <c r="K379" s="448"/>
    </row>
    <row r="380" spans="2:21" ht="18" x14ac:dyDescent="0.35">
      <c r="B380" s="447"/>
      <c r="C380" s="392" t="s">
        <v>1625</v>
      </c>
      <c r="D380" s="534">
        <f>Q376-2*Q375</f>
        <v>290</v>
      </c>
      <c r="E380" s="394" t="str">
        <f>IF(D380&lt;=H380,"&lt;","&gt;")</f>
        <v>&gt;</v>
      </c>
      <c r="G380" s="392" t="s">
        <v>817</v>
      </c>
      <c r="H380" s="534">
        <f>MAX(30,6*Q375)</f>
        <v>30</v>
      </c>
      <c r="I380" s="521" t="str">
        <f>IF(D380&lt;=H380,"NON OK !!","OK !")</f>
        <v>OK !</v>
      </c>
      <c r="K380" s="448"/>
    </row>
    <row r="381" spans="2:21" ht="18" x14ac:dyDescent="0.35">
      <c r="B381" s="447"/>
      <c r="C381" s="392" t="s">
        <v>1626</v>
      </c>
      <c r="D381" s="534">
        <f>Q377-2*Q375</f>
        <v>290</v>
      </c>
      <c r="E381" s="394" t="str">
        <f>IF(D381&lt;=H381,"&lt;","&gt;")</f>
        <v>&gt;</v>
      </c>
      <c r="G381" s="392" t="s">
        <v>817</v>
      </c>
      <c r="H381" s="534">
        <f>MAX(30,6*Q375)</f>
        <v>30</v>
      </c>
      <c r="I381" s="521" t="str">
        <f>IF(D381&lt;=H381,"NON OK !!","OK !")</f>
        <v>OK !</v>
      </c>
      <c r="K381" s="448"/>
      <c r="M381" s="432"/>
    </row>
    <row r="382" spans="2:21" x14ac:dyDescent="0.25">
      <c r="B382" s="447"/>
      <c r="C382" s="535"/>
      <c r="F382" s="514"/>
      <c r="G382" s="533"/>
      <c r="K382" s="448"/>
      <c r="M382" s="432"/>
    </row>
    <row r="383" spans="2:21" x14ac:dyDescent="0.25">
      <c r="B383" s="447"/>
      <c r="C383" s="535" t="str">
        <f>IF(Configuration!Y4="EN","Stresses due to horizontal component VH,Ed","Contraintes dues à la composante horizontale VH,Ed")</f>
        <v>Contraintes dues à la composante horizontale VH,Ed</v>
      </c>
      <c r="F383" s="514"/>
      <c r="G383" s="533"/>
      <c r="K383" s="448"/>
      <c r="M383" s="432"/>
    </row>
    <row r="384" spans="2:21" ht="18" x14ac:dyDescent="0.25">
      <c r="B384" s="447"/>
      <c r="D384" s="288" t="s">
        <v>1629</v>
      </c>
      <c r="E384" s="543">
        <v>0</v>
      </c>
      <c r="G384" s="288" t="s">
        <v>1630</v>
      </c>
      <c r="H384" s="543">
        <f>(D377/(2*D380*Q375*G376))</f>
        <v>18.726625752833073</v>
      </c>
      <c r="K384" s="448"/>
      <c r="M384" s="432"/>
    </row>
    <row r="385" spans="2:21" x14ac:dyDescent="0.25">
      <c r="B385" s="447"/>
      <c r="C385" s="535" t="str">
        <f>IF(Configuration!Y4="EN","Stresses due to vertical component VV,Ed","Contraintes dues à la composante verticale VV,Ed")</f>
        <v>Contraintes dues à la composante verticale VV,Ed</v>
      </c>
      <c r="F385" s="514"/>
      <c r="G385" s="533"/>
      <c r="K385" s="448"/>
      <c r="M385" s="432"/>
    </row>
    <row r="386" spans="2:21" ht="18" x14ac:dyDescent="0.25">
      <c r="B386" s="447"/>
      <c r="D386" s="288" t="s">
        <v>1034</v>
      </c>
      <c r="E386" s="543">
        <v>0</v>
      </c>
      <c r="G386" s="288" t="s">
        <v>1050</v>
      </c>
      <c r="H386" s="543">
        <f>(D378/(2*D381*Q375*G376))</f>
        <v>14.111524680806649</v>
      </c>
      <c r="K386" s="448"/>
      <c r="M386" s="432"/>
    </row>
    <row r="387" spans="2:21" x14ac:dyDescent="0.25">
      <c r="B387" s="447"/>
      <c r="K387" s="448"/>
      <c r="M387" s="432"/>
    </row>
    <row r="388" spans="2:21" x14ac:dyDescent="0.25">
      <c r="B388" s="447"/>
      <c r="C388" s="432" t="str">
        <f>IF(Configuration!Y4="EN","Weld Check","Vérification des Cordons")</f>
        <v>Vérification des Cordons</v>
      </c>
      <c r="K388" s="448"/>
      <c r="M388" s="432"/>
    </row>
    <row r="389" spans="2:21" x14ac:dyDescent="0.25">
      <c r="B389" s="447"/>
      <c r="C389" s="535" t="str">
        <f>IF(Configuration!Y4="EN","Horizontal welds","Cordons horizontaux")</f>
        <v>Cordons horizontaux</v>
      </c>
      <c r="K389" s="448"/>
      <c r="M389" s="432"/>
    </row>
    <row r="390" spans="2:21" ht="18" x14ac:dyDescent="0.25">
      <c r="B390" s="447"/>
      <c r="C390" s="432"/>
      <c r="D390" s="288" t="s">
        <v>1631</v>
      </c>
      <c r="E390" s="543">
        <f>SQRT(3*H384^2)</f>
        <v>32.435467258234659</v>
      </c>
      <c r="F390" s="394" t="str">
        <f>IF(E390&lt;=H390,"&lt;","&gt;")</f>
        <v>&lt;</v>
      </c>
      <c r="G390" s="541" t="s">
        <v>819</v>
      </c>
      <c r="H390" s="543">
        <f>T376/(U376*G_M2)</f>
        <v>36</v>
      </c>
      <c r="J390" s="544">
        <f>ABS(E390/H390)</f>
        <v>0.90098520161762941</v>
      </c>
      <c r="K390" s="448"/>
      <c r="M390" s="432"/>
    </row>
    <row r="391" spans="2:21" x14ac:dyDescent="0.25">
      <c r="B391" s="447"/>
      <c r="C391" s="535" t="str">
        <f>IF(Configuration!Y4="EN","Vertical welds","Cordons verticaux")</f>
        <v>Cordons verticaux</v>
      </c>
      <c r="K391" s="448"/>
      <c r="M391" s="432"/>
    </row>
    <row r="392" spans="2:21" ht="18" x14ac:dyDescent="0.25">
      <c r="B392" s="447"/>
      <c r="C392" s="288"/>
      <c r="D392" s="288" t="s">
        <v>1632</v>
      </c>
      <c r="E392" s="543">
        <f>SQRT(3*H386^2)</f>
        <v>24.441877719419299</v>
      </c>
      <c r="F392" s="394" t="str">
        <f>IF(E392&lt;=H392,"&lt;","&gt;")</f>
        <v>&lt;</v>
      </c>
      <c r="G392" s="541" t="s">
        <v>819</v>
      </c>
      <c r="H392" s="543">
        <f>T376/(U376*G_M2)</f>
        <v>36</v>
      </c>
      <c r="J392" s="544">
        <f>ABS(E392/H392)</f>
        <v>0.67894104776164721</v>
      </c>
      <c r="K392" s="448"/>
      <c r="M392" s="432"/>
    </row>
    <row r="393" spans="2:21" x14ac:dyDescent="0.25">
      <c r="B393" s="447"/>
      <c r="C393" s="1019" t="s">
        <v>809</v>
      </c>
      <c r="D393" s="1019"/>
      <c r="E393" s="1019"/>
      <c r="F393" s="1019"/>
      <c r="G393" s="1019"/>
      <c r="H393" s="1019"/>
      <c r="I393" s="1019"/>
      <c r="J393" s="1019"/>
      <c r="K393" s="455"/>
      <c r="L393" s="359"/>
      <c r="M393" s="359"/>
    </row>
    <row r="394" spans="2:21" ht="15.75" thickBot="1" x14ac:dyDescent="0.3">
      <c r="B394" s="447"/>
      <c r="C394" s="621" t="str">
        <f>IF(Configuration!Y4="EN","Two-sided welded gusset plate assembly","Assemblage soudé sur deux côtés d'un gousset")</f>
        <v>Assemblage soudé sur deux côtés d'un gousset</v>
      </c>
      <c r="K394" s="448"/>
      <c r="M394" s="432" t="s">
        <v>1639</v>
      </c>
    </row>
    <row r="395" spans="2:21" ht="18" x14ac:dyDescent="0.35">
      <c r="B395" s="447"/>
      <c r="E395" s="540" t="str">
        <f>IF(Configuration!Y4="EN","Steel "&amp;N396&amp;" - βw= "&amp;U396&amp;" - a= "&amp;Q395&amp;" mm","Acier "&amp;N396&amp;" - βw= "&amp;U396&amp;" - a= "&amp;Q395&amp;" mm")</f>
        <v>Acier S235 - βw= 0.8 - a= 5 mm</v>
      </c>
      <c r="K395" s="448"/>
      <c r="M395" s="388" t="s">
        <v>967</v>
      </c>
      <c r="N395" s="684">
        <v>68000</v>
      </c>
      <c r="O395" s="389" t="s">
        <v>632</v>
      </c>
      <c r="P395" s="390" t="s">
        <v>682</v>
      </c>
      <c r="Q395" s="684">
        <v>5</v>
      </c>
      <c r="R395" s="389" t="s">
        <v>240</v>
      </c>
      <c r="S395" s="536" t="s">
        <v>424</v>
      </c>
      <c r="T395" s="536" t="s">
        <v>425</v>
      </c>
      <c r="U395" s="425" t="s">
        <v>426</v>
      </c>
    </row>
    <row r="396" spans="2:21" ht="18.75" thickBot="1" x14ac:dyDescent="0.4">
      <c r="B396" s="447"/>
      <c r="C396" s="392" t="s">
        <v>967</v>
      </c>
      <c r="D396" s="377">
        <f>N395</f>
        <v>68000</v>
      </c>
      <c r="E396" s="387" t="s">
        <v>632</v>
      </c>
      <c r="F396" s="288" t="s">
        <v>1646</v>
      </c>
      <c r="G396" s="377">
        <f>Q397</f>
        <v>0.88</v>
      </c>
      <c r="K396" s="448"/>
      <c r="M396" s="537" t="s">
        <v>423</v>
      </c>
      <c r="N396" s="685" t="s">
        <v>435</v>
      </c>
      <c r="O396" s="386"/>
      <c r="P396" s="396" t="s">
        <v>654</v>
      </c>
      <c r="Q396" s="686">
        <v>300</v>
      </c>
      <c r="R396" s="395" t="s">
        <v>240</v>
      </c>
      <c r="S396" s="538">
        <f>VLOOKUP(N396,Data!$A$3:$D$34,2)</f>
        <v>23.5</v>
      </c>
      <c r="T396" s="538">
        <f>VLOOKUP(N396,Data!$A$3:$D$34,3)</f>
        <v>36</v>
      </c>
      <c r="U396" s="539">
        <f>VLOOKUP(N396,Data!$A$3:$D$34,4)</f>
        <v>0.8</v>
      </c>
    </row>
    <row r="397" spans="2:21" ht="18" x14ac:dyDescent="0.25">
      <c r="B397" s="447"/>
      <c r="K397" s="448"/>
      <c r="M397" s="542" t="s">
        <v>820</v>
      </c>
      <c r="P397" s="288" t="s">
        <v>1646</v>
      </c>
      <c r="Q397" s="678">
        <v>0.88</v>
      </c>
    </row>
    <row r="398" spans="2:21" ht="18" x14ac:dyDescent="0.35">
      <c r="B398" s="447"/>
      <c r="C398" s="392" t="s">
        <v>816</v>
      </c>
      <c r="D398" s="534">
        <f>Q396-2*Q395</f>
        <v>290</v>
      </c>
      <c r="E398" s="394" t="str">
        <f>IF(D398&lt;=H398,"&lt;","&gt;")</f>
        <v>&gt;</v>
      </c>
      <c r="G398" s="392" t="s">
        <v>817</v>
      </c>
      <c r="H398" s="534">
        <f>MAX(30,6*Q395)</f>
        <v>30</v>
      </c>
      <c r="I398" s="521" t="str">
        <f>IF(D398&lt;=H398,"NON OK !!","OK !")</f>
        <v>OK !</v>
      </c>
      <c r="K398" s="448"/>
    </row>
    <row r="399" spans="2:21" x14ac:dyDescent="0.25">
      <c r="B399" s="447"/>
      <c r="C399" s="392"/>
      <c r="D399" s="534"/>
      <c r="E399" s="394"/>
      <c r="G399" s="392"/>
      <c r="H399" s="534"/>
      <c r="I399" s="521"/>
      <c r="K399" s="448"/>
      <c r="M399" s="432"/>
    </row>
    <row r="400" spans="2:21" x14ac:dyDescent="0.25">
      <c r="B400" s="447"/>
      <c r="C400" s="535" t="str">
        <f>IF(Configuration!Y4="EN","Stresses due to horizontal component VH,Ed","Contraintes dues à la composante horizontale VH,Ed")</f>
        <v>Contraintes dues à la composante horizontale VH,Ed</v>
      </c>
      <c r="F400" s="514"/>
      <c r="G400" s="533"/>
      <c r="K400" s="448"/>
      <c r="M400" s="432"/>
    </row>
    <row r="401" spans="2:13" ht="18" x14ac:dyDescent="0.25">
      <c r="B401" s="447"/>
      <c r="D401" s="288" t="s">
        <v>1629</v>
      </c>
      <c r="E401" s="543">
        <v>0</v>
      </c>
      <c r="G401" s="288" t="s">
        <v>1630</v>
      </c>
      <c r="H401" s="543">
        <f>(D396/(4*D398*Q395*G396))</f>
        <v>13.322884012539184</v>
      </c>
      <c r="K401" s="448"/>
      <c r="M401" s="432"/>
    </row>
    <row r="402" spans="2:13" x14ac:dyDescent="0.25">
      <c r="B402" s="447"/>
      <c r="K402" s="448"/>
      <c r="M402" s="432"/>
    </row>
    <row r="403" spans="2:13" x14ac:dyDescent="0.25">
      <c r="B403" s="447"/>
      <c r="C403" s="432" t="str">
        <f>IF(Configuration!Y4="EN","Weld Check","Vérification des Cordons")</f>
        <v>Vérification des Cordons</v>
      </c>
      <c r="K403" s="448"/>
      <c r="M403" s="432"/>
    </row>
    <row r="404" spans="2:13" ht="18" x14ac:dyDescent="0.25">
      <c r="B404" s="447"/>
      <c r="C404" s="535"/>
      <c r="D404" s="288" t="s">
        <v>1631</v>
      </c>
      <c r="E404" s="543">
        <f>SQRT(3)*H401</f>
        <v>23.075912013064976</v>
      </c>
      <c r="F404" s="394" t="str">
        <f>IF(E404&lt;=H404,"&lt;","&gt;")</f>
        <v>&lt;</v>
      </c>
      <c r="G404" s="541" t="s">
        <v>819</v>
      </c>
      <c r="H404" s="543">
        <f>T396/(U396*G_M2)</f>
        <v>36</v>
      </c>
      <c r="J404" s="544">
        <f>ABS(E404/H404)</f>
        <v>0.64099755591847152</v>
      </c>
      <c r="K404" s="448"/>
      <c r="M404" s="432"/>
    </row>
    <row r="405" spans="2:13" x14ac:dyDescent="0.25">
      <c r="B405" s="447"/>
      <c r="C405" s="1019" t="s">
        <v>809</v>
      </c>
      <c r="D405" s="1019"/>
      <c r="E405" s="1019"/>
      <c r="F405" s="1019"/>
      <c r="G405" s="1019"/>
      <c r="H405" s="1019"/>
      <c r="I405" s="1019"/>
      <c r="J405" s="1019"/>
      <c r="K405" s="455"/>
      <c r="M405" s="432"/>
    </row>
    <row r="406" spans="2:13" x14ac:dyDescent="0.25">
      <c r="B406" s="447"/>
      <c r="C406" s="621" t="str">
        <f>IF(Configuration!Y4="EN","Unstiffened T-joint welded assembly","Assemblage soudé en T non raidi")</f>
        <v>Assemblage soudé en T non raidi</v>
      </c>
      <c r="F406" s="540" t="str">
        <f>IF(Configuration!Y4="EN","Steel "&amp;D413&amp;" - βw= "&amp;I413&amp;" - a= "&amp;G411&amp;" mm","Acier "&amp;D413&amp;" - βw= "&amp;I413&amp;" - a= "&amp;G411&amp;" mm")</f>
        <v>Acier S235 - βw= 0.8 - a= 4 mm</v>
      </c>
      <c r="K406" s="448"/>
      <c r="M406" s="432"/>
    </row>
    <row r="407" spans="2:13" ht="18" x14ac:dyDescent="0.35">
      <c r="B407" s="447"/>
      <c r="C407" s="392" t="s">
        <v>967</v>
      </c>
      <c r="D407" s="678">
        <v>8000</v>
      </c>
      <c r="E407" s="387" t="s">
        <v>632</v>
      </c>
      <c r="F407" s="288"/>
      <c r="K407" s="448"/>
      <c r="M407" s="432"/>
    </row>
    <row r="408" spans="2:13" ht="18" x14ac:dyDescent="0.25">
      <c r="B408" s="447"/>
      <c r="C408" s="288" t="s">
        <v>1590</v>
      </c>
      <c r="D408" s="678">
        <v>12</v>
      </c>
      <c r="E408" s="521" t="s">
        <v>240</v>
      </c>
      <c r="K408" s="448"/>
      <c r="M408" s="432"/>
    </row>
    <row r="409" spans="2:13" ht="18" x14ac:dyDescent="0.25">
      <c r="B409" s="447"/>
      <c r="C409" s="288" t="s">
        <v>1565</v>
      </c>
      <c r="D409" s="678">
        <v>15</v>
      </c>
      <c r="E409" s="521" t="s">
        <v>240</v>
      </c>
      <c r="K409" s="448"/>
      <c r="M409" s="432"/>
    </row>
    <row r="410" spans="2:13" x14ac:dyDescent="0.25">
      <c r="B410" s="447"/>
      <c r="C410" s="288" t="s">
        <v>1648</v>
      </c>
      <c r="D410" s="377">
        <f>MIN(1,(D408/D409))</f>
        <v>0.8</v>
      </c>
      <c r="K410" s="448"/>
    </row>
    <row r="411" spans="2:13" ht="18" x14ac:dyDescent="0.25">
      <c r="B411" s="447"/>
      <c r="C411" s="288" t="s">
        <v>1649</v>
      </c>
      <c r="D411" s="678">
        <v>100</v>
      </c>
      <c r="E411" s="521" t="s">
        <v>240</v>
      </c>
      <c r="F411" s="288" t="s">
        <v>682</v>
      </c>
      <c r="G411" s="678">
        <v>4</v>
      </c>
      <c r="H411" s="521" t="s">
        <v>240</v>
      </c>
      <c r="K411" s="448"/>
    </row>
    <row r="412" spans="2:13" ht="18" x14ac:dyDescent="0.25">
      <c r="B412" s="447"/>
      <c r="C412" s="288" t="s">
        <v>1423</v>
      </c>
      <c r="D412" s="568">
        <f>D409+2*G411*SQRT(2)+7*D410*D408</f>
        <v>93.513708498984755</v>
      </c>
      <c r="E412" s="521" t="s">
        <v>240</v>
      </c>
      <c r="F412" s="394" t="str">
        <f>IF(D412&gt;=H412,"≥","&lt;")</f>
        <v>≥</v>
      </c>
      <c r="G412" s="288" t="s">
        <v>1650</v>
      </c>
      <c r="H412" s="557">
        <f>(F413/F414)*D411</f>
        <v>65.277777777777786</v>
      </c>
      <c r="J412" s="581" t="str">
        <f>IF(D412&gt;=H412,"OK !!","NON OK !!!&lt;")</f>
        <v>OK !!</v>
      </c>
      <c r="K412" s="448"/>
    </row>
    <row r="413" spans="2:13" ht="18" x14ac:dyDescent="0.25">
      <c r="B413" s="447"/>
      <c r="C413" s="392" t="str">
        <f>IF(Configuration!Y4="EN","Steel grade","Nuance")</f>
        <v>Nuance</v>
      </c>
      <c r="D413" s="752" t="s">
        <v>435</v>
      </c>
      <c r="E413" s="288" t="s">
        <v>644</v>
      </c>
      <c r="F413" s="374">
        <f>VLOOKUP(D413,Data!$A$3:$D$34,2)</f>
        <v>23.5</v>
      </c>
      <c r="G413" s="521" t="s">
        <v>631</v>
      </c>
      <c r="H413" s="382" t="s">
        <v>1647</v>
      </c>
      <c r="I413" s="374">
        <f>VLOOKUP(D413,Data!$A$3:$D$34,4)</f>
        <v>0.8</v>
      </c>
      <c r="K413" s="448"/>
    </row>
    <row r="414" spans="2:13" ht="18" x14ac:dyDescent="0.25">
      <c r="B414" s="447"/>
      <c r="E414" s="288" t="s">
        <v>1651</v>
      </c>
      <c r="F414" s="374">
        <f>VLOOKUP(D413,Data!$A$3:$D$34,3)</f>
        <v>36</v>
      </c>
      <c r="G414" s="521" t="s">
        <v>631</v>
      </c>
      <c r="K414" s="448"/>
    </row>
    <row r="415" spans="2:13" x14ac:dyDescent="0.25">
      <c r="B415" s="447"/>
      <c r="C415" s="432" t="str">
        <f>IF(Configuration!Y4="EN","Weld Check","Vérification des Cordons")</f>
        <v>Vérification des Cordons</v>
      </c>
      <c r="K415" s="448"/>
    </row>
    <row r="416" spans="2:13" ht="18" x14ac:dyDescent="0.25">
      <c r="B416" s="447"/>
      <c r="C416" s="432"/>
      <c r="D416" s="288" t="s">
        <v>815</v>
      </c>
      <c r="E416" s="543">
        <f>(SQRT(2)/2)*(D407/(2*G411*D412))</f>
        <v>7.5615307374343343</v>
      </c>
      <c r="G416" s="288" t="s">
        <v>826</v>
      </c>
      <c r="H416" s="543">
        <v>0</v>
      </c>
      <c r="K416" s="448"/>
    </row>
    <row r="417" spans="2:24" ht="18" x14ac:dyDescent="0.25">
      <c r="B417" s="447"/>
      <c r="D417" s="288" t="s">
        <v>1046</v>
      </c>
      <c r="E417" s="543">
        <f>SQRT(E416^2+3*(E416^2+H416^2))</f>
        <v>15.123061474868669</v>
      </c>
      <c r="F417" s="394" t="str">
        <f>IF(E417&lt;=H417,"&lt;","&gt;")</f>
        <v>&lt;</v>
      </c>
      <c r="G417" s="541" t="s">
        <v>819</v>
      </c>
      <c r="H417" s="543">
        <f>F414/(I413*G_M2)</f>
        <v>36</v>
      </c>
      <c r="J417" s="544">
        <f>ABS(E417/H417)</f>
        <v>0.42008504096857413</v>
      </c>
      <c r="K417" s="448"/>
    </row>
    <row r="418" spans="2:24" ht="18" x14ac:dyDescent="0.25">
      <c r="B418" s="447"/>
      <c r="C418" s="288" t="s">
        <v>720</v>
      </c>
      <c r="D418" s="288" t="s">
        <v>970</v>
      </c>
      <c r="E418" s="622">
        <f>E416</f>
        <v>7.5615307374343343</v>
      </c>
      <c r="F418" s="394" t="str">
        <f>IF(E418&lt;=H418,"&lt;","&gt;")</f>
        <v>&lt;</v>
      </c>
      <c r="G418" s="288" t="s">
        <v>818</v>
      </c>
      <c r="H418" s="543">
        <f>0.9*F414/G_M2</f>
        <v>25.919999999999998</v>
      </c>
      <c r="J418" s="544">
        <f>ABS(E418/H418)</f>
        <v>0.29172572289484316</v>
      </c>
      <c r="K418" s="448"/>
    </row>
    <row r="419" spans="2:24" x14ac:dyDescent="0.25">
      <c r="B419" s="447"/>
      <c r="C419" s="1019" t="s">
        <v>809</v>
      </c>
      <c r="D419" s="1019"/>
      <c r="E419" s="1019"/>
      <c r="F419" s="1019"/>
      <c r="G419" s="1019"/>
      <c r="H419" s="1019"/>
      <c r="I419" s="1019"/>
      <c r="J419" s="1019"/>
      <c r="K419" s="455"/>
    </row>
    <row r="420" spans="2:24" x14ac:dyDescent="0.25">
      <c r="B420" s="447"/>
      <c r="C420" s="621" t="str">
        <f>IF(Configuration!Y4="EN","Welded assembly with length L greater than 150a","Assemblage soudé dont la longeur L est supérieure à 150a")</f>
        <v>Assemblage soudé dont la longeur L est supérieure à 150a</v>
      </c>
      <c r="K420" s="448"/>
    </row>
    <row r="421" spans="2:24" ht="18" x14ac:dyDescent="0.25">
      <c r="B421" s="447"/>
      <c r="C421" s="288" t="s">
        <v>1643</v>
      </c>
      <c r="D421" s="678">
        <v>950</v>
      </c>
      <c r="E421" s="521" t="s">
        <v>240</v>
      </c>
      <c r="F421" s="288" t="s">
        <v>682</v>
      </c>
      <c r="G421" s="678">
        <v>5</v>
      </c>
      <c r="H421" s="521" t="s">
        <v>240</v>
      </c>
      <c r="I421" s="288" t="s">
        <v>1640</v>
      </c>
      <c r="J421" s="751">
        <f>MIN(1,1.2-0.2*D421/(150*G421))</f>
        <v>0.94666666666666655</v>
      </c>
      <c r="K421" s="448"/>
    </row>
    <row r="422" spans="2:24" x14ac:dyDescent="0.25">
      <c r="B422" s="447"/>
      <c r="C422" s="1019" t="s">
        <v>809</v>
      </c>
      <c r="D422" s="1019"/>
      <c r="E422" s="1019"/>
      <c r="F422" s="1019"/>
      <c r="G422" s="1019"/>
      <c r="H422" s="1019"/>
      <c r="I422" s="1019"/>
      <c r="J422" s="1019"/>
      <c r="K422" s="455"/>
    </row>
    <row r="423" spans="2:24" x14ac:dyDescent="0.25">
      <c r="B423" s="447"/>
      <c r="C423" s="621" t="str">
        <f>IF(Configuration!Y4="EN","Welded assembly with length L greater than 1.7m","Assemblage soudé dont la longeur L est supérieure à 1.7m")</f>
        <v>Assemblage soudé dont la longeur L est supérieure à 1.7m</v>
      </c>
      <c r="K423" s="448"/>
    </row>
    <row r="424" spans="2:24" ht="18" x14ac:dyDescent="0.25">
      <c r="B424" s="447"/>
      <c r="C424" s="288" t="s">
        <v>1642</v>
      </c>
      <c r="D424" s="678">
        <v>2000</v>
      </c>
      <c r="E424" s="521" t="s">
        <v>240</v>
      </c>
      <c r="F424" s="288"/>
      <c r="G424" s="288"/>
      <c r="H424" s="521"/>
      <c r="I424" s="288" t="s">
        <v>1641</v>
      </c>
      <c r="J424" s="751">
        <f>MAX(0.6,MIN(1,1.1-(0.001*D424)/17))</f>
        <v>0.98235294117647065</v>
      </c>
      <c r="K424" s="448"/>
    </row>
    <row r="425" spans="2:24" x14ac:dyDescent="0.25">
      <c r="B425" s="447"/>
      <c r="C425" s="288"/>
      <c r="D425" s="288"/>
      <c r="E425" s="521"/>
      <c r="F425" s="288"/>
      <c r="G425" s="288"/>
      <c r="H425" s="521"/>
      <c r="I425" s="288"/>
      <c r="J425" s="751"/>
      <c r="K425" s="448"/>
    </row>
    <row r="426" spans="2:24" x14ac:dyDescent="0.25">
      <c r="B426" s="447"/>
      <c r="C426" s="1019" t="s">
        <v>809</v>
      </c>
      <c r="D426" s="1019"/>
      <c r="E426" s="1019"/>
      <c r="F426" s="1019"/>
      <c r="G426" s="1019"/>
      <c r="H426" s="1019"/>
      <c r="I426" s="1019"/>
      <c r="J426" s="1019"/>
      <c r="K426" s="448"/>
    </row>
    <row r="427" spans="2:24" x14ac:dyDescent="0.25">
      <c r="B427" s="447"/>
      <c r="C427" s="432"/>
      <c r="K427" s="448"/>
    </row>
    <row r="428" spans="2:24" ht="15.75" thickBot="1" x14ac:dyDescent="0.3">
      <c r="B428" s="447"/>
      <c r="C428" s="432" t="str">
        <f>IF(Configuration!Y4="EN","Welded assembly of a U section","Assemblage soudé d'une section en U")</f>
        <v>Assemblage soudé d'une section en U</v>
      </c>
      <c r="K428" s="448"/>
      <c r="M428" s="432" t="s">
        <v>840</v>
      </c>
    </row>
    <row r="429" spans="2:24" ht="18" x14ac:dyDescent="0.35">
      <c r="B429" s="447"/>
      <c r="C429" s="432"/>
      <c r="K429" s="448"/>
      <c r="M429" s="388" t="s">
        <v>814</v>
      </c>
      <c r="N429" s="684">
        <v>2100</v>
      </c>
      <c r="O429" s="389" t="s">
        <v>632</v>
      </c>
      <c r="P429" s="390" t="s">
        <v>848</v>
      </c>
      <c r="Q429" s="684">
        <v>5</v>
      </c>
      <c r="R429" s="389" t="s">
        <v>240</v>
      </c>
      <c r="S429" s="390" t="s">
        <v>849</v>
      </c>
      <c r="T429" s="684">
        <v>90</v>
      </c>
      <c r="U429" s="389" t="s">
        <v>240</v>
      </c>
      <c r="V429" s="536" t="s">
        <v>424</v>
      </c>
      <c r="W429" s="536" t="s">
        <v>425</v>
      </c>
      <c r="X429" s="425" t="s">
        <v>426</v>
      </c>
    </row>
    <row r="430" spans="2:24" ht="18.75" thickBot="1" x14ac:dyDescent="0.4">
      <c r="B430" s="447"/>
      <c r="C430" s="540" t="str">
        <f>IF(Configuration!Y4="EN","Steel "&amp;N432&amp;" - βw= "&amp;X430&amp;" - af= "&amp;Q429&amp;" mm - aw= "&amp;Q430&amp;" mm","Acier "&amp;N432&amp;" - βw= "&amp;X430&amp;" - af= "&amp;Q429&amp;" mm - aw= "&amp;Q430&amp;" mm")</f>
        <v>Acier S235 - βw= 0.8 - af= 5 mm - aw= 4 mm</v>
      </c>
      <c r="K430" s="448"/>
      <c r="M430" s="391" t="s">
        <v>842</v>
      </c>
      <c r="N430" s="687">
        <v>1150</v>
      </c>
      <c r="O430" s="387" t="s">
        <v>632</v>
      </c>
      <c r="P430" s="392" t="s">
        <v>847</v>
      </c>
      <c r="Q430" s="687">
        <v>4</v>
      </c>
      <c r="R430" s="387" t="s">
        <v>240</v>
      </c>
      <c r="S430" s="392" t="s">
        <v>850</v>
      </c>
      <c r="T430" s="687">
        <v>46</v>
      </c>
      <c r="U430" s="387" t="s">
        <v>240</v>
      </c>
      <c r="V430" s="538">
        <f>VLOOKUP(N432,Data!$A$3:$D$34,2)</f>
        <v>23.5</v>
      </c>
      <c r="W430" s="538">
        <f>VLOOKUP(N432,Data!$A$3:$D$34,3)</f>
        <v>36</v>
      </c>
      <c r="X430" s="539">
        <f>VLOOKUP(N432,Data!$A$3:$D$34,4)</f>
        <v>0.8</v>
      </c>
    </row>
    <row r="431" spans="2:24" ht="18" x14ac:dyDescent="0.35">
      <c r="B431" s="447"/>
      <c r="K431" s="448"/>
      <c r="M431" s="391" t="s">
        <v>841</v>
      </c>
      <c r="N431" s="687">
        <v>3250</v>
      </c>
      <c r="O431" s="387" t="s">
        <v>514</v>
      </c>
      <c r="P431" s="392" t="s">
        <v>846</v>
      </c>
      <c r="Q431" s="547">
        <f>Q429</f>
        <v>5</v>
      </c>
      <c r="R431" s="387" t="s">
        <v>240</v>
      </c>
      <c r="S431" s="392" t="s">
        <v>851</v>
      </c>
      <c r="T431" s="687">
        <v>185</v>
      </c>
      <c r="U431" s="393" t="s">
        <v>240</v>
      </c>
    </row>
    <row r="432" spans="2:24" ht="18.75" thickBot="1" x14ac:dyDescent="0.4">
      <c r="B432" s="447"/>
      <c r="C432" s="392" t="s">
        <v>814</v>
      </c>
      <c r="D432" s="377">
        <f>N429</f>
        <v>2100</v>
      </c>
      <c r="E432" s="387" t="s">
        <v>632</v>
      </c>
      <c r="K432" s="448"/>
      <c r="M432" s="537" t="s">
        <v>423</v>
      </c>
      <c r="N432" s="685" t="s">
        <v>435</v>
      </c>
      <c r="O432" s="386"/>
      <c r="P432" s="392" t="s">
        <v>843</v>
      </c>
      <c r="Q432" s="687">
        <v>12.5</v>
      </c>
      <c r="R432" s="387" t="s">
        <v>240</v>
      </c>
      <c r="S432" s="392" t="s">
        <v>852</v>
      </c>
      <c r="T432" s="547">
        <f>T430</f>
        <v>46</v>
      </c>
      <c r="U432" s="393" t="s">
        <v>240</v>
      </c>
    </row>
    <row r="433" spans="2:21" ht="18.75" thickBot="1" x14ac:dyDescent="0.4">
      <c r="B433" s="447"/>
      <c r="C433" s="392" t="s">
        <v>842</v>
      </c>
      <c r="D433" s="377">
        <f>N430</f>
        <v>1150</v>
      </c>
      <c r="E433" s="387" t="s">
        <v>632</v>
      </c>
      <c r="K433" s="448"/>
      <c r="M433" s="542" t="s">
        <v>820</v>
      </c>
      <c r="P433" s="391" t="s">
        <v>844</v>
      </c>
      <c r="Q433" s="687">
        <v>215</v>
      </c>
      <c r="R433" s="387" t="s">
        <v>240</v>
      </c>
      <c r="S433" s="605" t="s">
        <v>853</v>
      </c>
      <c r="T433" s="548">
        <f>T429</f>
        <v>90</v>
      </c>
      <c r="U433" s="397" t="s">
        <v>240</v>
      </c>
    </row>
    <row r="434" spans="2:21" ht="18.75" thickBot="1" x14ac:dyDescent="0.4">
      <c r="B434" s="447"/>
      <c r="C434" s="392" t="s">
        <v>841</v>
      </c>
      <c r="D434" s="377">
        <f>N431</f>
        <v>3250</v>
      </c>
      <c r="E434" s="387" t="s">
        <v>514</v>
      </c>
      <c r="K434" s="448"/>
      <c r="P434" s="537" t="s">
        <v>845</v>
      </c>
      <c r="Q434" s="548">
        <f>Q432</f>
        <v>12.5</v>
      </c>
      <c r="R434" s="397" t="s">
        <v>240</v>
      </c>
    </row>
    <row r="435" spans="2:21" x14ac:dyDescent="0.25">
      <c r="B435" s="447"/>
      <c r="C435" s="432"/>
      <c r="K435" s="448"/>
      <c r="P435" s="392"/>
      <c r="R435" s="387"/>
    </row>
    <row r="436" spans="2:21" x14ac:dyDescent="0.25">
      <c r="B436" s="447"/>
      <c r="C436" s="432"/>
      <c r="K436" s="448"/>
      <c r="P436" s="392"/>
      <c r="R436" s="387"/>
    </row>
    <row r="437" spans="2:21" ht="18" x14ac:dyDescent="0.35">
      <c r="B437" s="447"/>
      <c r="C437" s="392" t="s">
        <v>963</v>
      </c>
      <c r="D437" s="534">
        <f>T429</f>
        <v>90</v>
      </c>
      <c r="E437" s="394" t="str">
        <f>IF(D437&lt;=H437,"&lt;","&gt;")</f>
        <v>&gt;</v>
      </c>
      <c r="G437" s="392" t="s">
        <v>817</v>
      </c>
      <c r="H437" s="534">
        <f>MAX(30,6*Q429)</f>
        <v>30</v>
      </c>
      <c r="I437" s="521" t="str">
        <f>IF(D437&lt;=H437,"NON OK !!","OK !")</f>
        <v>OK !</v>
      </c>
      <c r="K437" s="448"/>
      <c r="M437" s="432"/>
    </row>
    <row r="438" spans="2:21" ht="18" x14ac:dyDescent="0.35">
      <c r="B438" s="447"/>
      <c r="C438" s="392" t="s">
        <v>964</v>
      </c>
      <c r="D438" s="534">
        <f>T430</f>
        <v>46</v>
      </c>
      <c r="E438" s="394" t="str">
        <f>IF(D438&lt;=H438,"&lt;","&gt;")</f>
        <v>&gt;</v>
      </c>
      <c r="G438" s="392" t="s">
        <v>817</v>
      </c>
      <c r="H438" s="534">
        <f>MAX(30,6*Q429)</f>
        <v>30</v>
      </c>
      <c r="I438" s="521" t="str">
        <f>IF(D438&lt;=H438,"NON OK !!","OK !")</f>
        <v>OK !</v>
      </c>
      <c r="K438" s="448"/>
      <c r="M438" s="432"/>
    </row>
    <row r="439" spans="2:21" ht="18" x14ac:dyDescent="0.35">
      <c r="B439" s="447"/>
      <c r="C439" s="392" t="s">
        <v>965</v>
      </c>
      <c r="D439" s="534">
        <f>T431</f>
        <v>185</v>
      </c>
      <c r="E439" s="394" t="str">
        <f>IF(D439&lt;=H439,"&lt;","&gt;")</f>
        <v>&gt;</v>
      </c>
      <c r="G439" s="392" t="s">
        <v>817</v>
      </c>
      <c r="H439" s="534">
        <f>MAX(30,6*Q430)</f>
        <v>30</v>
      </c>
      <c r="I439" s="521" t="str">
        <f>IF(D439&lt;=H439,"NON OK !!","OK !")</f>
        <v>OK !</v>
      </c>
      <c r="K439" s="448"/>
      <c r="M439" s="432"/>
    </row>
    <row r="440" spans="2:21" x14ac:dyDescent="0.25">
      <c r="B440" s="447"/>
      <c r="C440" s="432"/>
      <c r="K440" s="448"/>
      <c r="M440" s="432"/>
    </row>
    <row r="441" spans="2:21" x14ac:dyDescent="0.25">
      <c r="B441" s="447"/>
      <c r="C441" s="535" t="str">
        <f>IF(Configuration!Y4="EN","Stresses due to axial force NEd","Contraintes dues à l'effort normal NEd")</f>
        <v>Contraintes dues à l'effort normal NEd</v>
      </c>
      <c r="F441" s="514"/>
      <c r="G441" s="533"/>
      <c r="K441" s="448"/>
    </row>
    <row r="442" spans="2:21" x14ac:dyDescent="0.25">
      <c r="B442" s="447"/>
      <c r="E442" s="288" t="str">
        <f>IF(Configuration!Y4="EN","Tensile weld area: Sa =","Aire des soudures tendues : Sa =")</f>
        <v>Aire des soudures tendues : Sa =</v>
      </c>
      <c r="F442" s="623">
        <f>Q429*(T429+T430)+2*Q430*T431+Q431*(T433+T432)</f>
        <v>2840</v>
      </c>
      <c r="K442" s="448"/>
    </row>
    <row r="443" spans="2:21" ht="18" x14ac:dyDescent="0.25">
      <c r="B443" s="447"/>
      <c r="D443" s="288" t="s">
        <v>1032</v>
      </c>
      <c r="E443" s="543">
        <f>(SQRT(2)/2)*(D432/F442)</f>
        <v>0.52286064806047527</v>
      </c>
      <c r="F443" s="514"/>
      <c r="G443" s="288" t="s">
        <v>1033</v>
      </c>
      <c r="H443" s="543">
        <v>0</v>
      </c>
      <c r="K443" s="448"/>
    </row>
    <row r="444" spans="2:21" x14ac:dyDescent="0.25">
      <c r="B444" s="447"/>
      <c r="C444" s="535" t="str">
        <f>IF(Configuration!Y4="EN","Stresses due to bending moment MEd","Contraintes dues au moment fléchissant MEd")</f>
        <v>Contraintes dues au moment fléchissant MEd</v>
      </c>
      <c r="F444" s="514"/>
      <c r="G444" s="533"/>
      <c r="K444" s="448"/>
    </row>
    <row r="445" spans="2:21" x14ac:dyDescent="0.25">
      <c r="B445" s="447"/>
      <c r="D445" s="288"/>
      <c r="E445" s="288" t="str">
        <f>IF(Configuration!Y4="EN","Outer weld distance: dext =","Distance du cordon extérieur : dext =")</f>
        <v>Distance du cordon extérieur : dext =</v>
      </c>
      <c r="F445" s="624">
        <f>0.5*(Q433+0.5*SQRT(2)*(Q429+Q431)+(Q432+Q434))/10</f>
        <v>12.353553390593273</v>
      </c>
      <c r="G445" s="288"/>
      <c r="H445" s="543"/>
      <c r="K445" s="448"/>
    </row>
    <row r="446" spans="2:21" x14ac:dyDescent="0.25">
      <c r="B446" s="447"/>
      <c r="E446" s="288" t="str">
        <f>IF(Configuration!Y4="EN","Inner weld distance: dint =","Distance du cordon intérieur : dint =")</f>
        <v>Distance du cordon intérieur : dint =</v>
      </c>
      <c r="F446" s="624">
        <f>0.5*(Q433-0.5*SQRT(2)*(Q429+Q431))/10</f>
        <v>10.396446609406727</v>
      </c>
      <c r="K446" s="448"/>
    </row>
    <row r="447" spans="2:21" x14ac:dyDescent="0.25">
      <c r="B447" s="447"/>
      <c r="E447" s="288" t="str">
        <f>IF(Configuration!Y4="EN","Weld moment of inertia: Iy =","Inertie des cordons de soudure : Iy =")</f>
        <v>Inertie des cordons de soudure : Iy =</v>
      </c>
      <c r="F447" s="627">
        <f>(0.01*(T430*Q429+T432*Q431))*F446^2+(0.01*(T429*Q429+T433*Q431))*F445^2</f>
        <v>1870.6886020384723</v>
      </c>
      <c r="K447" s="448"/>
    </row>
    <row r="448" spans="2:21" ht="18" x14ac:dyDescent="0.25">
      <c r="B448" s="447"/>
      <c r="D448" s="288" t="s">
        <v>1048</v>
      </c>
      <c r="E448" s="543">
        <f>-0.5*SQRT(2)*D434*F445/F447</f>
        <v>-15.176050378101088</v>
      </c>
      <c r="F448" s="514"/>
      <c r="G448" s="288" t="s">
        <v>1036</v>
      </c>
      <c r="H448" s="543">
        <v>0</v>
      </c>
      <c r="K448" s="448"/>
    </row>
    <row r="449" spans="2:11" ht="18" x14ac:dyDescent="0.25">
      <c r="B449" s="447"/>
      <c r="D449" s="288" t="s">
        <v>1049</v>
      </c>
      <c r="E449" s="543">
        <f>0.5*SQRT(2)*D434*F445/F447</f>
        <v>15.176050378101088</v>
      </c>
      <c r="F449" s="514"/>
      <c r="G449" s="288" t="s">
        <v>1036</v>
      </c>
      <c r="H449" s="543">
        <v>0</v>
      </c>
      <c r="K449" s="448"/>
    </row>
    <row r="450" spans="2:11" x14ac:dyDescent="0.25">
      <c r="B450" s="447"/>
      <c r="C450" s="535" t="str">
        <f>IF(Configuration!Y4="EN","Stresses due to shear force VEd","Contraintes dues à l'effort tranchant VEd")</f>
        <v>Contraintes dues à l'effort tranchant VEd</v>
      </c>
      <c r="F450" s="514"/>
      <c r="G450" s="533"/>
      <c r="K450" s="448"/>
    </row>
    <row r="451" spans="2:11" ht="18" x14ac:dyDescent="0.25">
      <c r="B451" s="447"/>
      <c r="D451" s="288" t="s">
        <v>1034</v>
      </c>
      <c r="E451" s="543">
        <v>0</v>
      </c>
      <c r="F451" s="514"/>
      <c r="G451" s="288" t="s">
        <v>1050</v>
      </c>
      <c r="H451" s="543">
        <f>N430/(2*T431*Q430)</f>
        <v>0.77702702702702697</v>
      </c>
      <c r="K451" s="448"/>
    </row>
    <row r="452" spans="2:11" x14ac:dyDescent="0.25">
      <c r="B452" s="447"/>
      <c r="K452" s="448"/>
    </row>
    <row r="453" spans="2:11" x14ac:dyDescent="0.25">
      <c r="B453" s="447"/>
      <c r="C453" s="432" t="str">
        <f>IF(Configuration!Y4="EN","Weld Check","Vérification des Cordons")</f>
        <v>Vérification des Cordons</v>
      </c>
      <c r="K453" s="448"/>
    </row>
    <row r="454" spans="2:11" x14ac:dyDescent="0.25">
      <c r="B454" s="447"/>
      <c r="C454" s="535" t="str">
        <f>IF(Configuration!Y4="EN","Point A: Upper flange","Point A : Semelle supérieure")</f>
        <v>Point A : Semelle supérieure</v>
      </c>
      <c r="K454" s="448"/>
    </row>
    <row r="455" spans="2:11" ht="18" x14ac:dyDescent="0.25">
      <c r="B455" s="447"/>
      <c r="C455" s="432"/>
      <c r="D455" s="288" t="s">
        <v>1051</v>
      </c>
      <c r="E455" s="543">
        <f>E443+E448</f>
        <v>-14.653189730040612</v>
      </c>
      <c r="G455" s="288" t="s">
        <v>1052</v>
      </c>
      <c r="H455" s="543">
        <f>E443+E448</f>
        <v>-14.653189730040612</v>
      </c>
      <c r="K455" s="448"/>
    </row>
    <row r="456" spans="2:11" ht="18" x14ac:dyDescent="0.25">
      <c r="B456" s="447"/>
      <c r="D456" s="288" t="s">
        <v>1046</v>
      </c>
      <c r="E456" s="543">
        <f>SQRT(E455^2+3*(H455^2))</f>
        <v>29.306379460081224</v>
      </c>
      <c r="F456" s="394" t="str">
        <f>IF(E456&lt;=H456,"&lt;","&gt;")</f>
        <v>&lt;</v>
      </c>
      <c r="G456" s="541" t="s">
        <v>819</v>
      </c>
      <c r="H456" s="543">
        <f>W430/(X430*G_M2)</f>
        <v>36</v>
      </c>
      <c r="J456" s="544">
        <f>ABS(E456/H456)</f>
        <v>0.81406609611336733</v>
      </c>
      <c r="K456" s="448"/>
    </row>
    <row r="457" spans="2:11" ht="18" x14ac:dyDescent="0.25">
      <c r="B457" s="447"/>
      <c r="C457" s="288" t="s">
        <v>720</v>
      </c>
      <c r="D457" s="288" t="s">
        <v>1047</v>
      </c>
      <c r="E457" s="622">
        <f>E455</f>
        <v>-14.653189730040612</v>
      </c>
      <c r="F457" s="394" t="str">
        <f>IF(E457&lt;=H457,"&lt;","&gt;")</f>
        <v>&lt;</v>
      </c>
      <c r="G457" s="288" t="s">
        <v>818</v>
      </c>
      <c r="H457" s="543">
        <f>0.9*W430/G_M2</f>
        <v>25.919999999999998</v>
      </c>
      <c r="J457" s="544">
        <f>ABS(E457/H457)</f>
        <v>0.56532367785650517</v>
      </c>
      <c r="K457" s="448"/>
    </row>
    <row r="458" spans="2:11" x14ac:dyDescent="0.25">
      <c r="B458" s="447"/>
      <c r="C458" s="535" t="str">
        <f>IF(Configuration!Y4="EN","Point B: Lower flange","Point B : Semelle inférieure")</f>
        <v>Point B : Semelle inférieure</v>
      </c>
      <c r="K458" s="448"/>
    </row>
    <row r="459" spans="2:11" ht="18" x14ac:dyDescent="0.25">
      <c r="B459" s="447"/>
      <c r="C459" s="432"/>
      <c r="D459" s="288" t="s">
        <v>1053</v>
      </c>
      <c r="E459" s="543">
        <f>E443+E449</f>
        <v>15.698911026161564</v>
      </c>
      <c r="G459" s="288" t="s">
        <v>1054</v>
      </c>
      <c r="H459" s="543">
        <f>E443+E449</f>
        <v>15.698911026161564</v>
      </c>
      <c r="K459" s="448"/>
    </row>
    <row r="460" spans="2:11" ht="18" x14ac:dyDescent="0.25">
      <c r="B460" s="447"/>
      <c r="D460" s="288" t="s">
        <v>1046</v>
      </c>
      <c r="E460" s="543">
        <f>SQRT(E459^2+3*(H459^2))</f>
        <v>31.397822052323129</v>
      </c>
      <c r="F460" s="394" t="str">
        <f>IF(E460&lt;=H460,"&lt;","&gt;")</f>
        <v>&lt;</v>
      </c>
      <c r="G460" s="541" t="s">
        <v>819</v>
      </c>
      <c r="H460" s="543">
        <f>W430/(X430*G_M2)</f>
        <v>36</v>
      </c>
      <c r="J460" s="544">
        <f>ABS(E460/H460)</f>
        <v>0.87216172367564249</v>
      </c>
      <c r="K460" s="448"/>
    </row>
    <row r="461" spans="2:11" ht="18" x14ac:dyDescent="0.25">
      <c r="B461" s="447"/>
      <c r="C461" s="288" t="s">
        <v>720</v>
      </c>
      <c r="D461" s="288" t="s">
        <v>1047</v>
      </c>
      <c r="E461" s="622">
        <f>E459</f>
        <v>15.698911026161564</v>
      </c>
      <c r="F461" s="394" t="str">
        <f>IF(E461&lt;=H461,"&lt;","&gt;")</f>
        <v>&lt;</v>
      </c>
      <c r="G461" s="288" t="s">
        <v>818</v>
      </c>
      <c r="H461" s="543">
        <f>0.9*W430/G_M2</f>
        <v>25.919999999999998</v>
      </c>
      <c r="J461" s="544">
        <f>ABS(E461/H461)</f>
        <v>0.60566786366364067</v>
      </c>
      <c r="K461" s="448"/>
    </row>
    <row r="462" spans="2:11" x14ac:dyDescent="0.25">
      <c r="B462" s="447"/>
      <c r="C462" s="535" t="str">
        <f>IF(Configuration!Y4="EN","Point C: Web","Point C : Âme")</f>
        <v>Point C : Âme</v>
      </c>
      <c r="K462" s="448"/>
    </row>
    <row r="463" spans="2:11" ht="18" x14ac:dyDescent="0.25">
      <c r="B463" s="447"/>
      <c r="C463" s="432"/>
      <c r="D463" s="288" t="s">
        <v>1056</v>
      </c>
      <c r="E463" s="543">
        <f>E443</f>
        <v>0.52286064806047527</v>
      </c>
      <c r="G463" s="288" t="s">
        <v>1055</v>
      </c>
      <c r="H463" s="543">
        <f>H451</f>
        <v>0.77702702702702697</v>
      </c>
      <c r="K463" s="448"/>
    </row>
    <row r="464" spans="2:11" ht="18" x14ac:dyDescent="0.25">
      <c r="B464" s="447"/>
      <c r="D464" s="288" t="s">
        <v>1046</v>
      </c>
      <c r="E464" s="543">
        <f>SQRT(E463^2+3*(E463^2+H463^2))</f>
        <v>1.7043608864768813</v>
      </c>
      <c r="F464" s="394" t="str">
        <f>IF(E464&lt;=H464,"&lt;","&gt;")</f>
        <v>&lt;</v>
      </c>
      <c r="G464" s="541" t="s">
        <v>819</v>
      </c>
      <c r="H464" s="543">
        <f>W430/(X430*G_M2)</f>
        <v>36</v>
      </c>
      <c r="J464" s="544">
        <f>ABS(E464/H464)</f>
        <v>4.7343357957691151E-2</v>
      </c>
      <c r="K464" s="448"/>
    </row>
    <row r="465" spans="2:11" ht="18" x14ac:dyDescent="0.25">
      <c r="B465" s="447"/>
      <c r="C465" s="288" t="s">
        <v>720</v>
      </c>
      <c r="D465" s="288" t="s">
        <v>1047</v>
      </c>
      <c r="E465" s="622">
        <f>E463</f>
        <v>0.52286064806047527</v>
      </c>
      <c r="F465" s="394" t="str">
        <f>IF(E465&lt;=H465,"&lt;","&gt;")</f>
        <v>&lt;</v>
      </c>
      <c r="G465" s="288" t="s">
        <v>818</v>
      </c>
      <c r="H465" s="543">
        <f>0.9*W430/G_M2</f>
        <v>25.919999999999998</v>
      </c>
      <c r="J465" s="544">
        <f>ABS(E465/H465)</f>
        <v>2.017209290356772E-2</v>
      </c>
      <c r="K465" s="448"/>
    </row>
    <row r="466" spans="2:11" x14ac:dyDescent="0.25">
      <c r="B466" s="449"/>
      <c r="C466" s="378"/>
      <c r="D466" s="378"/>
      <c r="E466" s="378"/>
      <c r="F466" s="378"/>
      <c r="G466" s="378"/>
      <c r="H466" s="378"/>
      <c r="I466" s="378"/>
      <c r="J466" s="378"/>
      <c r="K466" s="450"/>
    </row>
  </sheetData>
  <sheetProtection algorithmName="SHA-512" hashValue="jxnoWv6O5ufEDnAMJAsaB0BcmYA1oLCiq9CDfgdp5HbSjhcU5QE9g8W23nAOYTbp3cY6uiyrHQP4exUSAitctA==" saltValue="yiM+mEepZkIV8dFjN0gsUQ==" spinCount="100000" sheet="1" objects="1" scenarios="1"/>
  <mergeCells count="20">
    <mergeCell ref="C10:J10"/>
    <mergeCell ref="C17:J17"/>
    <mergeCell ref="C26:J26"/>
    <mergeCell ref="C42:J42"/>
    <mergeCell ref="C303:J303"/>
    <mergeCell ref="C113:J113"/>
    <mergeCell ref="C168:J168"/>
    <mergeCell ref="C200:J200"/>
    <mergeCell ref="C253:J253"/>
    <mergeCell ref="C58:J58"/>
    <mergeCell ref="C74:J74"/>
    <mergeCell ref="C322:J322"/>
    <mergeCell ref="C350:J350"/>
    <mergeCell ref="C363:J363"/>
    <mergeCell ref="C426:J426"/>
    <mergeCell ref="C419:J419"/>
    <mergeCell ref="C422:J422"/>
    <mergeCell ref="C393:J393"/>
    <mergeCell ref="C373:J373"/>
    <mergeCell ref="C405:J405"/>
  </mergeCells>
  <dataValidations count="2">
    <dataValidation type="list" allowBlank="1" showInputMessage="1" showErrorMessage="1" sqref="P20" xr:uid="{7EBEF360-65EA-4387-8DD2-506BA7AB08EB}">
      <formula1>"L =,b ="</formula1>
    </dataValidation>
    <dataValidation type="list" allowBlank="1" showInputMessage="1" showErrorMessage="1" sqref="N327" xr:uid="{62A244DD-FB9C-405A-AD70-B1CAF09B1267}">
      <formula1>"Simple,Double"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13" orientation="portrait" horizontalDpi="4294967293" r:id="rId1"/>
  <ignoredErrors>
    <ignoredError sqref="F241 J241 E302:F302 E300 J302" evalError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997A9A-E1C5-4314-8C83-82649BA7EB6E}">
          <x14:formula1>
            <xm:f>Data!$A$3:$A$34</xm:f>
          </x14:formula1>
          <xm:sqref>N6 N20 N13 N29 N45 N61 N79 N366 N353 N173 N118 N205 N258 N307 N328 N377 N396 D413 N432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3C2EE-BFB1-4E85-A1B6-E234323E18E5}">
  <sheetPr codeName="Feuil10">
    <tabColor rgb="FF0070C0"/>
    <pageSetUpPr fitToPage="1"/>
  </sheetPr>
  <dimension ref="B1:V269"/>
  <sheetViews>
    <sheetView zoomScaleNormal="100" zoomScaleSheetLayoutView="100" workbookViewId="0">
      <selection activeCell="N4" sqref="N4"/>
    </sheetView>
  </sheetViews>
  <sheetFormatPr baseColWidth="10" defaultColWidth="10.7109375" defaultRowHeight="15" customHeight="1" x14ac:dyDescent="0.25"/>
  <cols>
    <col min="1" max="1" width="6.28515625" style="377" customWidth="1"/>
    <col min="2" max="2" width="2.140625" style="377" customWidth="1"/>
    <col min="3" max="10" width="10.7109375" style="377" customWidth="1"/>
    <col min="11" max="11" width="2.140625" style="377" customWidth="1"/>
    <col min="12" max="12" width="6.28515625" style="377" customWidth="1"/>
    <col min="13" max="17" width="12.85546875" style="377" customWidth="1"/>
    <col min="18" max="18" width="10.7109375" style="377"/>
    <col min="19" max="19" width="12.140625" style="377" bestFit="1" customWidth="1"/>
    <col min="20" max="16384" width="10.7109375" style="377"/>
  </cols>
  <sheetData>
    <row r="1" spans="2:22" ht="15" customHeight="1" x14ac:dyDescent="0.25">
      <c r="Q1" s="359"/>
      <c r="R1" s="359"/>
      <c r="S1" s="359"/>
    </row>
    <row r="2" spans="2:22" ht="15" customHeight="1" x14ac:dyDescent="0.25">
      <c r="B2" s="444"/>
      <c r="C2" s="445"/>
      <c r="D2" s="445"/>
      <c r="E2" s="445"/>
      <c r="F2" s="445"/>
      <c r="G2" s="445"/>
      <c r="H2" s="445"/>
      <c r="I2" s="510"/>
      <c r="J2" s="445"/>
      <c r="K2" s="446"/>
    </row>
    <row r="3" spans="2:22" ht="15" customHeight="1" thickBot="1" x14ac:dyDescent="0.3">
      <c r="B3" s="447"/>
      <c r="C3" s="531" t="str">
        <f>IF(Configuration!Y4="EN","Resistance of anchor rods with bearing plates","Résistance des tiges d'ancrages à plaquettes")</f>
        <v>Résistance des tiges d'ancrages à plaquettes</v>
      </c>
      <c r="G3" s="443"/>
      <c r="I3" s="645" t="s">
        <v>1841</v>
      </c>
      <c r="J3" s="433">
        <f>IF(Q5="OUI",MAX(I11:I27),MAX(I11:I31))</f>
        <v>0.80840606014930971</v>
      </c>
      <c r="K3" s="448"/>
      <c r="M3" s="553" t="s">
        <v>857</v>
      </c>
    </row>
    <row r="4" spans="2:22" ht="15" customHeight="1" x14ac:dyDescent="0.25">
      <c r="B4" s="447"/>
      <c r="K4" s="448"/>
      <c r="M4" s="409" t="s">
        <v>860</v>
      </c>
      <c r="N4" s="673">
        <v>5100</v>
      </c>
      <c r="O4" s="410" t="s">
        <v>733</v>
      </c>
      <c r="P4" s="677">
        <v>20</v>
      </c>
      <c r="Q4" s="934" t="s">
        <v>1939</v>
      </c>
      <c r="R4" s="413"/>
      <c r="S4" s="413"/>
      <c r="T4" s="417"/>
      <c r="U4" s="387"/>
      <c r="V4" s="387"/>
    </row>
    <row r="5" spans="2:22" ht="15" customHeight="1" x14ac:dyDescent="0.25">
      <c r="B5" s="447"/>
      <c r="C5" s="443" t="str">
        <f>IF(Configuration!Y4="EN","Rods M"&amp;P4&amp;" - "&amp;P5&amp;" - L = "&amp;N6&amp;" mm","Tiges M"&amp;P4&amp;" - "&amp;P5&amp;" - L = "&amp;N6&amp;" mm")</f>
        <v>Tiges M20 - 8.8 - L = 200 mm</v>
      </c>
      <c r="K5" s="448"/>
      <c r="M5" s="556" t="s">
        <v>861</v>
      </c>
      <c r="N5" s="674">
        <v>0</v>
      </c>
      <c r="O5" s="552" t="s">
        <v>423</v>
      </c>
      <c r="P5" s="678">
        <v>8.8000000000000007</v>
      </c>
      <c r="Q5" s="935" t="s">
        <v>1264</v>
      </c>
      <c r="R5" s="413"/>
      <c r="S5" s="413"/>
      <c r="T5" s="413"/>
      <c r="U5" s="387"/>
      <c r="V5" s="387"/>
    </row>
    <row r="6" spans="2:22" ht="15" customHeight="1" x14ac:dyDescent="0.25">
      <c r="B6" s="447"/>
      <c r="C6" s="443" t="str">
        <f>IF(Configuration!Y4="EN","Bearing plates thk."&amp;P7&amp;" mm - dr = "&amp;N7&amp;" mm","Plaquettes ép."&amp;P7&amp;" mm - dr = "&amp;N7&amp;" mm")</f>
        <v>Plaquettes ép.10 mm - dr = 50 mm</v>
      </c>
      <c r="K6" s="448"/>
      <c r="M6" s="411" t="s">
        <v>654</v>
      </c>
      <c r="N6" s="675">
        <v>200</v>
      </c>
      <c r="O6" s="552" t="s">
        <v>449</v>
      </c>
      <c r="P6" s="678" t="s">
        <v>472</v>
      </c>
      <c r="Q6" s="416" t="s">
        <v>868</v>
      </c>
      <c r="R6" s="413"/>
      <c r="S6" s="413"/>
      <c r="T6" s="413"/>
      <c r="U6" s="387"/>
      <c r="V6" s="387"/>
    </row>
    <row r="7" spans="2:22" ht="15" customHeight="1" x14ac:dyDescent="0.25">
      <c r="B7" s="447"/>
      <c r="C7" s="443" t="str">
        <f>IF(Configuration!Y4="EN","Concrete "&amp;P6,"Béton "&amp;P6)</f>
        <v>Béton C 30/37</v>
      </c>
      <c r="K7" s="448"/>
      <c r="M7" s="554" t="s">
        <v>866</v>
      </c>
      <c r="N7" s="676">
        <v>50</v>
      </c>
      <c r="O7" s="555" t="s">
        <v>867</v>
      </c>
      <c r="P7" s="676">
        <v>10</v>
      </c>
      <c r="Q7" s="558">
        <f>VLOOKUP(P6,Data!$A$40:$H$128,2)/1.5</f>
        <v>2</v>
      </c>
      <c r="R7" s="413"/>
      <c r="S7" s="413"/>
      <c r="T7" s="413"/>
      <c r="U7" s="387"/>
      <c r="V7" s="387"/>
    </row>
    <row r="8" spans="2:22" ht="15" customHeight="1" x14ac:dyDescent="0.25">
      <c r="B8" s="447"/>
      <c r="C8" s="443" t="str">
        <f>"P1 = "&amp;N8&amp;" mm - P2 = "&amp;P8&amp;" mm"</f>
        <v>P1 = 100 mm - P2 = 150 mm</v>
      </c>
      <c r="K8" s="448"/>
      <c r="M8" s="411" t="s">
        <v>862</v>
      </c>
      <c r="N8" s="675">
        <v>100</v>
      </c>
      <c r="O8" s="552" t="s">
        <v>864</v>
      </c>
      <c r="P8" s="675">
        <v>150</v>
      </c>
      <c r="Q8" s="371"/>
      <c r="R8" s="413"/>
      <c r="S8" s="413"/>
      <c r="T8" s="413"/>
      <c r="U8" s="387"/>
      <c r="V8" s="387"/>
    </row>
    <row r="9" spans="2:22" ht="15" customHeight="1" x14ac:dyDescent="0.25">
      <c r="B9" s="447"/>
      <c r="C9" s="443" t="str">
        <f>"C1 = "&amp;N9&amp;" mm - C2 = "&amp;P9&amp;" mm"</f>
        <v>C1 = 0 mm - C2 = 100 mm</v>
      </c>
      <c r="K9" s="448"/>
      <c r="M9" s="411" t="s">
        <v>863</v>
      </c>
      <c r="N9" s="675">
        <v>0</v>
      </c>
      <c r="O9" s="552" t="s">
        <v>865</v>
      </c>
      <c r="P9" s="675">
        <v>100</v>
      </c>
      <c r="Q9" s="371"/>
      <c r="R9" s="413"/>
      <c r="S9" s="413"/>
      <c r="T9" s="413"/>
      <c r="U9" s="387"/>
      <c r="V9" s="387"/>
    </row>
    <row r="10" spans="2:22" ht="15" customHeight="1" x14ac:dyDescent="0.25">
      <c r="B10" s="447"/>
      <c r="K10" s="448"/>
      <c r="M10" s="414" t="s">
        <v>216</v>
      </c>
      <c r="N10" s="415" t="s">
        <v>737</v>
      </c>
      <c r="O10" s="415" t="s">
        <v>738</v>
      </c>
      <c r="P10" s="415" t="s">
        <v>739</v>
      </c>
      <c r="Q10" s="416" t="s">
        <v>740</v>
      </c>
      <c r="R10" s="413"/>
      <c r="S10" s="413"/>
      <c r="T10" s="413"/>
      <c r="U10" s="387"/>
      <c r="V10" s="387"/>
    </row>
    <row r="11" spans="2:22" ht="15" customHeight="1" thickBot="1" x14ac:dyDescent="0.3">
      <c r="B11" s="447"/>
      <c r="C11" s="578" t="str">
        <f>IF(Configuration!Y4="EN","Tensile resistance check","Vérification à la traction")</f>
        <v>Vérification à la traction</v>
      </c>
      <c r="I11" s="435">
        <f>N4/E12</f>
        <v>0.42517006802721091</v>
      </c>
      <c r="K11" s="448"/>
      <c r="M11" s="418">
        <f>VLOOKUP(P4,Data!$K$3:$P$20,4)</f>
        <v>314</v>
      </c>
      <c r="N11" s="419">
        <f>VLOOKUP(P4,Data!$K$3:$P$20,5)</f>
        <v>245</v>
      </c>
      <c r="O11" s="420">
        <f>VLOOKUP(P5,Data!$F$3:$H$16,2)</f>
        <v>64</v>
      </c>
      <c r="P11" s="420">
        <f>VLOOKUP(P5,Data!$F$3:$H$16,3)</f>
        <v>80</v>
      </c>
      <c r="Q11" s="421">
        <f>VLOOKUP(P5,Data!$F$2:$I$16,4)</f>
        <v>0.6</v>
      </c>
      <c r="R11" s="413"/>
      <c r="S11" s="413"/>
      <c r="T11" s="413"/>
      <c r="U11" s="387"/>
      <c r="V11" s="387"/>
    </row>
    <row r="12" spans="2:22" ht="15" customHeight="1" x14ac:dyDescent="0.25">
      <c r="B12" s="447"/>
      <c r="C12" s="359"/>
      <c r="D12" s="240"/>
      <c r="E12" s="551">
        <f>H12*(0.9*P11*N11/G_M2)</f>
        <v>11995.199999999999</v>
      </c>
      <c r="F12" s="359" t="s">
        <v>632</v>
      </c>
      <c r="G12" s="240"/>
      <c r="H12" s="359">
        <v>0.85</v>
      </c>
      <c r="K12" s="448"/>
      <c r="Q12" s="413"/>
      <c r="R12" s="413"/>
      <c r="S12" s="413"/>
      <c r="T12" s="413"/>
      <c r="U12" s="387"/>
      <c r="V12" s="387"/>
    </row>
    <row r="13" spans="2:22" ht="15" customHeight="1" x14ac:dyDescent="0.25">
      <c r="B13" s="447"/>
      <c r="C13" s="359"/>
      <c r="D13" s="359"/>
      <c r="E13" s="359"/>
      <c r="F13" s="359"/>
      <c r="K13" s="448"/>
      <c r="Q13" s="413"/>
      <c r="R13" s="413"/>
      <c r="S13" s="413"/>
      <c r="T13" s="413"/>
      <c r="U13" s="387"/>
      <c r="V13" s="387"/>
    </row>
    <row r="14" spans="2:22" ht="15" customHeight="1" x14ac:dyDescent="0.25">
      <c r="B14" s="447"/>
      <c r="C14" s="578" t="str">
        <f>IF(Configuration!Y4="EN","Tensile resistance check in concrete","Vérification à la traction dans le béton")</f>
        <v>Vérification à la traction dans le béton</v>
      </c>
      <c r="I14" s="435">
        <f>N4/G15</f>
        <v>0.80840606014930971</v>
      </c>
      <c r="K14" s="448"/>
      <c r="M14" s="377" t="s">
        <v>870</v>
      </c>
      <c r="N14" s="557">
        <f>N6</f>
        <v>200</v>
      </c>
    </row>
    <row r="15" spans="2:22" ht="15" customHeight="1" x14ac:dyDescent="0.25">
      <c r="B15" s="447"/>
      <c r="C15" s="359"/>
      <c r="D15" s="240"/>
      <c r="G15" s="551">
        <f>2.55*Q7*PI()*((N7^2-P4^2)/4)*(1-N7/(2*G17))</f>
        <v>6308.7107474900031</v>
      </c>
      <c r="H15" s="359" t="s">
        <v>632</v>
      </c>
      <c r="K15" s="448"/>
      <c r="M15" s="377" t="s">
        <v>871</v>
      </c>
      <c r="N15" s="557">
        <f>N9</f>
        <v>0</v>
      </c>
    </row>
    <row r="16" spans="2:22" ht="15" customHeight="1" x14ac:dyDescent="0.25">
      <c r="B16" s="447"/>
      <c r="C16" s="359"/>
      <c r="D16" s="359"/>
      <c r="E16" s="359"/>
      <c r="K16" s="448"/>
      <c r="M16" s="377" t="s">
        <v>872</v>
      </c>
      <c r="N16" s="557">
        <f>P9</f>
        <v>100</v>
      </c>
    </row>
    <row r="17" spans="2:14" ht="15" customHeight="1" x14ac:dyDescent="0.25">
      <c r="B17" s="447"/>
      <c r="D17" s="240"/>
      <c r="E17" s="359"/>
      <c r="F17" s="288"/>
      <c r="G17" s="534" cm="1">
        <f t="array" ref="G17">MIN(IF(N14:N18&lt;&gt;0,N14:N18))</f>
        <v>100</v>
      </c>
      <c r="K17" s="448"/>
      <c r="M17" s="377" t="s">
        <v>873</v>
      </c>
      <c r="N17" s="557">
        <f>N8</f>
        <v>100</v>
      </c>
    </row>
    <row r="18" spans="2:14" ht="15" customHeight="1" x14ac:dyDescent="0.25">
      <c r="B18" s="447"/>
      <c r="K18" s="448"/>
      <c r="M18" s="377" t="s">
        <v>874</v>
      </c>
      <c r="N18" s="557">
        <f>P8</f>
        <v>150</v>
      </c>
    </row>
    <row r="19" spans="2:14" ht="15" customHeight="1" x14ac:dyDescent="0.25">
      <c r="B19" s="447"/>
      <c r="C19" s="578" t="str">
        <f>IF(Configuration!Y4="EN","Bearing plate thickness check","Vérification de l'épaisseur des plaquettes")</f>
        <v>Vérification de l'épaisseur des plaquettes</v>
      </c>
      <c r="I19" s="377" t="str">
        <f>IF(F20&gt;P7,"NON OK !!","OK !!")</f>
        <v>OK !!</v>
      </c>
      <c r="K19" s="448"/>
    </row>
    <row r="20" spans="2:14" ht="15" customHeight="1" x14ac:dyDescent="0.25">
      <c r="B20" s="447"/>
      <c r="D20" s="288" t="s">
        <v>889</v>
      </c>
      <c r="E20" s="288" t="s">
        <v>890</v>
      </c>
      <c r="F20" s="526">
        <f>0.15*N7</f>
        <v>7.5</v>
      </c>
      <c r="G20" s="377" t="str">
        <f>IF(F20&gt;P7,"&gt;","≤")</f>
        <v>≤</v>
      </c>
      <c r="H20" s="521" t="s">
        <v>858</v>
      </c>
      <c r="I20" s="359"/>
      <c r="K20" s="448"/>
    </row>
    <row r="21" spans="2:14" ht="15" customHeight="1" x14ac:dyDescent="0.25">
      <c r="B21" s="447"/>
      <c r="K21" s="448"/>
    </row>
    <row r="22" spans="2:14" ht="15" customHeight="1" x14ac:dyDescent="0.25">
      <c r="B22" s="447"/>
      <c r="C22" s="578" t="str">
        <f>IF(Configuration!Y4="EN","Shear resistance check in concrete","Vérification au cisaillement dans le béton")</f>
        <v>Vérification au cisaillement dans le béton</v>
      </c>
      <c r="I22" s="435">
        <f>N5/E23</f>
        <v>0</v>
      </c>
      <c r="K22" s="448"/>
    </row>
    <row r="23" spans="2:14" ht="15" customHeight="1" x14ac:dyDescent="0.25">
      <c r="B23" s="447"/>
      <c r="E23" s="551">
        <f>G25*P11*N11/G_M2</f>
        <v>3888.6400000000008</v>
      </c>
      <c r="F23" s="359" t="s">
        <v>632</v>
      </c>
      <c r="K23" s="448"/>
    </row>
    <row r="24" spans="2:14" ht="15" customHeight="1" x14ac:dyDescent="0.25">
      <c r="B24" s="447"/>
      <c r="K24" s="448"/>
    </row>
    <row r="25" spans="2:14" ht="15" customHeight="1" x14ac:dyDescent="0.25">
      <c r="B25" s="447"/>
      <c r="G25" s="435">
        <f>0.44-0.0003*(10*IF(O11&lt;23.5,23.5,IF(O11&gt;64,64,O11)))</f>
        <v>0.24800000000000003</v>
      </c>
      <c r="K25" s="448"/>
    </row>
    <row r="26" spans="2:14" ht="15" customHeight="1" x14ac:dyDescent="0.25">
      <c r="B26" s="447"/>
      <c r="K26" s="448"/>
    </row>
    <row r="27" spans="2:14" ht="15" customHeight="1" x14ac:dyDescent="0.25">
      <c r="B27" s="447"/>
      <c r="C27" s="578" t="str">
        <f>IF(Configuration!Y4="EN","Tension/shear interaction check","Vérification de l'interaction traction/cisaillement")</f>
        <v>Vérification de l'interaction traction/cisaillement</v>
      </c>
      <c r="I27" s="435">
        <f>E29</f>
        <v>0.3036929057337221</v>
      </c>
      <c r="K27" s="448"/>
    </row>
    <row r="28" spans="2:14" ht="15" customHeight="1" x14ac:dyDescent="0.25">
      <c r="B28" s="447"/>
      <c r="C28" s="359"/>
      <c r="D28" s="359"/>
      <c r="E28" s="359"/>
      <c r="F28" s="359"/>
      <c r="G28" s="359"/>
      <c r="K28" s="448"/>
    </row>
    <row r="29" spans="2:14" ht="15" customHeight="1" x14ac:dyDescent="0.25">
      <c r="B29" s="447"/>
      <c r="C29" s="240"/>
      <c r="D29" s="240"/>
      <c r="E29" s="435">
        <f>I22+(N4/(1.4*E12))</f>
        <v>0.3036929057337221</v>
      </c>
      <c r="F29" s="377" t="str">
        <f>IF(E29&gt;G29,"&gt;","≤")</f>
        <v>≤</v>
      </c>
      <c r="G29" s="377">
        <v>1</v>
      </c>
      <c r="K29" s="448"/>
    </row>
    <row r="30" spans="2:14" ht="15" customHeight="1" x14ac:dyDescent="0.25">
      <c r="B30" s="447"/>
      <c r="C30" s="359"/>
      <c r="D30" s="359"/>
      <c r="E30" s="359"/>
      <c r="F30" s="359"/>
      <c r="G30" s="359"/>
      <c r="K30" s="448"/>
    </row>
    <row r="31" spans="2:14" ht="15" customHeight="1" x14ac:dyDescent="0.25">
      <c r="B31" s="447"/>
      <c r="C31" s="578" t="str">
        <f>IF(Configuration!Y4="EN","Concrete bearing pressure check","Vérification de la pression sur le béton")</f>
        <v>Vérification de la pression sur le béton</v>
      </c>
      <c r="I31" s="435" t="str">
        <f>IF(Q5="OUI","--",N5/G32)</f>
        <v>--</v>
      </c>
      <c r="K31" s="448"/>
    </row>
    <row r="32" spans="2:14" ht="15" customHeight="1" x14ac:dyDescent="0.25">
      <c r="B32" s="447"/>
      <c r="G32" s="551" t="str">
        <f>IF(Q5="OUI","--",MIN(3*P4,N6)*PI()*(P4/2)*Q7)</f>
        <v>--</v>
      </c>
      <c r="H32" s="359" t="s">
        <v>632</v>
      </c>
      <c r="K32" s="448"/>
    </row>
    <row r="33" spans="2:17" ht="15" customHeight="1" x14ac:dyDescent="0.25">
      <c r="B33" s="447"/>
      <c r="K33" s="448"/>
    </row>
    <row r="34" spans="2:17" ht="15" customHeight="1" x14ac:dyDescent="0.25">
      <c r="B34" s="447"/>
      <c r="C34" s="1019" t="s">
        <v>810</v>
      </c>
      <c r="D34" s="1019"/>
      <c r="E34" s="1019"/>
      <c r="F34" s="1019"/>
      <c r="G34" s="1019"/>
      <c r="H34" s="1019"/>
      <c r="I34" s="1019"/>
      <c r="J34" s="1019"/>
      <c r="K34" s="448"/>
    </row>
    <row r="35" spans="2:17" ht="15" customHeight="1" thickBot="1" x14ac:dyDescent="0.3">
      <c r="B35" s="447"/>
      <c r="C35" s="531" t="str">
        <f>IF(Configuration!Y4="EN","Resistance of hooked anchor rods","Résistance des tiges d'ancrages à crosses")</f>
        <v>Résistance des tiges d'ancrages à crosses</v>
      </c>
      <c r="I35" s="645" t="s">
        <v>1841</v>
      </c>
      <c r="J35" s="433">
        <f>MAX(I40:I60)</f>
        <v>0.77481635807409011</v>
      </c>
      <c r="K35" s="448"/>
      <c r="M35" s="553" t="s">
        <v>859</v>
      </c>
    </row>
    <row r="36" spans="2:17" ht="15" customHeight="1" x14ac:dyDescent="0.25">
      <c r="B36" s="447"/>
      <c r="K36" s="448"/>
      <c r="M36" s="409" t="s">
        <v>860</v>
      </c>
      <c r="N36" s="673">
        <v>2770</v>
      </c>
      <c r="O36" s="410" t="s">
        <v>733</v>
      </c>
      <c r="P36" s="677">
        <v>30</v>
      </c>
      <c r="Q36" s="511" t="s">
        <v>1030</v>
      </c>
    </row>
    <row r="37" spans="2:17" ht="15" customHeight="1" x14ac:dyDescent="0.25">
      <c r="B37" s="447"/>
      <c r="C37" s="443" t="str">
        <f>IF(Configuration!Y4="EN","Rods M"&amp;P36&amp;" - "&amp;P37&amp;" - L1 = "&amp;N38&amp;" mm - r = "&amp;P39&amp;" mm - L2 = "&amp;N39&amp;" mm","Tiges M"&amp;P36&amp;" - "&amp;P37&amp;" - L1 = "&amp;N38&amp;" mm - r = "&amp;P39&amp;" mm - L2 = "&amp;N39&amp;" mm")</f>
        <v>Tiges M30 - S355 - L1 = 400 mm - r = 60 mm - L2 = 40 mm</v>
      </c>
      <c r="K37" s="448"/>
      <c r="M37" s="556" t="s">
        <v>861</v>
      </c>
      <c r="N37" s="674">
        <v>4820</v>
      </c>
      <c r="O37" s="552" t="s">
        <v>423</v>
      </c>
      <c r="P37" s="678" t="s">
        <v>439</v>
      </c>
      <c r="Q37" s="558">
        <f>0.36*SQRT(VLOOKUP(P38,Data!$A$40:$H$128,2))/1.5</f>
        <v>0.37947331922020555</v>
      </c>
    </row>
    <row r="38" spans="2:17" ht="15" customHeight="1" x14ac:dyDescent="0.25">
      <c r="B38" s="447"/>
      <c r="C38" s="443" t="str">
        <f>IF(Configuration!Y4="EN","Concrete "&amp;P38,"Béton "&amp;P38)</f>
        <v>Béton C 25/30</v>
      </c>
      <c r="K38" s="448"/>
      <c r="M38" s="411" t="s">
        <v>875</v>
      </c>
      <c r="N38" s="675">
        <v>400</v>
      </c>
      <c r="O38" s="552" t="s">
        <v>449</v>
      </c>
      <c r="P38" s="678" t="s">
        <v>471</v>
      </c>
      <c r="Q38" s="416" t="s">
        <v>868</v>
      </c>
    </row>
    <row r="39" spans="2:17" ht="15" customHeight="1" x14ac:dyDescent="0.2">
      <c r="B39" s="447"/>
      <c r="C39" s="521"/>
      <c r="K39" s="448"/>
      <c r="M39" s="554" t="s">
        <v>876</v>
      </c>
      <c r="N39" s="676">
        <v>40</v>
      </c>
      <c r="O39" s="555" t="s">
        <v>877</v>
      </c>
      <c r="P39" s="676">
        <v>60</v>
      </c>
      <c r="Q39" s="558">
        <f>VLOOKUP(P38,Data!$A$40:$H$128,2)/1.5</f>
        <v>1.6666666666666667</v>
      </c>
    </row>
    <row r="40" spans="2:17" ht="15" customHeight="1" x14ac:dyDescent="0.25">
      <c r="B40" s="447"/>
      <c r="C40" s="578" t="str">
        <f>IF(Configuration!Y4="EN","Tensile resistance check","Vérification à la traction")</f>
        <v>Vérification à la traction</v>
      </c>
      <c r="I40" s="435">
        <f>N36/E41</f>
        <v>0.16465290810322941</v>
      </c>
      <c r="K40" s="448"/>
      <c r="M40" s="414" t="s">
        <v>216</v>
      </c>
      <c r="N40" s="415" t="s">
        <v>737</v>
      </c>
      <c r="O40" s="415" t="s">
        <v>738</v>
      </c>
      <c r="P40" s="415" t="s">
        <v>739</v>
      </c>
      <c r="Q40" s="416" t="s">
        <v>740</v>
      </c>
    </row>
    <row r="41" spans="2:17" ht="15" customHeight="1" thickBot="1" x14ac:dyDescent="0.3">
      <c r="B41" s="447"/>
      <c r="C41" s="359"/>
      <c r="D41" s="240"/>
      <c r="E41" s="551">
        <f>H41*(0.9*P41*N41/G_M2)</f>
        <v>16823.268</v>
      </c>
      <c r="F41" s="359" t="s">
        <v>632</v>
      </c>
      <c r="G41" s="240"/>
      <c r="H41" s="359">
        <v>0.85</v>
      </c>
      <c r="K41" s="448"/>
      <c r="M41" s="418">
        <f>VLOOKUP(P36,Data!$K$3:$P$20,4)</f>
        <v>707</v>
      </c>
      <c r="N41" s="419">
        <f>VLOOKUP(P36,Data!$K$3:$P$20,5)</f>
        <v>561</v>
      </c>
      <c r="O41" s="420">
        <f>VLOOKUP(P37,Data!$F$3:$H$16,2)</f>
        <v>35.5</v>
      </c>
      <c r="P41" s="420">
        <f>VLOOKUP(P37,Data!$F$3:$H$16,3)</f>
        <v>49</v>
      </c>
      <c r="Q41" s="421">
        <f>VLOOKUP(P37,Data!$F$2:$I$16,4)</f>
        <v>0.5</v>
      </c>
    </row>
    <row r="42" spans="2:17" ht="15" customHeight="1" thickBot="1" x14ac:dyDescent="0.25">
      <c r="B42" s="447"/>
      <c r="C42" s="359"/>
      <c r="D42" s="359"/>
      <c r="E42" s="359"/>
      <c r="F42" s="359"/>
      <c r="K42" s="448"/>
      <c r="M42" s="936" t="s">
        <v>1939</v>
      </c>
      <c r="N42" s="937" t="s">
        <v>1264</v>
      </c>
      <c r="Q42" s="413"/>
    </row>
    <row r="43" spans="2:17" ht="15" customHeight="1" x14ac:dyDescent="0.25">
      <c r="B43" s="447"/>
      <c r="C43" s="578" t="str">
        <f>IF(Configuration!Y4="EN","Tensile resistance check in concrete","Vérification à la traction dans le béton")</f>
        <v>Vérification à la traction dans le béton</v>
      </c>
      <c r="I43" s="435">
        <f>N36/G44</f>
        <v>8.3821499236068478E-2</v>
      </c>
      <c r="K43" s="448"/>
    </row>
    <row r="44" spans="2:17" ht="15" customHeight="1" x14ac:dyDescent="0.25">
      <c r="B44" s="447"/>
      <c r="D44"/>
      <c r="E44" s="288"/>
      <c r="F44" s="288"/>
      <c r="G44" s="551">
        <f>PI()*P36*(N38+6.4*P39+3.5*N39)*Q37</f>
        <v>33046.414407344149</v>
      </c>
      <c r="H44" s="359" t="s">
        <v>632</v>
      </c>
      <c r="K44" s="448"/>
    </row>
    <row r="45" spans="2:17" ht="15" hidden="1" customHeight="1" x14ac:dyDescent="0.25">
      <c r="B45" s="447"/>
      <c r="K45" s="448"/>
    </row>
    <row r="46" spans="2:17" ht="15" hidden="1" customHeight="1" x14ac:dyDescent="0.25">
      <c r="B46" s="447"/>
      <c r="C46" s="578" t="s">
        <v>878</v>
      </c>
      <c r="K46" s="448"/>
    </row>
    <row r="47" spans="2:17" ht="15" hidden="1" customHeight="1" x14ac:dyDescent="0.25">
      <c r="B47" s="447"/>
      <c r="D47" s="288"/>
      <c r="E47" s="526" t="s">
        <v>880</v>
      </c>
      <c r="F47" s="377" t="s">
        <v>884</v>
      </c>
      <c r="G47" s="521" t="s">
        <v>879</v>
      </c>
      <c r="I47" s="377" t="str">
        <f>IF(P39&gt;=3*P36,"OK !!","NON OK !!")</f>
        <v>NON OK !!</v>
      </c>
      <c r="K47" s="448"/>
    </row>
    <row r="48" spans="2:17" ht="15" hidden="1" customHeight="1" x14ac:dyDescent="0.25">
      <c r="B48" s="447"/>
      <c r="C48" s="288" t="s">
        <v>881</v>
      </c>
      <c r="D48" s="377" t="s">
        <v>885</v>
      </c>
      <c r="E48" s="377" t="s">
        <v>883</v>
      </c>
      <c r="F48" s="377" t="s">
        <v>885</v>
      </c>
      <c r="G48" s="521" t="s">
        <v>882</v>
      </c>
      <c r="I48" s="377" t="str">
        <f>IF(AND(N39&gt;=1.5*P36,N39&lt;=2*P36),"OK !!","NON OK !!")</f>
        <v>NON OK !!</v>
      </c>
      <c r="K48" s="448"/>
    </row>
    <row r="49" spans="2:17" ht="15" customHeight="1" x14ac:dyDescent="0.25">
      <c r="B49" s="447"/>
      <c r="K49" s="448"/>
    </row>
    <row r="50" spans="2:17" ht="15" customHeight="1" x14ac:dyDescent="0.25">
      <c r="B50" s="447"/>
      <c r="C50" s="578" t="str">
        <f>IF(Configuration!Y4="EN","Shear resistance check in concrete","Vérification au cisaillement dans le béton")</f>
        <v>Vérification au cisaillement dans le béton</v>
      </c>
      <c r="I50" s="435">
        <f>N37/E51</f>
        <v>0.6572071380003548</v>
      </c>
      <c r="K50" s="448"/>
    </row>
    <row r="51" spans="2:17" ht="15" customHeight="1" x14ac:dyDescent="0.25">
      <c r="B51" s="447"/>
      <c r="E51" s="551">
        <f>G53*P41*N41/G_M2</f>
        <v>7334.0652</v>
      </c>
      <c r="F51" s="359" t="s">
        <v>632</v>
      </c>
      <c r="K51" s="448"/>
    </row>
    <row r="52" spans="2:17" ht="15" customHeight="1" x14ac:dyDescent="0.25">
      <c r="B52" s="447"/>
      <c r="K52" s="448"/>
    </row>
    <row r="53" spans="2:17" ht="15" customHeight="1" x14ac:dyDescent="0.25">
      <c r="B53" s="447"/>
      <c r="G53" s="435">
        <f>0.44-0.0003*(10*IF(O41&lt;23.5,23.5,IF(O41&gt;64,64,O41)))</f>
        <v>0.33350000000000002</v>
      </c>
      <c r="K53" s="448"/>
    </row>
    <row r="54" spans="2:17" ht="15" customHeight="1" x14ac:dyDescent="0.25">
      <c r="B54" s="447"/>
      <c r="K54" s="448"/>
    </row>
    <row r="55" spans="2:17" ht="15" customHeight="1" x14ac:dyDescent="0.25">
      <c r="B55" s="447"/>
      <c r="C55" s="578" t="str">
        <f>IF(Configuration!Y4="EN","Tension/shear interaction check","Vérification de l'interaction traction/cisaillement")</f>
        <v>Vérification de l'interaction traction/cisaillement</v>
      </c>
      <c r="I55" s="435">
        <f>E57</f>
        <v>0.77481635807409011</v>
      </c>
      <c r="K55" s="448"/>
    </row>
    <row r="56" spans="2:17" ht="15" customHeight="1" x14ac:dyDescent="0.25">
      <c r="B56" s="447"/>
      <c r="C56" s="359"/>
      <c r="D56" s="359"/>
      <c r="E56" s="359"/>
      <c r="F56" s="359"/>
      <c r="G56" s="359"/>
      <c r="K56" s="448"/>
    </row>
    <row r="57" spans="2:17" ht="15" customHeight="1" x14ac:dyDescent="0.25">
      <c r="B57" s="447"/>
      <c r="C57" s="240"/>
      <c r="D57" s="240"/>
      <c r="E57" s="435">
        <f>I50+(N36/(1.4*E41))</f>
        <v>0.77481635807409011</v>
      </c>
      <c r="F57" s="377" t="str">
        <f>IF(E57&gt;G57,"&gt;","≤")</f>
        <v>≤</v>
      </c>
      <c r="G57" s="377">
        <v>1</v>
      </c>
      <c r="K57" s="448"/>
    </row>
    <row r="58" spans="2:17" ht="15" customHeight="1" x14ac:dyDescent="0.25">
      <c r="B58" s="447"/>
      <c r="C58" s="359"/>
      <c r="D58" s="359"/>
      <c r="E58" s="359"/>
      <c r="F58" s="359"/>
      <c r="G58" s="359"/>
      <c r="K58" s="448"/>
    </row>
    <row r="59" spans="2:17" ht="15" customHeight="1" x14ac:dyDescent="0.25">
      <c r="B59" s="447"/>
      <c r="C59" s="578" t="str">
        <f>IF(Configuration!Y4="EN","Concrete bearing pressure check","Vérification de la pression sur le béton")</f>
        <v>Vérification de la pression sur le béton</v>
      </c>
      <c r="I59" s="435" t="str">
        <f>IF(N42="OUI","--",N37/G60)</f>
        <v>--</v>
      </c>
      <c r="K59" s="448"/>
    </row>
    <row r="60" spans="2:17" ht="15" customHeight="1" x14ac:dyDescent="0.25">
      <c r="B60" s="447"/>
      <c r="G60" s="551" t="str">
        <f>IF(N42="OUI","--",MIN(3*P36,N38)*PI()*(P36/2)*Q39)</f>
        <v>--</v>
      </c>
      <c r="H60" s="359" t="s">
        <v>632</v>
      </c>
      <c r="K60" s="448"/>
    </row>
    <row r="61" spans="2:17" ht="15" customHeight="1" x14ac:dyDescent="0.25">
      <c r="B61" s="447"/>
      <c r="K61" s="448"/>
    </row>
    <row r="62" spans="2:17" ht="15" customHeight="1" x14ac:dyDescent="0.25">
      <c r="B62" s="447"/>
      <c r="C62" s="1019" t="s">
        <v>810</v>
      </c>
      <c r="D62" s="1019"/>
      <c r="E62" s="1019"/>
      <c r="F62" s="1019"/>
      <c r="G62" s="1019"/>
      <c r="H62" s="1019"/>
      <c r="I62" s="1019"/>
      <c r="J62" s="1019"/>
      <c r="K62" s="448"/>
    </row>
    <row r="63" spans="2:17" ht="15" customHeight="1" thickBot="1" x14ac:dyDescent="0.3">
      <c r="B63" s="447"/>
      <c r="C63" s="531" t="str">
        <f>IF(Configuration!Y4="EN","Resistance of straight anchor rods","Résistance des tiges d'ancrages droites")</f>
        <v>Résistance des tiges d'ancrages droites</v>
      </c>
      <c r="I63" s="645" t="s">
        <v>1841</v>
      </c>
      <c r="J63" s="433">
        <f>MAX(I68:I84)</f>
        <v>0.96997188744335372</v>
      </c>
      <c r="K63" s="448"/>
      <c r="M63" s="553" t="s">
        <v>1029</v>
      </c>
    </row>
    <row r="64" spans="2:17" ht="15" customHeight="1" x14ac:dyDescent="0.25">
      <c r="B64" s="447"/>
      <c r="K64" s="448"/>
      <c r="M64" s="409" t="s">
        <v>860</v>
      </c>
      <c r="N64" s="673">
        <v>70000</v>
      </c>
      <c r="O64" s="410" t="s">
        <v>733</v>
      </c>
      <c r="P64" s="677">
        <v>48</v>
      </c>
      <c r="Q64" s="385"/>
    </row>
    <row r="65" spans="2:17" ht="15" customHeight="1" x14ac:dyDescent="0.25">
      <c r="B65" s="447"/>
      <c r="C65" s="443" t="str">
        <f>IF(Configuration!Y4="EN","Rods M"&amp;P64&amp;" - "&amp;P65&amp;" - L = "&amp;N66&amp;" mm","Tiges M"&amp;P64&amp;" - "&amp;P65&amp;" - L = "&amp;N66&amp;" mm")</f>
        <v>Tiges M48 - 8.8 - L = 1000 mm</v>
      </c>
      <c r="K65" s="448"/>
      <c r="M65" s="556" t="s">
        <v>861</v>
      </c>
      <c r="N65" s="674">
        <v>0</v>
      </c>
      <c r="O65" s="552" t="s">
        <v>423</v>
      </c>
      <c r="P65" s="678">
        <v>8.8000000000000007</v>
      </c>
      <c r="Q65" s="416" t="s">
        <v>740</v>
      </c>
    </row>
    <row r="66" spans="2:17" ht="15" customHeight="1" x14ac:dyDescent="0.2">
      <c r="B66" s="447"/>
      <c r="C66" s="443" t="str">
        <f>IF(Configuration!Y4="EN","Concrete "&amp;P66,"Béton "&amp;P66)</f>
        <v>Béton C 30/37</v>
      </c>
      <c r="K66" s="448"/>
      <c r="M66" s="411" t="s">
        <v>654</v>
      </c>
      <c r="N66" s="675">
        <v>1000</v>
      </c>
      <c r="O66" s="552" t="s">
        <v>449</v>
      </c>
      <c r="P66" s="678" t="s">
        <v>472</v>
      </c>
      <c r="Q66" s="618">
        <f>VLOOKUP(P65,Data!$F$2:$I$16,4)</f>
        <v>0.6</v>
      </c>
    </row>
    <row r="67" spans="2:17" ht="15" customHeight="1" x14ac:dyDescent="0.25">
      <c r="B67" s="447"/>
      <c r="K67" s="448"/>
      <c r="M67" s="414" t="s">
        <v>737</v>
      </c>
      <c r="N67" s="415" t="s">
        <v>738</v>
      </c>
      <c r="O67" s="415" t="s">
        <v>739</v>
      </c>
      <c r="P67" s="415" t="s">
        <v>868</v>
      </c>
      <c r="Q67" s="416" t="s">
        <v>1030</v>
      </c>
    </row>
    <row r="68" spans="2:17" ht="15" customHeight="1" thickBot="1" x14ac:dyDescent="0.3">
      <c r="B68" s="447"/>
      <c r="C68" s="578" t="str">
        <f>IF(Configuration!Y4="EN","Tensile resistance check","Vérification à la traction")</f>
        <v>Vérification à la traction</v>
      </c>
      <c r="I68" s="435">
        <f>N64/E69</f>
        <v>0.96997188744335372</v>
      </c>
      <c r="K68" s="448"/>
      <c r="M68" s="418">
        <f>VLOOKUP(P64,Data!$K$3:$P$20,5)</f>
        <v>1474</v>
      </c>
      <c r="N68" s="420">
        <f>VLOOKUP(P65,Data!$F$3:$H$16,2)</f>
        <v>64</v>
      </c>
      <c r="O68" s="420">
        <f>VLOOKUP(P65,Data!$F$3:$H$16,3)</f>
        <v>80</v>
      </c>
      <c r="P68" s="619">
        <f>VLOOKUP(P66,Data!$A$40:$H$128,2)/1.5</f>
        <v>2</v>
      </c>
      <c r="Q68" s="620">
        <f>0.36*SQRT(10*VLOOKUP(P66,Data!$A$40:$H$128,2))/1.5</f>
        <v>1.3145341380123987</v>
      </c>
    </row>
    <row r="69" spans="2:17" ht="15" customHeight="1" x14ac:dyDescent="0.25">
      <c r="B69" s="447"/>
      <c r="C69" s="359"/>
      <c r="D69" s="240"/>
      <c r="E69" s="551">
        <f>H69*(0.9*O68*M68/G_M2)</f>
        <v>72167.039999999994</v>
      </c>
      <c r="F69" s="359" t="s">
        <v>632</v>
      </c>
      <c r="G69" s="240"/>
      <c r="H69" s="359">
        <v>0.85</v>
      </c>
      <c r="K69" s="448"/>
    </row>
    <row r="70" spans="2:17" ht="15" customHeight="1" x14ac:dyDescent="0.25">
      <c r="B70" s="447"/>
      <c r="C70" s="359"/>
      <c r="D70" s="359"/>
      <c r="E70" s="359"/>
      <c r="F70" s="359"/>
      <c r="K70" s="448"/>
    </row>
    <row r="71" spans="2:17" ht="15" customHeight="1" x14ac:dyDescent="0.25">
      <c r="B71" s="447"/>
      <c r="C71" s="578" t="str">
        <f>IF(Configuration!Y4="EN","Tensile resistance check in concrete","Vérification à la traction dans le béton")</f>
        <v>Vérification à la traction dans le béton</v>
      </c>
      <c r="I71" s="435">
        <f>N64/E72</f>
        <v>0.35313036301456863</v>
      </c>
      <c r="K71" s="448"/>
    </row>
    <row r="72" spans="2:17" ht="15" customHeight="1" x14ac:dyDescent="0.25">
      <c r="B72" s="447"/>
      <c r="D72"/>
      <c r="E72" s="551">
        <f>PI()*P64*N66*Q68</f>
        <v>198227.07796189166</v>
      </c>
      <c r="F72" s="359" t="s">
        <v>632</v>
      </c>
      <c r="K72" s="448"/>
    </row>
    <row r="73" spans="2:17" ht="15" customHeight="1" x14ac:dyDescent="0.25">
      <c r="B73" s="447"/>
      <c r="K73" s="448"/>
    </row>
    <row r="74" spans="2:17" ht="15" customHeight="1" x14ac:dyDescent="0.25">
      <c r="B74" s="447"/>
      <c r="C74" s="578" t="str">
        <f>IF(Configuration!Y4="EN","Shear resistance check in concrete","Vérification au cisaillement dans le béton")</f>
        <v>Vérification au cisaillement dans le béton</v>
      </c>
      <c r="I74" s="435">
        <f>N65/E75</f>
        <v>0</v>
      </c>
      <c r="K74" s="448"/>
    </row>
    <row r="75" spans="2:17" ht="15" customHeight="1" x14ac:dyDescent="0.25">
      <c r="B75" s="447"/>
      <c r="E75" s="551">
        <f>G77*O68*M68/G_M2</f>
        <v>23395.328000000001</v>
      </c>
      <c r="F75" s="359" t="s">
        <v>632</v>
      </c>
      <c r="K75" s="448"/>
    </row>
    <row r="76" spans="2:17" ht="15" customHeight="1" x14ac:dyDescent="0.25">
      <c r="B76" s="447"/>
      <c r="K76" s="448"/>
    </row>
    <row r="77" spans="2:17" ht="15" customHeight="1" x14ac:dyDescent="0.25">
      <c r="B77" s="447"/>
      <c r="G77" s="435">
        <f>0.44-0.0003*(10*IF(N68&lt;23.5,23.5,IF(N68&gt;64,64,N68)))</f>
        <v>0.24800000000000003</v>
      </c>
      <c r="K77" s="448"/>
    </row>
    <row r="78" spans="2:17" ht="15" customHeight="1" x14ac:dyDescent="0.25">
      <c r="B78" s="447"/>
      <c r="K78" s="448"/>
    </row>
    <row r="79" spans="2:17" ht="15" customHeight="1" x14ac:dyDescent="0.25">
      <c r="B79" s="447"/>
      <c r="C79" s="578" t="str">
        <f>IF(Configuration!Y4="EN","Tension/shear interaction check","Vérification de l'interaction traction/cisaillement")</f>
        <v>Vérification de l'interaction traction/cisaillement</v>
      </c>
      <c r="I79" s="435">
        <f>E81</f>
        <v>0.69283706245953847</v>
      </c>
      <c r="K79" s="448"/>
    </row>
    <row r="80" spans="2:17" ht="15" customHeight="1" x14ac:dyDescent="0.25">
      <c r="B80" s="447"/>
      <c r="C80" s="359"/>
      <c r="D80" s="359"/>
      <c r="E80" s="359"/>
      <c r="F80" s="359"/>
      <c r="G80" s="359"/>
      <c r="K80" s="448"/>
    </row>
    <row r="81" spans="2:17" ht="15" customHeight="1" x14ac:dyDescent="0.25">
      <c r="B81" s="447"/>
      <c r="C81" s="240"/>
      <c r="D81" s="240"/>
      <c r="E81" s="435">
        <f>I74+(N64/(1.4*E69))</f>
        <v>0.69283706245953847</v>
      </c>
      <c r="F81" s="377" t="str">
        <f>IF(E81&gt;G81,"&gt;","≤")</f>
        <v>≤</v>
      </c>
      <c r="G81" s="377">
        <v>1</v>
      </c>
      <c r="K81" s="448"/>
    </row>
    <row r="82" spans="2:17" ht="15" customHeight="1" x14ac:dyDescent="0.25">
      <c r="B82" s="447"/>
      <c r="C82" s="359"/>
      <c r="D82" s="359"/>
      <c r="E82" s="359"/>
      <c r="F82" s="359"/>
      <c r="G82" s="359"/>
      <c r="K82" s="448"/>
    </row>
    <row r="83" spans="2:17" ht="15" customHeight="1" x14ac:dyDescent="0.25">
      <c r="B83" s="447"/>
      <c r="C83" s="578" t="str">
        <f>IF(Configuration!Y4="EN","Concrete bearing pressure check","Vérification de la pression sur le béton")</f>
        <v>Vérification de la pression sur le béton</v>
      </c>
      <c r="I83" s="435">
        <f>N65/G84</f>
        <v>0</v>
      </c>
      <c r="K83" s="448"/>
    </row>
    <row r="84" spans="2:17" ht="15" customHeight="1" x14ac:dyDescent="0.25">
      <c r="B84" s="447"/>
      <c r="G84" s="551">
        <f>MIN(3*P64,N66)*PI()*(P64/2)*P68</f>
        <v>21714.688421612649</v>
      </c>
      <c r="H84" s="359" t="s">
        <v>632</v>
      </c>
      <c r="K84" s="448"/>
    </row>
    <row r="85" spans="2:17" ht="15" customHeight="1" x14ac:dyDescent="0.25">
      <c r="B85" s="447"/>
      <c r="K85" s="448"/>
    </row>
    <row r="86" spans="2:17" ht="15" customHeight="1" x14ac:dyDescent="0.25">
      <c r="B86" s="447"/>
      <c r="C86" s="1019" t="s">
        <v>810</v>
      </c>
      <c r="D86" s="1019"/>
      <c r="E86" s="1019"/>
      <c r="F86" s="1019"/>
      <c r="G86" s="1019"/>
      <c r="H86" s="1019"/>
      <c r="I86" s="1019"/>
      <c r="J86" s="1019"/>
      <c r="K86" s="448"/>
    </row>
    <row r="87" spans="2:17" ht="15" customHeight="1" x14ac:dyDescent="0.25">
      <c r="B87" s="447"/>
      <c r="C87" s="531" t="str">
        <f>IF(Configuration!Y4="EN","Equivalent tension due to bending in an anchor rod","Traction équivalente à la flexion dans une tige")</f>
        <v>Traction équivalente à la flexion dans une tige</v>
      </c>
      <c r="K87" s="448"/>
    </row>
    <row r="88" spans="2:17" ht="15" customHeight="1" x14ac:dyDescent="0.25">
      <c r="B88" s="447"/>
      <c r="C88" s="925" t="s">
        <v>861</v>
      </c>
      <c r="D88" s="703">
        <v>23000</v>
      </c>
      <c r="E88" s="925" t="s">
        <v>733</v>
      </c>
      <c r="F88" s="796">
        <v>16</v>
      </c>
      <c r="G88" s="927" t="s">
        <v>1947</v>
      </c>
      <c r="H88" s="675">
        <v>10</v>
      </c>
      <c r="K88" s="448"/>
    </row>
    <row r="89" spans="2:17" ht="15" customHeight="1" x14ac:dyDescent="0.25">
      <c r="B89" s="447"/>
      <c r="F89" s="581" t="s">
        <v>1948</v>
      </c>
      <c r="G89" s="551">
        <f>D88*(H88/F88)*((5*PI())/6)</f>
        <v>37633.661996127732</v>
      </c>
      <c r="H89" s="359" t="s">
        <v>632</v>
      </c>
      <c r="K89" s="448"/>
    </row>
    <row r="90" spans="2:17" ht="15" customHeight="1" x14ac:dyDescent="0.25">
      <c r="B90" s="447"/>
      <c r="C90" s="1019" t="s">
        <v>810</v>
      </c>
      <c r="D90" s="1019"/>
      <c r="E90" s="1019"/>
      <c r="F90" s="1019"/>
      <c r="G90" s="1019"/>
      <c r="H90" s="1019"/>
      <c r="I90" s="1019"/>
      <c r="J90" s="1019"/>
      <c r="K90" s="448"/>
    </row>
    <row r="91" spans="2:17" ht="15" customHeight="1" thickBot="1" x14ac:dyDescent="0.3">
      <c r="B91" s="447"/>
      <c r="C91" s="531" t="str">
        <f>IF(Configuration!Y4="EN","Resistance of headed stud connectors (Nelson type)","Résistance des bêches en connecteurs à tête (type Nelson)")</f>
        <v>Résistance des bêches en connecteurs à tête (type Nelson)</v>
      </c>
      <c r="J91" s="433">
        <f>MAX(I100:I112)</f>
        <v>0.73378369461942861</v>
      </c>
      <c r="K91" s="448"/>
      <c r="M91" s="553" t="s">
        <v>897</v>
      </c>
    </row>
    <row r="92" spans="2:17" ht="15" customHeight="1" x14ac:dyDescent="0.25">
      <c r="B92" s="447"/>
      <c r="K92" s="448"/>
      <c r="M92" s="409" t="s">
        <v>860</v>
      </c>
      <c r="N92" s="673">
        <v>0</v>
      </c>
      <c r="O92" s="410" t="s">
        <v>900</v>
      </c>
      <c r="P92" s="679">
        <v>22</v>
      </c>
      <c r="Q92" s="385"/>
    </row>
    <row r="93" spans="2:17" ht="15" customHeight="1" x14ac:dyDescent="0.25">
      <c r="B93" s="447"/>
      <c r="C93" s="443" t="str">
        <f>"Ø"&amp;P92&amp;"x"&amp;P93&amp;" - d5= "&amp;M96&amp;" mm - k= "&amp;N96&amp;" mm - S235 - Béton "&amp;P94</f>
        <v>Ø22x125 - d5= 35 mm - k= 10 mm - S235 - Béton C 25/30</v>
      </c>
      <c r="K93" s="448"/>
      <c r="M93" s="556" t="s">
        <v>861</v>
      </c>
      <c r="N93" s="674">
        <v>4820</v>
      </c>
      <c r="O93" s="552" t="s">
        <v>876</v>
      </c>
      <c r="P93" s="675">
        <v>125</v>
      </c>
      <c r="Q93" s="416" t="s">
        <v>902</v>
      </c>
    </row>
    <row r="94" spans="2:17" ht="15" customHeight="1" x14ac:dyDescent="0.2">
      <c r="B94" s="447"/>
      <c r="C94" s="443" t="str">
        <f>"V_Ed = "&amp;N93&amp;" daN"&amp;IF(N92=0,""," - N_Ed = "&amp;N92&amp;" daN")</f>
        <v>V_Ed = 4820 daN</v>
      </c>
      <c r="K94" s="448"/>
      <c r="M94" s="938" t="s">
        <v>1940</v>
      </c>
      <c r="N94" s="641">
        <v>0.75</v>
      </c>
      <c r="O94" s="552" t="s">
        <v>449</v>
      </c>
      <c r="P94" s="678" t="s">
        <v>471</v>
      </c>
      <c r="Q94" s="558">
        <f>VLOOKUP(P94,Data!$A$40:$H$128,2)</f>
        <v>2.5</v>
      </c>
    </row>
    <row r="95" spans="2:17" ht="15" customHeight="1" x14ac:dyDescent="0.25">
      <c r="B95" s="447"/>
      <c r="C95" s="578" t="str">
        <f>IF(Configuration!Y4="EN","Minimum distance between connectors","Distance minimale entre connecteurs")</f>
        <v>Distance minimale entre connecteurs</v>
      </c>
      <c r="K95" s="448"/>
      <c r="M95" s="414" t="s">
        <v>901</v>
      </c>
      <c r="N95" s="415" t="s">
        <v>894</v>
      </c>
      <c r="O95" s="415" t="s">
        <v>216</v>
      </c>
      <c r="P95" s="415" t="s">
        <v>739</v>
      </c>
      <c r="Q95" s="416" t="s">
        <v>903</v>
      </c>
    </row>
    <row r="96" spans="2:17" ht="15" customHeight="1" thickBot="1" x14ac:dyDescent="0.25">
      <c r="B96" s="447"/>
      <c r="C96" s="574" t="str">
        <f>IF(Configuration!Y4="EN","In the direction of the shear force","Dans le sens de l'effort tranchant")</f>
        <v>Dans le sens de l'effort tranchant</v>
      </c>
      <c r="H96" s="288" t="s">
        <v>906</v>
      </c>
      <c r="I96" s="575">
        <f>5*P92</f>
        <v>110</v>
      </c>
      <c r="K96" s="448"/>
      <c r="M96" s="571">
        <f>VLOOKUP(P92,Data!J40:L45,2)</f>
        <v>35</v>
      </c>
      <c r="N96" s="573">
        <f>VLOOKUP(P92,Data!J40:L45,3)</f>
        <v>10</v>
      </c>
      <c r="O96" s="573">
        <f>0.25*PI()*P92^2</f>
        <v>380.13271108436498</v>
      </c>
      <c r="P96" s="420">
        <f>VLOOKUP("S235",Data!$F$3:$H$16,3,FALSE)</f>
        <v>36</v>
      </c>
      <c r="Q96" s="570">
        <f>VLOOKUP(P94,Data!$A$40:$H$128,8)*100</f>
        <v>3147.5806210019346</v>
      </c>
    </row>
    <row r="97" spans="2:11" ht="15" customHeight="1" x14ac:dyDescent="0.25">
      <c r="B97" s="447"/>
      <c r="C97" s="574" t="str">
        <f>IF(Configuration!Y4="EN","Normal to the shear force direction (slab and solid wall)","Normal au sens de l'effort tranchant (dalle et voile plein)")</f>
        <v>Normal au sens de l'effort tranchant (dalle et voile plein)</v>
      </c>
      <c r="H97" s="288" t="s">
        <v>907</v>
      </c>
      <c r="I97" s="575">
        <f>2.5*P92</f>
        <v>55</v>
      </c>
      <c r="K97" s="448"/>
    </row>
    <row r="98" spans="2:11" ht="15" customHeight="1" x14ac:dyDescent="0.25">
      <c r="B98" s="447"/>
      <c r="C98" s="574" t="str">
        <f>IF(Configuration!Y4="EN","Normal to the shear force direction (other cases)","Normal au sens de l'effort tranchant (autres cas)")</f>
        <v>Normal au sens de l'effort tranchant (autres cas)</v>
      </c>
      <c r="H98" s="288" t="s">
        <v>908</v>
      </c>
      <c r="I98" s="575">
        <f>4*P92</f>
        <v>88</v>
      </c>
      <c r="K98" s="448"/>
    </row>
    <row r="99" spans="2:11" ht="15" customHeight="1" x14ac:dyDescent="0.25">
      <c r="B99" s="447"/>
      <c r="K99" s="448"/>
    </row>
    <row r="100" spans="2:11" ht="15" customHeight="1" x14ac:dyDescent="0.25">
      <c r="B100" s="447"/>
      <c r="C100" s="578" t="str">
        <f>IF(Configuration!Y4="EN","Shear check","Vérification au cisaillement")</f>
        <v>Vérification au cisaillement</v>
      </c>
      <c r="I100" s="435">
        <f>N93/G109</f>
        <v>0.73378369461942861</v>
      </c>
      <c r="K100" s="448"/>
    </row>
    <row r="101" spans="2:11" ht="15" customHeight="1" x14ac:dyDescent="0.25">
      <c r="B101" s="447"/>
      <c r="C101" s="240"/>
      <c r="D101" s="359"/>
      <c r="E101" s="359"/>
      <c r="F101" s="359"/>
      <c r="G101" s="359"/>
      <c r="H101" s="359"/>
      <c r="K101" s="448"/>
    </row>
    <row r="102" spans="2:11" ht="15" customHeight="1" x14ac:dyDescent="0.25">
      <c r="B102" s="447"/>
      <c r="C102"/>
      <c r="D102" s="359"/>
      <c r="E102" s="568">
        <f>0.8*P96*PI()*0.25*P92^2/H102</f>
        <v>8758.2576633837689</v>
      </c>
      <c r="F102" s="359" t="s">
        <v>632</v>
      </c>
      <c r="G102" s="288" t="s">
        <v>898</v>
      </c>
      <c r="H102" s="521">
        <v>1.25</v>
      </c>
      <c r="K102" s="448"/>
    </row>
    <row r="103" spans="2:11" ht="7.5" customHeight="1" x14ac:dyDescent="0.25">
      <c r="B103" s="447"/>
      <c r="C103" s="240"/>
      <c r="D103" s="359"/>
      <c r="E103" s="359"/>
      <c r="F103" s="359"/>
      <c r="G103" s="359"/>
      <c r="H103" s="359"/>
      <c r="K103" s="448"/>
    </row>
    <row r="104" spans="2:11" ht="15" customHeight="1" x14ac:dyDescent="0.25">
      <c r="B104" s="447"/>
      <c r="C104"/>
      <c r="D104" s="359"/>
      <c r="E104" s="359"/>
      <c r="F104" s="1038" t="str">
        <f>"où "&amp;IF(H105&gt;4,"α =","α = 0.2*(L2/d1+1) =")</f>
        <v>où α =</v>
      </c>
      <c r="G104" s="1038"/>
      <c r="H104" s="439">
        <f>IF(H105&gt;4,1,0.2*(H105+1))</f>
        <v>1</v>
      </c>
      <c r="K104" s="448"/>
    </row>
    <row r="105" spans="2:11" ht="15" customHeight="1" x14ac:dyDescent="0.25">
      <c r="B105" s="447"/>
      <c r="C105" s="240"/>
      <c r="D105" s="359"/>
      <c r="E105" s="568">
        <f>(0.29*H104*P92^2*SQRT(Q94*Q96))/H102</f>
        <v>9960.7440866379748</v>
      </c>
      <c r="F105" s="359" t="s">
        <v>632</v>
      </c>
      <c r="G105" s="288" t="s">
        <v>899</v>
      </c>
      <c r="H105" s="439">
        <f>P93/P92</f>
        <v>5.6818181818181817</v>
      </c>
      <c r="K105" s="448"/>
    </row>
    <row r="106" spans="2:11" ht="15" customHeight="1" x14ac:dyDescent="0.25">
      <c r="B106" s="447"/>
      <c r="C106" s="240"/>
      <c r="D106" s="359"/>
      <c r="E106" s="359"/>
      <c r="F106" s="359"/>
      <c r="G106" s="359"/>
      <c r="H106" s="359"/>
      <c r="K106" s="448"/>
    </row>
    <row r="107" spans="2:11" ht="15" customHeight="1" x14ac:dyDescent="0.25">
      <c r="B107" s="447"/>
      <c r="C107"/>
      <c r="D107" s="359"/>
      <c r="E107" s="359"/>
      <c r="F107" s="359"/>
      <c r="G107" s="568">
        <f>MIN(E102,E105)</f>
        <v>8758.2576633837689</v>
      </c>
      <c r="H107" s="359" t="s">
        <v>632</v>
      </c>
      <c r="K107" s="448"/>
    </row>
    <row r="108" spans="2:11" ht="7.5" customHeight="1" x14ac:dyDescent="0.25">
      <c r="B108" s="447"/>
      <c r="C108" s="359"/>
      <c r="K108" s="448"/>
    </row>
    <row r="109" spans="2:11" ht="15" customHeight="1" x14ac:dyDescent="0.25">
      <c r="B109" s="447"/>
      <c r="F109" s="288" t="str">
        <f>IF(N94=1,"P_Rd =",N94&amp;" * P_Rd =")</f>
        <v>0.75 * P_Rd =</v>
      </c>
      <c r="G109" s="551">
        <f>N94*G107</f>
        <v>6568.6932475378271</v>
      </c>
      <c r="H109" s="359" t="s">
        <v>632</v>
      </c>
      <c r="K109" s="448"/>
    </row>
    <row r="110" spans="2:11" ht="15" customHeight="1" x14ac:dyDescent="0.25">
      <c r="B110" s="447"/>
      <c r="K110" s="448"/>
    </row>
    <row r="111" spans="2:11" ht="15" customHeight="1" x14ac:dyDescent="0.25">
      <c r="B111" s="447"/>
      <c r="C111" s="578" t="str">
        <f>IF(Configuration!Y4="EN","Tension check","Vérification en traction")</f>
        <v>Vérification en traction</v>
      </c>
      <c r="K111" s="448"/>
    </row>
    <row r="112" spans="2:11" ht="15" customHeight="1" x14ac:dyDescent="0.25">
      <c r="B112" s="447"/>
      <c r="C112" s="288" t="s">
        <v>904</v>
      </c>
      <c r="D112" s="377" t="str">
        <f>IF(N92&lt;=0.1*G109,"≤","&gt;")</f>
        <v>≤</v>
      </c>
      <c r="E112" s="359" t="s">
        <v>905</v>
      </c>
      <c r="I112" s="377" t="str">
        <f>IF(N92&lt;=0.1*G109,"OK !!","NON OK !!")</f>
        <v>OK !!</v>
      </c>
      <c r="K112" s="448"/>
    </row>
    <row r="113" spans="2:17" ht="15" customHeight="1" x14ac:dyDescent="0.25">
      <c r="B113" s="447"/>
      <c r="C113" s="288"/>
      <c r="D113" s="572" t="str">
        <f>IF(N92&lt;=0.1*G109,IF(Configuration!Y4="EN","Tension force can be neglected","L'effort de traction peut être négligé"),IF(Configuration!Y4="EN","The shear/tension interaction is outside the scope of EN 1994","L'interaction cisaillement/traction n'entre pas dans le domaine d'application de l'EN 1994"))</f>
        <v>L'effort de traction peut être négligé</v>
      </c>
      <c r="E113" s="359"/>
      <c r="K113" s="448"/>
    </row>
    <row r="114" spans="2:17" ht="15" customHeight="1" x14ac:dyDescent="0.25">
      <c r="B114" s="447"/>
      <c r="C114" s="288"/>
      <c r="D114" s="359"/>
      <c r="E114" s="359"/>
      <c r="K114" s="448"/>
    </row>
    <row r="115" spans="2:17" ht="15" customHeight="1" thickBot="1" x14ac:dyDescent="0.3">
      <c r="B115" s="447"/>
      <c r="C115" s="1019" t="s">
        <v>810</v>
      </c>
      <c r="D115" s="1019"/>
      <c r="E115" s="1019"/>
      <c r="F115" s="1019"/>
      <c r="G115" s="1019"/>
      <c r="H115" s="1019"/>
      <c r="I115" s="1019"/>
      <c r="J115" s="1019"/>
      <c r="K115" s="448"/>
      <c r="M115" s="531" t="s">
        <v>886</v>
      </c>
    </row>
    <row r="116" spans="2:17" ht="15" customHeight="1" x14ac:dyDescent="0.25">
      <c r="B116" s="447"/>
      <c r="C116" s="531" t="str">
        <f>IF(Configuration!Y4="EN","Resistance of bi-symmetric profile shear keys","Résistance des bêches en profils bi-symétriques")</f>
        <v>Résistance des bêches en profils bi-symétriques</v>
      </c>
      <c r="J116" s="433">
        <f>MAX(I120:I150)</f>
        <v>0.84376781426464487</v>
      </c>
      <c r="K116" s="448"/>
      <c r="M116" s="409" t="s">
        <v>917</v>
      </c>
      <c r="N116" s="673">
        <v>5000</v>
      </c>
      <c r="O116" s="424" t="s">
        <v>699</v>
      </c>
      <c r="P116" s="1039" t="s">
        <v>90</v>
      </c>
      <c r="Q116" s="1040"/>
    </row>
    <row r="117" spans="2:17" ht="15" customHeight="1" x14ac:dyDescent="0.25">
      <c r="B117" s="447"/>
      <c r="K117" s="448"/>
      <c r="M117" s="556" t="s">
        <v>918</v>
      </c>
      <c r="N117" s="674">
        <v>5000</v>
      </c>
      <c r="O117" s="552" t="s">
        <v>919</v>
      </c>
      <c r="P117" s="675">
        <v>150</v>
      </c>
      <c r="Q117" s="371"/>
    </row>
    <row r="118" spans="2:17" ht="15" customHeight="1" x14ac:dyDescent="0.25">
      <c r="B118" s="447"/>
      <c r="D118" s="443" t="str">
        <f>"Ø"&amp;P116&amp;" - Ln= "&amp;P117&amp;" mm - "&amp;P118</f>
        <v>ØHEA 120 - Ln= 150 mm - S235</v>
      </c>
      <c r="K118" s="448"/>
      <c r="M118" s="411" t="s">
        <v>449</v>
      </c>
      <c r="N118" s="678" t="s">
        <v>471</v>
      </c>
      <c r="O118" s="552" t="s">
        <v>423</v>
      </c>
      <c r="P118" s="681" t="s">
        <v>435</v>
      </c>
      <c r="Q118" s="371"/>
    </row>
    <row r="119" spans="2:17" ht="15" customHeight="1" x14ac:dyDescent="0.25">
      <c r="B119" s="447"/>
      <c r="C119" s="580"/>
      <c r="K119" s="448"/>
      <c r="M119" s="414" t="s">
        <v>924</v>
      </c>
      <c r="N119" s="442" t="s">
        <v>921</v>
      </c>
      <c r="O119" s="579" t="s">
        <v>920</v>
      </c>
      <c r="Q119" s="371"/>
    </row>
    <row r="120" spans="2:17" ht="15" customHeight="1" x14ac:dyDescent="0.25">
      <c r="B120" s="447"/>
      <c r="C120" s="580" t="str">
        <f>IF(Configuration!Y4="EN","Check of constructive provisions","Vérification des dispositions constructives")</f>
        <v>Vérification des dispositions constructives</v>
      </c>
      <c r="J120" s="435">
        <f>MAX(I121:I134)</f>
        <v>0.43560454895852241</v>
      </c>
      <c r="K120" s="448"/>
      <c r="M120" s="599">
        <f>VLOOKUP(N118,Data!$A$40:$H$128,2,FALSE)/1.5</f>
        <v>1.6666666666666667</v>
      </c>
      <c r="N120" s="584">
        <f>VLOOKUP(P118,Data!$A$3:$D$34,2,FALSE)</f>
        <v>23.5</v>
      </c>
      <c r="O120" s="584">
        <f>VLOOKUP(P118,Data!$A$3:$D$34,3,FALSE)</f>
        <v>36</v>
      </c>
      <c r="Q120" s="371"/>
    </row>
    <row r="121" spans="2:17" ht="15" customHeight="1" x14ac:dyDescent="0.25">
      <c r="B121" s="447"/>
      <c r="C121" s="583">
        <v>60</v>
      </c>
      <c r="D121" s="377" t="str">
        <f>IF(P117&gt;=60,"≤","&gt;")</f>
        <v>≤</v>
      </c>
      <c r="E121" s="377" t="s">
        <v>925</v>
      </c>
      <c r="F121" s="377" t="str">
        <f>IF(P117&lt;=1.5*M122,"≤","&gt;")</f>
        <v>≤</v>
      </c>
      <c r="G121" s="377" t="s">
        <v>926</v>
      </c>
      <c r="H121" s="575">
        <f>1.5*M122</f>
        <v>171</v>
      </c>
      <c r="I121" s="377" t="str">
        <f>IF(AND(P117&gt;=60,P117&lt;=1.5*M122),"OK !!","NON OK !!")</f>
        <v>OK !!</v>
      </c>
      <c r="K121" s="448"/>
      <c r="M121" s="600" t="s">
        <v>943</v>
      </c>
      <c r="N121" s="588" t="s">
        <v>923</v>
      </c>
      <c r="O121" s="588" t="s">
        <v>945</v>
      </c>
      <c r="P121" s="587" t="s">
        <v>944</v>
      </c>
      <c r="Q121" s="371"/>
    </row>
    <row r="122" spans="2:17" ht="15" customHeight="1" x14ac:dyDescent="0.2">
      <c r="B122" s="447"/>
      <c r="C122" s="288" t="s">
        <v>930</v>
      </c>
      <c r="D122" s="377" t="str">
        <f>IF(N122&lt;=F122,"≤","&gt;")</f>
        <v>≤</v>
      </c>
      <c r="E122" s="377" t="s">
        <v>927</v>
      </c>
      <c r="F122" s="575">
        <f>20*P122</f>
        <v>160</v>
      </c>
      <c r="I122" s="377" t="str">
        <f>IF(N122&lt;=F122,"OK !!","NON OK !!")</f>
        <v>OK !!</v>
      </c>
      <c r="K122" s="448"/>
      <c r="M122" s="601">
        <f>VLOOKUP($P$116,Profilés!$A$4:$R$182,3,FALSE)</f>
        <v>114</v>
      </c>
      <c r="N122" s="589">
        <f>VLOOKUP($P$116,Profilés!$A$4:$R$182,4,FALSE)</f>
        <v>120</v>
      </c>
      <c r="O122" s="590">
        <f>VLOOKUP($P$116,Profilés!$A$4:$R$182,5,FALSE)</f>
        <v>5</v>
      </c>
      <c r="P122" s="591">
        <f>VLOOKUP($P$116,Profilés!$A$4:$R$182,6,FALSE)</f>
        <v>8</v>
      </c>
      <c r="Q122" s="371"/>
    </row>
    <row r="123" spans="2:17" ht="15" customHeight="1" x14ac:dyDescent="0.25">
      <c r="B123" s="447"/>
      <c r="C123" s="288" t="s">
        <v>935</v>
      </c>
      <c r="D123" s="377" t="str">
        <f>IF(M122-2*P122&lt;=F123,"≤","&gt;")</f>
        <v>≤</v>
      </c>
      <c r="E123" s="377" t="s">
        <v>934</v>
      </c>
      <c r="F123" s="575">
        <f>40*O122</f>
        <v>200</v>
      </c>
      <c r="I123" s="377" t="str">
        <f>IF(M122-2*P122&lt;=F123,"OK !!","NON OK !!")</f>
        <v>OK !!</v>
      </c>
      <c r="K123" s="448"/>
      <c r="M123" s="600" t="s">
        <v>947</v>
      </c>
      <c r="N123" s="587" t="s">
        <v>946</v>
      </c>
      <c r="O123" s="586" t="s">
        <v>948</v>
      </c>
      <c r="P123" s="587" t="s">
        <v>949</v>
      </c>
      <c r="Q123" s="371"/>
    </row>
    <row r="124" spans="2:17" ht="15" customHeight="1" thickBot="1" x14ac:dyDescent="0.25">
      <c r="B124" s="447"/>
      <c r="K124" s="448"/>
      <c r="M124" s="602">
        <f>VLOOKUP($P$116,Profilés!$A$4:$R$182,13,FALSE)*100</f>
        <v>846.00000000000011</v>
      </c>
      <c r="N124" s="603">
        <f>VLOOKUP($P$116,Profilés!$A$4:$R$182,10,FALSE)</f>
        <v>106.3</v>
      </c>
      <c r="O124" s="604">
        <f>VLOOKUP($P$116,Profilés!$A$4:$R$182,18,FALSE)*100</f>
        <v>1920</v>
      </c>
      <c r="P124" s="603">
        <f>VLOOKUP($P$116,Profilés!$A$4:$R$182,15,FALSE)</f>
        <v>38.479999999999997</v>
      </c>
      <c r="Q124" s="520"/>
    </row>
    <row r="125" spans="2:17" ht="15" customHeight="1" x14ac:dyDescent="0.25">
      <c r="B125" s="447"/>
      <c r="C125" s="580" t="str">
        <f>IF(Configuration!Y4="EN","Check of the shear key along its strong axis","Vérification de la bêche selon son axe fort")</f>
        <v>Vérification de la bêche selon son axe fort</v>
      </c>
      <c r="K125" s="448"/>
      <c r="M125" s="521"/>
    </row>
    <row r="126" spans="2:17" ht="15" customHeight="1" x14ac:dyDescent="0.25">
      <c r="B126" s="447"/>
      <c r="C126" s="582" t="str">
        <f>IF(Configuration!Y4="EN","Check of the concrete resistance","Vérification de la résistance du béton")</f>
        <v>Vérification de la résistance du béton</v>
      </c>
      <c r="I126" s="435">
        <f>N116/F127</f>
        <v>0.16666666666666666</v>
      </c>
      <c r="K126" s="448"/>
    </row>
    <row r="127" spans="2:17" ht="15" customHeight="1" x14ac:dyDescent="0.25">
      <c r="B127" s="447"/>
      <c r="D127" s="288" t="s">
        <v>937</v>
      </c>
      <c r="E127" s="377" t="s">
        <v>928</v>
      </c>
      <c r="F127" s="551">
        <f>M120*N122*P117</f>
        <v>30000</v>
      </c>
      <c r="G127" s="521" t="s">
        <v>632</v>
      </c>
      <c r="K127" s="448"/>
    </row>
    <row r="128" spans="2:17" ht="15" customHeight="1" x14ac:dyDescent="0.25">
      <c r="B128" s="447"/>
      <c r="K128" s="448"/>
      <c r="M128" s="521"/>
    </row>
    <row r="129" spans="2:14" ht="15" customHeight="1" x14ac:dyDescent="0.25">
      <c r="B129" s="447"/>
      <c r="C129" s="582" t="str">
        <f>IF(Configuration!Y4="EN","Check of the shear resistance","Vérification de la résistance au cisaillement")</f>
        <v>Vérification de la résistance au cisaillement</v>
      </c>
      <c r="I129" s="435">
        <f>N116/F130</f>
        <v>0.43560454895852241</v>
      </c>
      <c r="K129" s="448"/>
    </row>
    <row r="130" spans="2:14" ht="15" customHeight="1" x14ac:dyDescent="0.25">
      <c r="B130" s="447"/>
      <c r="D130" s="576" t="s">
        <v>929</v>
      </c>
      <c r="F130" s="551">
        <f>M124*N120/(G_M0*SQRT(3))</f>
        <v>11478.300701758953</v>
      </c>
      <c r="G130" s="521" t="s">
        <v>632</v>
      </c>
      <c r="H130"/>
      <c r="K130" s="448"/>
    </row>
    <row r="131" spans="2:14" ht="15" customHeight="1" x14ac:dyDescent="0.25">
      <c r="B131" s="447"/>
      <c r="E131" s="581"/>
      <c r="F131" s="521"/>
      <c r="K131" s="448"/>
    </row>
    <row r="132" spans="2:14" ht="15" customHeight="1" x14ac:dyDescent="0.25">
      <c r="B132" s="447"/>
      <c r="C132" s="582" t="str">
        <f>IF(Configuration!Y4="EN","Check of the bending resistance","Vérification de la résistance en flexion")</f>
        <v>Vérification de la résistance en flexion</v>
      </c>
      <c r="I132" s="435">
        <f>F133/F134</f>
        <v>0.10007806088749226</v>
      </c>
      <c r="K132" s="448"/>
    </row>
    <row r="133" spans="2:14" ht="15" customHeight="1" x14ac:dyDescent="0.25">
      <c r="B133" s="447"/>
      <c r="E133" s="288" t="s">
        <v>932</v>
      </c>
      <c r="F133" s="551">
        <f>N116*P117/3000</f>
        <v>250</v>
      </c>
      <c r="G133" s="521" t="s">
        <v>629</v>
      </c>
      <c r="K133" s="448"/>
      <c r="N133"/>
    </row>
    <row r="134" spans="2:14" ht="15" customHeight="1" x14ac:dyDescent="0.25">
      <c r="B134" s="447"/>
      <c r="D134" s="576" t="s">
        <v>931</v>
      </c>
      <c r="F134" s="551">
        <f>N124*N120/G_M0</f>
        <v>2498.0499999999997</v>
      </c>
      <c r="G134" s="521" t="s">
        <v>629</v>
      </c>
      <c r="K134" s="448"/>
    </row>
    <row r="135" spans="2:14" ht="15" customHeight="1" x14ac:dyDescent="0.25">
      <c r="B135" s="447"/>
      <c r="K135" s="448"/>
    </row>
    <row r="136" spans="2:14" ht="15" customHeight="1" x14ac:dyDescent="0.25">
      <c r="B136" s="447"/>
      <c r="C136" s="580" t="str">
        <f>IF(Configuration!Y4="EN","Check of the shear key along its weak axis","Vérification de la bêche selon son axe faible")</f>
        <v>Vérification de la bêche selon son axe faible</v>
      </c>
      <c r="J136" s="435">
        <f>MAX(I137:I145)</f>
        <v>0.40816326530612246</v>
      </c>
      <c r="K136" s="448"/>
    </row>
    <row r="137" spans="2:14" ht="15" customHeight="1" x14ac:dyDescent="0.25">
      <c r="B137" s="447"/>
      <c r="C137" s="582" t="str">
        <f>IF(Configuration!Y4="EN","Check of the concrete resistance","Vérification de la résistance du béton")</f>
        <v>Vérification de la résistance du béton</v>
      </c>
      <c r="I137" s="435">
        <f>N117/F138</f>
        <v>0.40816326530612246</v>
      </c>
      <c r="K137" s="448"/>
    </row>
    <row r="138" spans="2:14" ht="15" customHeight="1" x14ac:dyDescent="0.25">
      <c r="B138" s="447"/>
      <c r="D138" s="288"/>
      <c r="E138" s="288" t="s">
        <v>938</v>
      </c>
      <c r="F138" s="551">
        <f>0.5*M120*P117*(M122-2*P122)</f>
        <v>12250</v>
      </c>
      <c r="G138" s="521" t="s">
        <v>632</v>
      </c>
      <c r="K138" s="448"/>
    </row>
    <row r="139" spans="2:14" ht="15" customHeight="1" x14ac:dyDescent="0.25">
      <c r="B139" s="447"/>
      <c r="K139" s="448"/>
    </row>
    <row r="140" spans="2:14" ht="15" customHeight="1" x14ac:dyDescent="0.25">
      <c r="B140" s="447"/>
      <c r="C140" s="582" t="str">
        <f>IF(Configuration!Y4="EN","Check of the shear resistance","Vérification de la résistance au cisaillement")</f>
        <v>Vérification de la résistance au cisaillement</v>
      </c>
      <c r="I140" s="435">
        <f>N117/F141</f>
        <v>0.19193825438484899</v>
      </c>
      <c r="K140" s="448"/>
    </row>
    <row r="141" spans="2:14" ht="15" customHeight="1" x14ac:dyDescent="0.25">
      <c r="B141" s="447"/>
      <c r="D141" s="576" t="s">
        <v>936</v>
      </c>
      <c r="F141" s="551">
        <f>O124*N120/(G_M0*SQRT(3))</f>
        <v>26050.044145835916</v>
      </c>
      <c r="G141" s="521" t="s">
        <v>632</v>
      </c>
      <c r="K141" s="448"/>
      <c r="N141" s="240"/>
    </row>
    <row r="142" spans="2:14" ht="15" customHeight="1" x14ac:dyDescent="0.25">
      <c r="B142" s="447"/>
      <c r="E142" s="581"/>
      <c r="F142" s="521"/>
      <c r="K142" s="448"/>
    </row>
    <row r="143" spans="2:14" ht="15" customHeight="1" x14ac:dyDescent="0.25">
      <c r="B143" s="447"/>
      <c r="C143" s="582" t="str">
        <f>IF(Configuration!Y4="EN","Check of the bending resistance","Vérification de la résistance en flexion")</f>
        <v>Vérification de la résistance en flexion</v>
      </c>
      <c r="I143" s="435">
        <f>F144/F145</f>
        <v>0.27646304242048925</v>
      </c>
      <c r="K143" s="448"/>
    </row>
    <row r="144" spans="2:14" ht="15" customHeight="1" x14ac:dyDescent="0.25">
      <c r="B144" s="447"/>
      <c r="E144" s="288" t="s">
        <v>933</v>
      </c>
      <c r="F144" s="551">
        <f>N117*P117/3000</f>
        <v>250</v>
      </c>
      <c r="G144" s="521" t="s">
        <v>629</v>
      </c>
      <c r="K144" s="448"/>
    </row>
    <row r="145" spans="2:17" ht="15" customHeight="1" x14ac:dyDescent="0.25">
      <c r="B145" s="447"/>
      <c r="D145" s="576" t="s">
        <v>931</v>
      </c>
      <c r="F145" s="551">
        <f>P124*N120/G_M0</f>
        <v>904.28</v>
      </c>
      <c r="G145" s="521" t="s">
        <v>629</v>
      </c>
      <c r="K145" s="448"/>
    </row>
    <row r="146" spans="2:17" ht="15" customHeight="1" x14ac:dyDescent="0.25">
      <c r="B146" s="447"/>
      <c r="C146" s="580"/>
      <c r="K146" s="448"/>
    </row>
    <row r="147" spans="2:17" ht="15" customHeight="1" x14ac:dyDescent="0.25">
      <c r="B147" s="447"/>
      <c r="C147" s="580" t="str">
        <f>IF(Configuration!Y4="EN","Check of the shear key along both axes","Vérification de la bêche selon ses deux axes")</f>
        <v>Vérification de la bêche selon ses deux axes</v>
      </c>
      <c r="I147" s="435">
        <f>F149</f>
        <v>0.84376781426464487</v>
      </c>
      <c r="K147" s="448"/>
    </row>
    <row r="148" spans="2:17" ht="15" customHeight="1" x14ac:dyDescent="0.25">
      <c r="B148" s="447"/>
      <c r="K148" s="448"/>
    </row>
    <row r="149" spans="2:17" ht="15" customHeight="1" x14ac:dyDescent="0.25">
      <c r="B149" s="447"/>
      <c r="F149" s="433">
        <f>J120+J136</f>
        <v>0.84376781426464487</v>
      </c>
      <c r="K149" s="448"/>
    </row>
    <row r="150" spans="2:17" ht="15" customHeight="1" x14ac:dyDescent="0.25">
      <c r="B150" s="447"/>
      <c r="K150" s="448"/>
    </row>
    <row r="151" spans="2:17" ht="15" customHeight="1" x14ac:dyDescent="0.25">
      <c r="B151" s="447"/>
      <c r="C151" s="1019" t="s">
        <v>810</v>
      </c>
      <c r="D151" s="1019"/>
      <c r="E151" s="1019"/>
      <c r="F151" s="1019"/>
      <c r="G151" s="1019"/>
      <c r="H151" s="1019"/>
      <c r="I151" s="1019"/>
      <c r="J151" s="1019"/>
      <c r="K151" s="448"/>
    </row>
    <row r="152" spans="2:17" ht="15" customHeight="1" thickBot="1" x14ac:dyDescent="0.3">
      <c r="B152" s="447"/>
      <c r="C152" s="531" t="str">
        <f>IF(Configuration!Y4="EN","Resistance of cross-shaped shear keys","Résistance des bêches en croix")</f>
        <v>Résistance des bêches en croix</v>
      </c>
      <c r="J152" s="433">
        <f>MAX(I162:I170,J162:J170,I172)</f>
        <v>0.86419753086419759</v>
      </c>
      <c r="K152" s="448"/>
      <c r="M152" s="531" t="s">
        <v>887</v>
      </c>
    </row>
    <row r="153" spans="2:17" ht="15" customHeight="1" x14ac:dyDescent="0.25">
      <c r="B153" s="447"/>
      <c r="K153" s="448"/>
      <c r="M153" s="409" t="s">
        <v>917</v>
      </c>
      <c r="N153" s="673">
        <v>3850</v>
      </c>
      <c r="O153" s="424" t="s">
        <v>919</v>
      </c>
      <c r="P153" s="682">
        <v>100</v>
      </c>
      <c r="Q153" s="385"/>
    </row>
    <row r="154" spans="2:17" ht="15" customHeight="1" x14ac:dyDescent="0.25">
      <c r="B154" s="447"/>
      <c r="D154" s="443" t="str">
        <f>IF(Configuration!Y4="EN","Cross "&amp;P154&amp;"x"&amp;P154&amp;"x"&amp;P155&amp;" - Ln= "&amp;P153&amp;" mm - "&amp;P156,"Croix "&amp;P154&amp;"x"&amp;P154&amp;"x"&amp;P155&amp;" - Ln= "&amp;P153&amp;" mm - "&amp;P156)</f>
        <v>Croix 60x60x6 - Ln= 100 mm - S275</v>
      </c>
      <c r="K154" s="448"/>
      <c r="M154" s="556" t="s">
        <v>918</v>
      </c>
      <c r="N154" s="674">
        <v>0</v>
      </c>
      <c r="O154" s="552" t="s">
        <v>923</v>
      </c>
      <c r="P154" s="675">
        <v>60</v>
      </c>
      <c r="Q154" s="371"/>
    </row>
    <row r="155" spans="2:17" ht="15" customHeight="1" x14ac:dyDescent="0.25">
      <c r="B155" s="447"/>
      <c r="K155" s="448"/>
      <c r="M155" s="411" t="s">
        <v>449</v>
      </c>
      <c r="N155" s="678" t="s">
        <v>472</v>
      </c>
      <c r="O155" s="552" t="s">
        <v>922</v>
      </c>
      <c r="P155" s="675">
        <v>6</v>
      </c>
      <c r="Q155" s="371"/>
    </row>
    <row r="156" spans="2:17" ht="15" customHeight="1" x14ac:dyDescent="0.25">
      <c r="B156" s="447"/>
      <c r="C156" s="580" t="str">
        <f>IF(Configuration!Y4="EN","Check of constructive provisions","Vérification des dispositions constructives")</f>
        <v>Vérification des dispositions constructives</v>
      </c>
      <c r="K156" s="448"/>
      <c r="M156" s="518"/>
      <c r="O156" s="552" t="s">
        <v>423</v>
      </c>
      <c r="P156" s="681" t="s">
        <v>437</v>
      </c>
      <c r="Q156" s="371"/>
    </row>
    <row r="157" spans="2:17" ht="15" customHeight="1" x14ac:dyDescent="0.25">
      <c r="B157" s="447"/>
      <c r="C157" s="583">
        <v>60</v>
      </c>
      <c r="D157" s="377" t="str">
        <f>IF(P153&gt;=60,"≤","&gt;")</f>
        <v>≤</v>
      </c>
      <c r="E157" s="377" t="s">
        <v>925</v>
      </c>
      <c r="F157" s="377" t="str">
        <f>IF(P153&lt;=1.5*P154,"≤","&gt;")</f>
        <v>&gt;</v>
      </c>
      <c r="G157" s="377" t="s">
        <v>950</v>
      </c>
      <c r="H157" s="585">
        <f>1.5*P154</f>
        <v>90</v>
      </c>
      <c r="I157" s="377" t="str">
        <f>IF(AND(P153&gt;=60,P153&lt;=1.5*P154),"OK !!","NON OK !!")</f>
        <v>NON OK !!</v>
      </c>
      <c r="K157" s="448"/>
      <c r="M157" s="592" t="s">
        <v>924</v>
      </c>
      <c r="N157" s="442" t="s">
        <v>921</v>
      </c>
      <c r="O157" s="579" t="s">
        <v>920</v>
      </c>
      <c r="P157" s="442" t="s">
        <v>947</v>
      </c>
      <c r="Q157" s="593" t="s">
        <v>946</v>
      </c>
    </row>
    <row r="158" spans="2:17" ht="15" customHeight="1" thickBot="1" x14ac:dyDescent="0.25">
      <c r="B158" s="447"/>
      <c r="C158" s="288" t="s">
        <v>930</v>
      </c>
      <c r="D158" s="377" t="str">
        <f>IF(P154&lt;=F158,"≤","&gt;")</f>
        <v>≤</v>
      </c>
      <c r="E158" s="377" t="s">
        <v>939</v>
      </c>
      <c r="F158" s="585">
        <f>20*P155</f>
        <v>120</v>
      </c>
      <c r="I158" s="377" t="str">
        <f>IF(P154&lt;=F158,"OK !!","NON OK !!")</f>
        <v>OK !!</v>
      </c>
      <c r="K158" s="448"/>
      <c r="M158" s="594">
        <f>VLOOKUP(N155,Data!$A$40:$H$128,2,FALSE)/1.5</f>
        <v>2</v>
      </c>
      <c r="N158" s="595">
        <f>VLOOKUP(P156,Data!$A$3:$D$34,2,FALSE)</f>
        <v>27.5</v>
      </c>
      <c r="O158" s="596">
        <f>VLOOKUP(P156,Data!$A$3:$D$34,3,FALSE)</f>
        <v>43</v>
      </c>
      <c r="P158" s="597">
        <f>P154*P155</f>
        <v>360</v>
      </c>
      <c r="Q158" s="598">
        <f>P155*P154^2/4000</f>
        <v>5.4</v>
      </c>
    </row>
    <row r="159" spans="2:17" ht="15" customHeight="1" x14ac:dyDescent="0.25">
      <c r="B159" s="447"/>
      <c r="K159" s="448"/>
    </row>
    <row r="160" spans="2:17" ht="15" customHeight="1" x14ac:dyDescent="0.25">
      <c r="B160" s="447"/>
      <c r="C160" s="580" t="str">
        <f>IF(Configuration!Y4="EN","Check of the shear key per axis","Vérification de la bêche par axe")</f>
        <v>Vérification de la bêche par axe</v>
      </c>
      <c r="I160" s="377" t="s">
        <v>940</v>
      </c>
      <c r="J160" s="377" t="s">
        <v>941</v>
      </c>
      <c r="K160" s="448"/>
    </row>
    <row r="161" spans="2:11" ht="15" customHeight="1" x14ac:dyDescent="0.25">
      <c r="B161" s="447"/>
      <c r="C161" s="582" t="str">
        <f>IF(Configuration!Y4="EN","Check of the concrete resistance","Vérification de la résistance du béton")</f>
        <v>Vérification de la résistance du béton</v>
      </c>
      <c r="K161" s="448"/>
    </row>
    <row r="162" spans="2:11" ht="15" customHeight="1" x14ac:dyDescent="0.25">
      <c r="B162" s="447"/>
      <c r="D162" s="288" t="s">
        <v>942</v>
      </c>
      <c r="E162" s="377" t="s">
        <v>928</v>
      </c>
      <c r="F162" s="551">
        <f>M158*P154*P153</f>
        <v>12000</v>
      </c>
      <c r="G162" s="521" t="s">
        <v>632</v>
      </c>
      <c r="I162" s="435">
        <f>N153/F162</f>
        <v>0.32083333333333336</v>
      </c>
      <c r="J162" s="435">
        <f>N154/F162</f>
        <v>0</v>
      </c>
      <c r="K162" s="448"/>
    </row>
    <row r="163" spans="2:11" ht="15" customHeight="1" x14ac:dyDescent="0.25">
      <c r="B163" s="447"/>
      <c r="K163" s="448"/>
    </row>
    <row r="164" spans="2:11" ht="15" customHeight="1" x14ac:dyDescent="0.25">
      <c r="B164" s="447"/>
      <c r="C164" s="582" t="str">
        <f>IF(Configuration!Y4="EN","Check of the shear resistance","Vérification de la résistance au cisaillement")</f>
        <v>Vérification de la résistance au cisaillement</v>
      </c>
      <c r="K164" s="448"/>
    </row>
    <row r="165" spans="2:11" ht="15" customHeight="1" x14ac:dyDescent="0.25">
      <c r="B165" s="447"/>
      <c r="D165" s="576" t="s">
        <v>929</v>
      </c>
      <c r="F165" s="551">
        <f>P158*N158/(G_M0*SQRT(3))</f>
        <v>5715.7676649772957</v>
      </c>
      <c r="G165" s="521" t="s">
        <v>632</v>
      </c>
      <c r="H165"/>
      <c r="I165" s="435">
        <f>N153/F165</f>
        <v>0.67357531405456328</v>
      </c>
      <c r="J165" s="435">
        <f>N154/F165</f>
        <v>0</v>
      </c>
      <c r="K165" s="448"/>
    </row>
    <row r="166" spans="2:11" ht="15" customHeight="1" x14ac:dyDescent="0.25">
      <c r="B166" s="447"/>
      <c r="E166" s="581"/>
      <c r="F166" s="521"/>
      <c r="K166" s="448"/>
    </row>
    <row r="167" spans="2:11" ht="15" customHeight="1" x14ac:dyDescent="0.25">
      <c r="B167" s="447"/>
      <c r="C167" s="582" t="str">
        <f>IF(Configuration!Y4="EN","Check of the bending resistance","Vérification de la résistance en flexion")</f>
        <v>Vérification de la résistance en flexion</v>
      </c>
      <c r="H167"/>
      <c r="K167" s="448"/>
    </row>
    <row r="168" spans="2:11" ht="15" customHeight="1" x14ac:dyDescent="0.25">
      <c r="B168" s="447"/>
      <c r="E168" s="288" t="s">
        <v>932</v>
      </c>
      <c r="F168" s="551">
        <f>N153*P153/3000</f>
        <v>128.33333333333334</v>
      </c>
      <c r="G168" s="521" t="s">
        <v>629</v>
      </c>
      <c r="K168" s="448"/>
    </row>
    <row r="169" spans="2:11" ht="15" customHeight="1" x14ac:dyDescent="0.25">
      <c r="B169" s="447"/>
      <c r="E169" s="288" t="s">
        <v>933</v>
      </c>
      <c r="F169" s="551">
        <f>N154*P153/3000</f>
        <v>0</v>
      </c>
      <c r="G169" s="521" t="s">
        <v>629</v>
      </c>
      <c r="K169" s="448"/>
    </row>
    <row r="170" spans="2:11" ht="15" customHeight="1" x14ac:dyDescent="0.25">
      <c r="B170" s="447"/>
      <c r="D170" s="576" t="s">
        <v>951</v>
      </c>
      <c r="F170" s="551">
        <f>Q158*N158/G_M0</f>
        <v>148.5</v>
      </c>
      <c r="G170" s="521" t="s">
        <v>629</v>
      </c>
      <c r="I170" s="435">
        <f>F168/F170</f>
        <v>0.86419753086419759</v>
      </c>
      <c r="J170" s="435">
        <f>F169/F170</f>
        <v>0</v>
      </c>
      <c r="K170" s="448"/>
    </row>
    <row r="171" spans="2:11" ht="15" customHeight="1" x14ac:dyDescent="0.25">
      <c r="B171" s="447"/>
      <c r="K171" s="448"/>
    </row>
    <row r="172" spans="2:11" ht="15" customHeight="1" x14ac:dyDescent="0.25">
      <c r="B172" s="447"/>
      <c r="C172" s="580" t="str">
        <f>IF(Configuration!Y4="EN","Check of the shear key along both axes","Vérification de la bêche selon ses deux axes")</f>
        <v>Vérification de la bêche selon ses deux axes</v>
      </c>
      <c r="I172" s="435">
        <f>F174</f>
        <v>0.67357531405456328</v>
      </c>
      <c r="K172" s="448"/>
    </row>
    <row r="173" spans="2:11" ht="15" customHeight="1" x14ac:dyDescent="0.25">
      <c r="B173" s="447"/>
      <c r="K173" s="448"/>
    </row>
    <row r="174" spans="2:11" ht="15" customHeight="1" x14ac:dyDescent="0.25">
      <c r="B174" s="447"/>
      <c r="F174" s="433">
        <f>MAX(I162:I165)+MAX(J162:J165)</f>
        <v>0.67357531405456328</v>
      </c>
      <c r="K174" s="448"/>
    </row>
    <row r="175" spans="2:11" ht="15" customHeight="1" x14ac:dyDescent="0.25">
      <c r="B175" s="447"/>
      <c r="K175" s="448"/>
    </row>
    <row r="176" spans="2:11" ht="15" customHeight="1" x14ac:dyDescent="0.25">
      <c r="B176" s="447"/>
      <c r="C176" s="1019" t="s">
        <v>810</v>
      </c>
      <c r="D176" s="1019"/>
      <c r="E176" s="1019"/>
      <c r="F176" s="1019"/>
      <c r="G176" s="1019"/>
      <c r="H176" s="1019"/>
      <c r="I176" s="1019"/>
      <c r="J176" s="1019"/>
      <c r="K176" s="448"/>
    </row>
    <row r="177" spans="2:17" ht="15" customHeight="1" x14ac:dyDescent="0.25">
      <c r="B177" s="447"/>
      <c r="C177" s="531" t="str">
        <f>IF(Configuration!Y4="EN","Resistance of the relative slip of grout compared to existing concrete","Résistance du glissement relatif du coulis de scellement par rapport au béton existant")</f>
        <v>Résistance du glissement relatif du coulis de scellement par rapport au béton existant</v>
      </c>
      <c r="K177" s="448"/>
      <c r="M177" s="553" t="s">
        <v>1170</v>
      </c>
    </row>
    <row r="178" spans="2:17" ht="15" customHeight="1" x14ac:dyDescent="0.25">
      <c r="B178" s="447"/>
      <c r="H178" s="530" t="s">
        <v>1840</v>
      </c>
      <c r="J178" s="433">
        <f>F197/F186</f>
        <v>0.97618125819825541</v>
      </c>
      <c r="K178" s="448"/>
      <c r="M178" s="412" t="s">
        <v>1171</v>
      </c>
      <c r="N178" s="683">
        <v>77600</v>
      </c>
      <c r="O178" s="552" t="s">
        <v>449</v>
      </c>
      <c r="P178" s="678" t="s">
        <v>472</v>
      </c>
      <c r="Q178" s="415" t="s">
        <v>1181</v>
      </c>
    </row>
    <row r="179" spans="2:17" ht="15" customHeight="1" x14ac:dyDescent="0.2">
      <c r="B179" s="447"/>
      <c r="C179" s="443" t="str">
        <f>IF(Configuration!Y4="EN","Concrete "&amp;P178,"Béton "&amp;P178)</f>
        <v>Béton C 30/37</v>
      </c>
      <c r="K179" s="448"/>
      <c r="M179" s="552" t="s">
        <v>1172</v>
      </c>
      <c r="N179" s="675">
        <v>2000</v>
      </c>
      <c r="O179" s="634" t="s">
        <v>1173</v>
      </c>
      <c r="P179" s="678" t="s">
        <v>1174</v>
      </c>
      <c r="Q179" s="637">
        <f>VLOOKUP(P178,Data!$A$40:$H$128,6,FALSE)/1.5</f>
        <v>0.13516851384478815</v>
      </c>
    </row>
    <row r="180" spans="2:17" ht="15" customHeight="1" x14ac:dyDescent="0.25">
      <c r="B180" s="447"/>
      <c r="E180" s="288" t="s">
        <v>1175</v>
      </c>
      <c r="F180" s="435">
        <f>10*Q179</f>
        <v>1.3516851384478814</v>
      </c>
      <c r="G180" s="521" t="s">
        <v>1176</v>
      </c>
      <c r="K180" s="448"/>
      <c r="M180" s="552" t="s">
        <v>1177</v>
      </c>
      <c r="N180" s="675">
        <v>80</v>
      </c>
      <c r="O180" s="635" t="s">
        <v>863</v>
      </c>
      <c r="P180" s="675">
        <v>45</v>
      </c>
      <c r="Q180" s="521"/>
    </row>
    <row r="181" spans="2:17" ht="15" customHeight="1" x14ac:dyDescent="0.25">
      <c r="B181" s="447"/>
      <c r="E181" s="288" t="s">
        <v>1178</v>
      </c>
      <c r="F181" s="377">
        <f>IF(P179="bonnes",1,0.7)</f>
        <v>1</v>
      </c>
      <c r="G181" s="530" t="str">
        <f>O179&amp;" "&amp;P179</f>
        <v>Condition d'adhérence bonnes</v>
      </c>
      <c r="K181" s="448"/>
      <c r="M181" s="635" t="s">
        <v>1179</v>
      </c>
      <c r="N181" s="675">
        <v>220</v>
      </c>
      <c r="O181" s="635" t="s">
        <v>1195</v>
      </c>
      <c r="P181" s="675">
        <v>0</v>
      </c>
    </row>
    <row r="182" spans="2:17" ht="15" customHeight="1" x14ac:dyDescent="0.25">
      <c r="B182" s="447"/>
      <c r="E182" s="288" t="s">
        <v>1180</v>
      </c>
      <c r="F182" s="377">
        <f>IF(N180&lt;=32,1,(132-N180)/100)</f>
        <v>0.52</v>
      </c>
      <c r="G182" s="530" t="str">
        <f>IF(N180&lt;=32,"φ≤32mm","η2 = (132-φ)/100 pour φ&gt;32mm")</f>
        <v>η2 = (132-φ)/100 pour φ&gt;32mm</v>
      </c>
      <c r="K182" s="448"/>
      <c r="O182" s="288" t="s">
        <v>1196</v>
      </c>
      <c r="P182" s="636">
        <f>(N181-N180)/2</f>
        <v>70</v>
      </c>
    </row>
    <row r="183" spans="2:17" ht="15" customHeight="1" x14ac:dyDescent="0.2">
      <c r="B183" s="447"/>
      <c r="E183" s="288" t="s">
        <v>1182</v>
      </c>
      <c r="F183" s="435">
        <f>2.25*F181*F182*F180</f>
        <v>1.5814716119840211</v>
      </c>
      <c r="G183" s="521" t="s">
        <v>1176</v>
      </c>
      <c r="K183" s="448"/>
      <c r="N183" s="637"/>
    </row>
    <row r="184" spans="2:17" ht="15" customHeight="1" x14ac:dyDescent="0.25">
      <c r="B184" s="447"/>
      <c r="E184" s="288" t="s">
        <v>1183</v>
      </c>
      <c r="F184" s="568">
        <f>10*N178/(0.25*PI()*N180^2)</f>
        <v>154.38029479913848</v>
      </c>
      <c r="G184" s="521" t="s">
        <v>1184</v>
      </c>
      <c r="K184" s="448"/>
    </row>
    <row r="185" spans="2:17" ht="15" customHeight="1" x14ac:dyDescent="0.25">
      <c r="B185" s="447"/>
      <c r="E185" s="288" t="s">
        <v>1185</v>
      </c>
      <c r="F185" s="377">
        <f>N180</f>
        <v>80</v>
      </c>
      <c r="G185" s="521" t="s">
        <v>240</v>
      </c>
      <c r="K185" s="448"/>
    </row>
    <row r="186" spans="2:17" ht="15" customHeight="1" x14ac:dyDescent="0.25">
      <c r="B186" s="447"/>
      <c r="E186" s="288" t="str">
        <f>IF(Configuration!Y4="EN","Embedment length: Ls =","Longueur de scellement : Ls =")</f>
        <v>Longueur de scellement : Ls =</v>
      </c>
      <c r="F186" s="377">
        <f>N179</f>
        <v>2000</v>
      </c>
      <c r="G186" s="521" t="s">
        <v>240</v>
      </c>
      <c r="K186" s="448"/>
    </row>
    <row r="187" spans="2:17" ht="15" customHeight="1" x14ac:dyDescent="0.25">
      <c r="B187" s="447"/>
      <c r="K187" s="448"/>
    </row>
    <row r="188" spans="2:17" ht="15" customHeight="1" x14ac:dyDescent="0.25">
      <c r="B188" s="447"/>
      <c r="C188" s="638" t="str">
        <f>IF(Configuration!Y4="EN","Reference length","Longueur de référence")</f>
        <v>Longueur de référence</v>
      </c>
      <c r="K188" s="448"/>
    </row>
    <row r="189" spans="2:17" ht="15" customHeight="1" x14ac:dyDescent="0.25">
      <c r="B189" s="447"/>
      <c r="E189" s="288" t="s">
        <v>1186</v>
      </c>
      <c r="F189" s="568">
        <f>(F185/4)*(F184/F183)</f>
        <v>1952.3625163965107</v>
      </c>
      <c r="G189" s="521" t="s">
        <v>240</v>
      </c>
      <c r="K189" s="448"/>
    </row>
    <row r="190" spans="2:17" ht="15" customHeight="1" x14ac:dyDescent="0.25">
      <c r="B190" s="447"/>
      <c r="K190" s="448"/>
    </row>
    <row r="191" spans="2:17" ht="15" customHeight="1" x14ac:dyDescent="0.25">
      <c r="B191" s="447"/>
      <c r="C191" s="638" t="str">
        <f>IF(Configuration!Y4="EN","Design length","Longueur de calcul")</f>
        <v>Longueur de calcul</v>
      </c>
      <c r="K191" s="448"/>
    </row>
    <row r="192" spans="2:17" ht="15" customHeight="1" x14ac:dyDescent="0.25">
      <c r="B192" s="447"/>
      <c r="E192" s="288" t="s">
        <v>1187</v>
      </c>
      <c r="F192" s="377">
        <f>MIN(0.3*F189,10*F185,100)</f>
        <v>100</v>
      </c>
      <c r="G192" s="521" t="s">
        <v>240</v>
      </c>
      <c r="K192" s="448"/>
    </row>
    <row r="193" spans="2:14" ht="15" customHeight="1" x14ac:dyDescent="0.25">
      <c r="B193" s="447"/>
      <c r="E193" s="288" t="s">
        <v>1188</v>
      </c>
      <c r="F193" s="639">
        <v>1</v>
      </c>
      <c r="K193" s="448"/>
    </row>
    <row r="194" spans="2:14" ht="15" customHeight="1" x14ac:dyDescent="0.25">
      <c r="B194" s="447"/>
      <c r="E194" s="288" t="s">
        <v>1189</v>
      </c>
      <c r="F194" s="377" cm="1">
        <f t="array" ref="F194">MIN(IF(P180:P182&lt;&gt;0,P180:P182))</f>
        <v>45</v>
      </c>
      <c r="G194" s="521" t="s">
        <v>240</v>
      </c>
      <c r="K194" s="448"/>
    </row>
    <row r="195" spans="2:14" ht="15" customHeight="1" x14ac:dyDescent="0.25">
      <c r="B195" s="447"/>
      <c r="E195" s="288" t="s">
        <v>1190</v>
      </c>
      <c r="F195" s="639">
        <f>IF((1-0.15*(F194-F185)/F185)&gt;1,1,IF((1-0.15*(F194-F185)/F185)&lt;0.7,0.7,(1-0.15*(F194-F185)/F185)))</f>
        <v>1</v>
      </c>
      <c r="K195" s="448"/>
    </row>
    <row r="196" spans="2:14" ht="15" customHeight="1" x14ac:dyDescent="0.25">
      <c r="B196" s="447"/>
      <c r="E196" s="288" t="s">
        <v>1191</v>
      </c>
      <c r="F196" s="568">
        <f>F193*F195*F189</f>
        <v>1952.3625163965107</v>
      </c>
      <c r="G196" s="521" t="s">
        <v>240</v>
      </c>
      <c r="H196" s="630" t="str">
        <f>IF(F196&gt;=F192,"≥","&lt;")</f>
        <v>≥</v>
      </c>
      <c r="I196" s="377" t="s">
        <v>1192</v>
      </c>
      <c r="J196" s="377" t="str">
        <f>IF(F196&gt;=F192,"OK!!","NON OK!!!")</f>
        <v>OK!!</v>
      </c>
      <c r="K196" s="448"/>
    </row>
    <row r="197" spans="2:14" ht="15" customHeight="1" x14ac:dyDescent="0.25">
      <c r="B197" s="447"/>
      <c r="E197" s="288" t="s">
        <v>1193</v>
      </c>
      <c r="F197" s="568">
        <f>F196</f>
        <v>1952.3625163965107</v>
      </c>
      <c r="G197" s="521" t="s">
        <v>240</v>
      </c>
      <c r="H197" s="630" t="str">
        <f>IF(F197&lt;=F186,"≤","&gt;")</f>
        <v>≤</v>
      </c>
      <c r="I197" s="377" t="s">
        <v>1194</v>
      </c>
      <c r="J197" s="377" t="str">
        <f>IF(F197&lt;=F186,"OK!!","NON OK!!!")</f>
        <v>OK!!</v>
      </c>
      <c r="K197" s="448"/>
    </row>
    <row r="198" spans="2:14" ht="15" customHeight="1" x14ac:dyDescent="0.25">
      <c r="B198" s="447"/>
      <c r="C198" s="613"/>
      <c r="D198" s="613"/>
      <c r="E198" s="613"/>
      <c r="F198" s="613"/>
      <c r="G198" s="613"/>
      <c r="H198" s="613"/>
      <c r="I198" s="613"/>
      <c r="J198" s="613"/>
      <c r="K198" s="448"/>
    </row>
    <row r="199" spans="2:14" ht="15" customHeight="1" x14ac:dyDescent="0.25">
      <c r="B199" s="447"/>
      <c r="C199" s="1019" t="s">
        <v>810</v>
      </c>
      <c r="D199" s="1019"/>
      <c r="E199" s="1019"/>
      <c r="F199" s="1019"/>
      <c r="G199" s="1019"/>
      <c r="H199" s="1019"/>
      <c r="I199" s="1019"/>
      <c r="J199" s="1019"/>
      <c r="K199" s="448"/>
    </row>
    <row r="200" spans="2:14" ht="15" customHeight="1" x14ac:dyDescent="0.25">
      <c r="B200" s="447"/>
      <c r="C200" s="531" t="str">
        <f>IF(Configuration!Y4="EN","Resistance of shim plates","Résistance des plaquettes")</f>
        <v>Résistance des plaquettes</v>
      </c>
      <c r="K200" s="448"/>
      <c r="M200" s="531" t="s">
        <v>1197</v>
      </c>
    </row>
    <row r="201" spans="2:14" ht="15" customHeight="1" x14ac:dyDescent="0.35">
      <c r="B201" s="447"/>
      <c r="J201" s="433">
        <f>F208/F204</f>
        <v>1.0389298720066213</v>
      </c>
      <c r="K201" s="448"/>
      <c r="M201" s="742" t="s">
        <v>1577</v>
      </c>
      <c r="N201" s="683">
        <v>5100</v>
      </c>
    </row>
    <row r="202" spans="2:14" ht="15" customHeight="1" x14ac:dyDescent="0.25">
      <c r="B202" s="447"/>
      <c r="C202" s="540" t="str">
        <f>IF(Configuration!Y4="EN","Shim plates thickness ta = "&amp;N204&amp;" mm - "&amp;N206,"Plaquettes épaisseur ta = "&amp;N204&amp;" mm - "&amp;N206)</f>
        <v>Plaquettes épaisseur ta = 8 mm - S235</v>
      </c>
      <c r="K202" s="448"/>
      <c r="M202" s="743" t="s">
        <v>1580</v>
      </c>
      <c r="N202" s="675">
        <v>23</v>
      </c>
    </row>
    <row r="203" spans="2:14" ht="15" customHeight="1" x14ac:dyDescent="0.25">
      <c r="B203" s="447"/>
      <c r="K203" s="448"/>
      <c r="M203" s="743" t="s">
        <v>1581</v>
      </c>
      <c r="N203" s="675">
        <v>40</v>
      </c>
    </row>
    <row r="204" spans="2:14" ht="15" customHeight="1" x14ac:dyDescent="0.25">
      <c r="B204" s="447"/>
      <c r="E204" s="288" t="s">
        <v>1198</v>
      </c>
      <c r="F204" s="557">
        <f>N204</f>
        <v>8</v>
      </c>
      <c r="K204" s="448"/>
      <c r="M204" s="743" t="s">
        <v>1582</v>
      </c>
      <c r="N204" s="675">
        <v>8</v>
      </c>
    </row>
    <row r="205" spans="2:14" ht="15" customHeight="1" x14ac:dyDescent="0.25">
      <c r="B205" s="447"/>
      <c r="E205" s="288" t="s">
        <v>1199</v>
      </c>
      <c r="F205" s="557">
        <f>N205</f>
        <v>10</v>
      </c>
      <c r="K205" s="448"/>
      <c r="M205" s="743" t="s">
        <v>1579</v>
      </c>
      <c r="N205" s="675">
        <v>10</v>
      </c>
    </row>
    <row r="206" spans="2:14" ht="15" customHeight="1" x14ac:dyDescent="0.25">
      <c r="B206" s="447"/>
      <c r="E206" s="288" t="s">
        <v>1200</v>
      </c>
      <c r="F206" s="1041">
        <f>M208</f>
        <v>23.5</v>
      </c>
      <c r="G206" s="1041"/>
      <c r="K206" s="448"/>
      <c r="M206" s="743" t="s">
        <v>423</v>
      </c>
      <c r="N206" s="681" t="s">
        <v>435</v>
      </c>
    </row>
    <row r="207" spans="2:14" ht="15" customHeight="1" x14ac:dyDescent="0.25">
      <c r="B207" s="447"/>
      <c r="K207" s="448"/>
      <c r="M207" s="415" t="s">
        <v>1201</v>
      </c>
    </row>
    <row r="208" spans="2:14" ht="15" customHeight="1" x14ac:dyDescent="0.2">
      <c r="B208" s="447"/>
      <c r="E208" s="640" t="s">
        <v>1202</v>
      </c>
      <c r="F208" s="557">
        <f>MAX(SQRT(N201/(PI()*M208)),N205/(SQRT(2)))</f>
        <v>8.3114389760529708</v>
      </c>
      <c r="G208" s="377" t="str">
        <f>IF(F208&lt;=N204,"≤","&gt;")</f>
        <v>&gt;</v>
      </c>
      <c r="H208" s="613" t="s">
        <v>1203</v>
      </c>
      <c r="J208" s="377" t="str">
        <f>IF(F208&lt;=N204,"OK!!","NON OK!!!")</f>
        <v>NON OK!!!</v>
      </c>
      <c r="K208" s="448"/>
      <c r="M208" s="637">
        <f>VLOOKUP(N206,Data!A3:D33,2,FALSE)</f>
        <v>23.5</v>
      </c>
    </row>
    <row r="209" spans="2:14" ht="15" customHeight="1" x14ac:dyDescent="0.25">
      <c r="B209" s="447"/>
      <c r="K209" s="448"/>
    </row>
    <row r="210" spans="2:14" ht="15" customHeight="1" x14ac:dyDescent="0.25">
      <c r="B210" s="447"/>
      <c r="C210" s="1019" t="s">
        <v>810</v>
      </c>
      <c r="D210" s="1019"/>
      <c r="E210" s="1019"/>
      <c r="F210" s="1019"/>
      <c r="G210" s="1019"/>
      <c r="H210" s="1019"/>
      <c r="I210" s="1019"/>
      <c r="J210" s="1019"/>
      <c r="K210" s="448"/>
    </row>
    <row r="211" spans="2:14" ht="18" customHeight="1" x14ac:dyDescent="0.25">
      <c r="B211" s="447"/>
      <c r="C211" s="745" t="str">
        <f>IF(Configuration!Y4="EN","Hinge condition of column bases","Condition d'articulation des pieds de poteaux")</f>
        <v>Condition d'articulation des pieds de poteaux</v>
      </c>
      <c r="D211" s="613"/>
      <c r="E211" s="613"/>
      <c r="F211" s="613"/>
      <c r="G211" s="613"/>
      <c r="H211" s="613"/>
      <c r="I211" s="645" t="s">
        <v>1933</v>
      </c>
      <c r="J211" s="613"/>
      <c r="K211" s="448"/>
    </row>
    <row r="212" spans="2:14" ht="18" customHeight="1" x14ac:dyDescent="0.25">
      <c r="B212" s="447"/>
      <c r="C212" s="288" t="s">
        <v>1934</v>
      </c>
      <c r="D212" s="641">
        <v>300</v>
      </c>
      <c r="E212" s="741" t="s">
        <v>240</v>
      </c>
      <c r="F212" s="288" t="s">
        <v>1937</v>
      </c>
      <c r="G212" s="641">
        <v>1.5900000000000001E-2</v>
      </c>
      <c r="H212" s="741" t="s">
        <v>1936</v>
      </c>
      <c r="I212" s="613"/>
      <c r="J212" s="613" t="str">
        <f>IF(D212&lt;=300,"Articulé",IF(AND(J216=TRUE,J217=TRUE,J218=TRUE),"Articulé","NON Articulé"))</f>
        <v>Articulé</v>
      </c>
      <c r="K212" s="448"/>
    </row>
    <row r="213" spans="2:14" ht="18" customHeight="1" x14ac:dyDescent="0.25">
      <c r="B213" s="447"/>
      <c r="C213" s="288" t="s">
        <v>1935</v>
      </c>
      <c r="D213" s="641">
        <v>356</v>
      </c>
      <c r="E213" s="741" t="s">
        <v>240</v>
      </c>
      <c r="F213" s="640" t="s">
        <v>676</v>
      </c>
      <c r="G213" s="641">
        <v>26100</v>
      </c>
      <c r="H213" s="741" t="str">
        <f>IF(Configuration!Y4="EN","daN (SLS Compression)","daN (Compression ELS)")</f>
        <v>daN (Compression ELS)</v>
      </c>
      <c r="I213" s="613"/>
      <c r="J213" s="613"/>
      <c r="K213" s="448"/>
    </row>
    <row r="214" spans="2:14" ht="18" customHeight="1" x14ac:dyDescent="0.25">
      <c r="B214" s="447"/>
      <c r="C214" s="288" t="s">
        <v>733</v>
      </c>
      <c r="D214" s="641">
        <v>150</v>
      </c>
      <c r="E214" s="741" t="s">
        <v>240</v>
      </c>
      <c r="F214" s="613"/>
      <c r="G214" s="613"/>
      <c r="H214" s="613"/>
      <c r="I214" s="613"/>
      <c r="J214" s="613"/>
      <c r="K214" s="448"/>
    </row>
    <row r="215" spans="2:14" ht="18" customHeight="1" x14ac:dyDescent="0.25">
      <c r="B215" s="447"/>
      <c r="C215" s="613"/>
      <c r="D215" s="613"/>
      <c r="E215" s="613"/>
      <c r="F215" s="613"/>
      <c r="G215" s="613"/>
      <c r="H215" s="613"/>
      <c r="I215" s="613"/>
      <c r="J215" s="613"/>
      <c r="K215" s="448"/>
    </row>
    <row r="216" spans="2:14" ht="18" customHeight="1" x14ac:dyDescent="0.25">
      <c r="B216" s="447"/>
      <c r="D216" s="741" t="str">
        <f>IF(D212&lt;=300,"hp &lt;= 300mm","300 mm &lt; hp &lt; 600 mm")</f>
        <v>hp &lt;= 300mm</v>
      </c>
      <c r="E216" s="613"/>
      <c r="F216" s="613"/>
      <c r="G216" s="613"/>
      <c r="H216" s="613"/>
      <c r="I216" s="613"/>
      <c r="J216" s="613" t="b">
        <f>IF(D212&lt;=300,TRUE,IF(D212&lt;=600,TRUE,FALSE))</f>
        <v>1</v>
      </c>
      <c r="K216" s="448"/>
    </row>
    <row r="217" spans="2:14" ht="18" customHeight="1" x14ac:dyDescent="0.25">
      <c r="B217" s="447"/>
      <c r="C217" s="613"/>
      <c r="D217" s="741" t="str">
        <f>IF(D212&gt;300,"soulèvement au niveau des tiges &lt;= 1.5mm","")</f>
        <v/>
      </c>
      <c r="E217" s="613"/>
      <c r="F217" s="613"/>
      <c r="G217" s="613"/>
      <c r="H217" s="932" t="str">
        <f>IF(D212&lt;=300,"",ABS(G212)*(D212/2+D214/2))</f>
        <v/>
      </c>
      <c r="I217" s="741" t="str">
        <f>IF(D212&lt;=300,"","mm")</f>
        <v/>
      </c>
      <c r="J217" s="613" t="str">
        <f>IF(D212&lt;=300,"",IF(AND(D212&gt;300,D212&lt;=600),IF(H217&lt;=1.5,TRUE,FALSE),FALSE))</f>
        <v/>
      </c>
      <c r="K217" s="448"/>
    </row>
    <row r="218" spans="2:14" ht="18" customHeight="1" x14ac:dyDescent="0.25">
      <c r="B218" s="447"/>
      <c r="C218" s="613"/>
      <c r="D218" s="741" t="str">
        <f>IF(D212&gt;300,"N*hc*θL &lt; 150 daN.m","")</f>
        <v/>
      </c>
      <c r="E218" s="613"/>
      <c r="F218" s="613"/>
      <c r="G218" s="613"/>
      <c r="H218" s="933" t="str">
        <f>IF(D212&lt;=300,"",ABS(G213)*G212*D213/1000)</f>
        <v/>
      </c>
      <c r="I218" s="741" t="str">
        <f>IF(D212&lt;=300,"","daN.m")</f>
        <v/>
      </c>
      <c r="J218" s="613" t="str">
        <f>IF(D212&lt;=300,"",IF(AND(D212&gt;300,D212&lt;=600),IF(H218&lt;=150,TRUE,FALSE),FALSE))</f>
        <v/>
      </c>
      <c r="K218" s="448"/>
    </row>
    <row r="219" spans="2:14" ht="15" hidden="1" customHeight="1" x14ac:dyDescent="0.25">
      <c r="B219" s="447"/>
      <c r="C219" s="1019" t="s">
        <v>810</v>
      </c>
      <c r="D219" s="1019"/>
      <c r="E219" s="1019"/>
      <c r="F219" s="1019"/>
      <c r="G219" s="1019"/>
      <c r="H219" s="1019"/>
      <c r="I219" s="1019"/>
      <c r="J219" s="1019"/>
      <c r="K219" s="448"/>
    </row>
    <row r="220" spans="2:14" ht="15" hidden="1" customHeight="1" x14ac:dyDescent="0.25">
      <c r="B220" s="447"/>
      <c r="C220" s="531" t="s">
        <v>1597</v>
      </c>
      <c r="D220" s="613"/>
      <c r="E220" s="613"/>
      <c r="F220" s="613"/>
      <c r="G220" s="613"/>
      <c r="H220" s="613"/>
      <c r="I220" s="613"/>
      <c r="J220" s="433">
        <f>I225/I226</f>
        <v>0.99640283687943276</v>
      </c>
      <c r="K220" s="448"/>
      <c r="M220" s="531" t="s">
        <v>1570</v>
      </c>
    </row>
    <row r="221" spans="2:14" ht="15" hidden="1" customHeight="1" x14ac:dyDescent="0.25">
      <c r="B221" s="447"/>
      <c r="D221" s="640" t="s">
        <v>1572</v>
      </c>
      <c r="E221" s="613">
        <f>N221</f>
        <v>4900</v>
      </c>
      <c r="F221" s="741" t="s">
        <v>632</v>
      </c>
      <c r="G221" s="613"/>
      <c r="H221" s="613"/>
      <c r="I221" s="613"/>
      <c r="J221" s="613"/>
      <c r="K221" s="448"/>
      <c r="M221" s="742" t="s">
        <v>1572</v>
      </c>
      <c r="N221" s="683">
        <v>4900</v>
      </c>
    </row>
    <row r="222" spans="2:14" ht="15" hidden="1" customHeight="1" x14ac:dyDescent="0.25">
      <c r="B222" s="447"/>
      <c r="D222" s="288" t="s">
        <v>682</v>
      </c>
      <c r="E222" s="377">
        <f>N223</f>
        <v>112</v>
      </c>
      <c r="F222" s="741" t="s">
        <v>240</v>
      </c>
      <c r="G222" s="613"/>
      <c r="H222" s="613"/>
      <c r="I222" s="613"/>
      <c r="J222" s="613"/>
      <c r="K222" s="448"/>
      <c r="M222" s="743" t="s">
        <v>423</v>
      </c>
      <c r="N222" s="681" t="s">
        <v>435</v>
      </c>
    </row>
    <row r="223" spans="2:14" ht="15" hidden="1" customHeight="1" x14ac:dyDescent="0.25">
      <c r="B223" s="447"/>
      <c r="C223" s="613"/>
      <c r="D223" s="640" t="s">
        <v>1585</v>
      </c>
      <c r="E223" s="613">
        <f>N224</f>
        <v>150</v>
      </c>
      <c r="F223" s="741" t="s">
        <v>240</v>
      </c>
      <c r="G223" s="613"/>
      <c r="H223" s="613"/>
      <c r="I223" s="613"/>
      <c r="J223" s="613"/>
      <c r="K223" s="448"/>
      <c r="M223" s="743" t="s">
        <v>682</v>
      </c>
      <c r="N223" s="675">
        <v>112</v>
      </c>
    </row>
    <row r="224" spans="2:14" ht="15" hidden="1" customHeight="1" x14ac:dyDescent="0.25">
      <c r="B224" s="447"/>
      <c r="C224" s="613"/>
      <c r="D224" s="288" t="s">
        <v>802</v>
      </c>
      <c r="E224" s="377">
        <f>N225</f>
        <v>25</v>
      </c>
      <c r="F224" s="741" t="s">
        <v>240</v>
      </c>
      <c r="G224" s="613"/>
      <c r="H224" s="613"/>
      <c r="I224" s="613"/>
      <c r="J224" s="613"/>
      <c r="K224" s="448"/>
      <c r="M224" s="743" t="s">
        <v>1585</v>
      </c>
      <c r="N224" s="675">
        <v>150</v>
      </c>
    </row>
    <row r="225" spans="2:14" ht="15" hidden="1" customHeight="1" x14ac:dyDescent="0.25">
      <c r="B225" s="447"/>
      <c r="C225" s="613"/>
      <c r="D225" s="640" t="s">
        <v>644</v>
      </c>
      <c r="E225" s="613">
        <f>VLOOKUP(N222,Data!A3:D33,2,FALSE)</f>
        <v>23.5</v>
      </c>
      <c r="F225" s="741" t="s">
        <v>631</v>
      </c>
      <c r="G225" s="613"/>
      <c r="H225" s="640" t="s">
        <v>1573</v>
      </c>
      <c r="I225" s="613">
        <f>0.001*E221*E222</f>
        <v>548.80000000000007</v>
      </c>
      <c r="J225" s="741" t="s">
        <v>629</v>
      </c>
      <c r="K225" s="448"/>
      <c r="M225" s="743" t="s">
        <v>1579</v>
      </c>
      <c r="N225" s="675">
        <v>25</v>
      </c>
    </row>
    <row r="226" spans="2:14" ht="15" hidden="1" customHeight="1" x14ac:dyDescent="0.25">
      <c r="B226" s="447"/>
      <c r="C226" s="613"/>
      <c r="D226" s="288" t="s">
        <v>1575</v>
      </c>
      <c r="E226" s="639">
        <f>(10^-3)*E223*E224^2/4</f>
        <v>23.4375</v>
      </c>
      <c r="F226" s="521" t="s">
        <v>1576</v>
      </c>
      <c r="G226" s="613"/>
      <c r="H226" s="640" t="s">
        <v>1574</v>
      </c>
      <c r="I226" s="744">
        <f>E226*E225</f>
        <v>550.78125</v>
      </c>
      <c r="J226" s="741" t="s">
        <v>629</v>
      </c>
      <c r="K226" s="448"/>
    </row>
    <row r="227" spans="2:14" ht="15" hidden="1" customHeight="1" x14ac:dyDescent="0.25">
      <c r="B227" s="447"/>
      <c r="C227" s="1019" t="s">
        <v>810</v>
      </c>
      <c r="D227" s="1019"/>
      <c r="E227" s="1019"/>
      <c r="F227" s="1019"/>
      <c r="G227" s="1019"/>
      <c r="H227" s="1019"/>
      <c r="I227" s="1019"/>
      <c r="J227" s="1019"/>
      <c r="K227" s="448"/>
    </row>
    <row r="228" spans="2:14" ht="15" hidden="1" customHeight="1" x14ac:dyDescent="0.25">
      <c r="B228" s="447"/>
      <c r="C228" s="531" t="s">
        <v>1598</v>
      </c>
      <c r="D228" s="613"/>
      <c r="E228" s="613"/>
      <c r="F228" s="613"/>
      <c r="G228" s="613"/>
      <c r="H228" s="613"/>
      <c r="I228" s="613"/>
      <c r="J228" s="433">
        <f>I233/I234</f>
        <v>0.70560928433268855</v>
      </c>
      <c r="K228" s="448"/>
      <c r="M228" s="531" t="s">
        <v>1571</v>
      </c>
    </row>
    <row r="229" spans="2:14" ht="15" hidden="1" customHeight="1" x14ac:dyDescent="0.25">
      <c r="B229" s="447"/>
      <c r="D229" s="640" t="s">
        <v>1583</v>
      </c>
      <c r="E229" s="613">
        <f>N229</f>
        <v>22800</v>
      </c>
      <c r="F229" s="741" t="s">
        <v>632</v>
      </c>
      <c r="G229" s="613"/>
      <c r="H229" s="613"/>
      <c r="I229" s="613"/>
      <c r="J229" s="613"/>
      <c r="K229" s="448"/>
      <c r="M229" s="742" t="s">
        <v>1583</v>
      </c>
      <c r="N229" s="683">
        <v>22800</v>
      </c>
    </row>
    <row r="230" spans="2:14" ht="15" hidden="1" customHeight="1" x14ac:dyDescent="0.25">
      <c r="B230" s="447"/>
      <c r="D230" s="288" t="s">
        <v>1584</v>
      </c>
      <c r="E230" s="377">
        <f>N231</f>
        <v>250</v>
      </c>
      <c r="F230" s="741" t="s">
        <v>240</v>
      </c>
      <c r="G230" s="613"/>
      <c r="H230" s="613"/>
      <c r="I230" s="613"/>
      <c r="J230" s="613"/>
      <c r="K230" s="448"/>
      <c r="M230" s="743" t="s">
        <v>423</v>
      </c>
      <c r="N230" s="681" t="s">
        <v>435</v>
      </c>
    </row>
    <row r="231" spans="2:14" ht="15" hidden="1" customHeight="1" x14ac:dyDescent="0.25">
      <c r="B231" s="447"/>
      <c r="C231" s="613"/>
      <c r="D231" s="640" t="s">
        <v>1423</v>
      </c>
      <c r="E231" s="613">
        <f>N232</f>
        <v>275</v>
      </c>
      <c r="F231" s="741" t="s">
        <v>240</v>
      </c>
      <c r="G231" s="613"/>
      <c r="H231" s="613"/>
      <c r="I231" s="613"/>
      <c r="J231" s="613"/>
      <c r="K231" s="448"/>
      <c r="M231" s="743" t="s">
        <v>1584</v>
      </c>
      <c r="N231" s="675">
        <v>250</v>
      </c>
    </row>
    <row r="232" spans="2:14" ht="15" hidden="1" customHeight="1" x14ac:dyDescent="0.25">
      <c r="B232" s="447"/>
      <c r="C232" s="613"/>
      <c r="D232" s="288" t="s">
        <v>802</v>
      </c>
      <c r="E232" s="377">
        <f>N233</f>
        <v>25</v>
      </c>
      <c r="F232" s="741" t="s">
        <v>240</v>
      </c>
      <c r="G232" s="613"/>
      <c r="H232" s="613"/>
      <c r="I232" s="613"/>
      <c r="J232" s="613"/>
      <c r="K232" s="448"/>
      <c r="M232" s="743" t="s">
        <v>1578</v>
      </c>
      <c r="N232" s="675">
        <v>275</v>
      </c>
    </row>
    <row r="233" spans="2:14" ht="15" hidden="1" customHeight="1" x14ac:dyDescent="0.25">
      <c r="B233" s="447"/>
      <c r="C233" s="613"/>
      <c r="D233" s="640" t="s">
        <v>644</v>
      </c>
      <c r="E233" s="613">
        <f>VLOOKUP(N230,Data!A3:D33,2,FALSE)</f>
        <v>23.5</v>
      </c>
      <c r="F233" s="741" t="s">
        <v>631</v>
      </c>
      <c r="G233" s="613"/>
      <c r="H233" s="640" t="s">
        <v>1602</v>
      </c>
      <c r="I233" s="613">
        <f>0.001*E229*E230/8</f>
        <v>712.5</v>
      </c>
      <c r="J233" s="741" t="s">
        <v>629</v>
      </c>
      <c r="K233" s="448"/>
      <c r="M233" s="743" t="s">
        <v>1579</v>
      </c>
      <c r="N233" s="675">
        <v>25</v>
      </c>
    </row>
    <row r="234" spans="2:14" ht="15" hidden="1" customHeight="1" x14ac:dyDescent="0.25">
      <c r="B234" s="447"/>
      <c r="C234" s="613"/>
      <c r="D234" s="288" t="s">
        <v>1575</v>
      </c>
      <c r="E234" s="639">
        <f>(10^-3)*E231*E232^2/4</f>
        <v>42.96875</v>
      </c>
      <c r="F234" s="521" t="s">
        <v>1576</v>
      </c>
      <c r="G234" s="613"/>
      <c r="H234" s="640" t="s">
        <v>1574</v>
      </c>
      <c r="I234" s="744">
        <f>E234*E233</f>
        <v>1009.765625</v>
      </c>
      <c r="J234" s="741" t="s">
        <v>629</v>
      </c>
      <c r="K234" s="448"/>
    </row>
    <row r="235" spans="2:14" ht="15" hidden="1" customHeight="1" x14ac:dyDescent="0.25">
      <c r="B235" s="447"/>
      <c r="C235" s="613"/>
      <c r="K235" s="448"/>
    </row>
    <row r="236" spans="2:14" ht="15" customHeight="1" x14ac:dyDescent="0.25">
      <c r="B236" s="447"/>
      <c r="C236" s="1019" t="s">
        <v>810</v>
      </c>
      <c r="D236" s="1019"/>
      <c r="E236" s="1019"/>
      <c r="F236" s="1019"/>
      <c r="G236" s="1019"/>
      <c r="H236" s="1019"/>
      <c r="I236" s="1019"/>
      <c r="J236" s="1019"/>
      <c r="K236" s="448"/>
    </row>
    <row r="237" spans="2:14" ht="15" customHeight="1" x14ac:dyDescent="0.25">
      <c r="B237" s="447"/>
      <c r="C237" s="745" t="str">
        <f>IF(Configuration!Y4="EN","Check of localized pressure on concrete","Vérification à la pression localisée sur le béton")</f>
        <v>Vérification à la pression localisée sur le béton</v>
      </c>
      <c r="D237" s="613"/>
      <c r="E237" s="613"/>
      <c r="F237" s="613"/>
      <c r="G237" s="613"/>
      <c r="H237" s="613"/>
      <c r="I237" s="645" t="s">
        <v>1586</v>
      </c>
      <c r="J237" s="433">
        <f>D238/G245</f>
        <v>0.20140626007640325</v>
      </c>
      <c r="K237" s="448"/>
    </row>
    <row r="238" spans="2:14" ht="18" x14ac:dyDescent="0.25">
      <c r="B238" s="447"/>
      <c r="C238" s="640" t="s">
        <v>1594</v>
      </c>
      <c r="D238" s="750">
        <v>14250</v>
      </c>
      <c r="E238" s="741" t="s">
        <v>632</v>
      </c>
      <c r="F238" s="288" t="s">
        <v>1588</v>
      </c>
      <c r="G238" s="641">
        <v>0</v>
      </c>
      <c r="H238" s="741" t="s">
        <v>240</v>
      </c>
      <c r="J238" s="433"/>
      <c r="K238" s="448"/>
    </row>
    <row r="239" spans="2:14" ht="18" x14ac:dyDescent="0.25">
      <c r="B239" s="447"/>
      <c r="C239" s="288" t="s">
        <v>672</v>
      </c>
      <c r="D239" s="641">
        <v>400</v>
      </c>
      <c r="E239" s="741" t="s">
        <v>240</v>
      </c>
      <c r="F239" s="288" t="s">
        <v>1587</v>
      </c>
      <c r="G239" s="641">
        <v>0</v>
      </c>
      <c r="H239" s="741" t="s">
        <v>240</v>
      </c>
      <c r="I239" s="613"/>
      <c r="J239" s="613"/>
      <c r="K239" s="448"/>
    </row>
    <row r="240" spans="2:14" ht="15" customHeight="1" x14ac:dyDescent="0.25">
      <c r="B240" s="447"/>
      <c r="C240" s="288" t="s">
        <v>1590</v>
      </c>
      <c r="D240" s="641">
        <v>30</v>
      </c>
      <c r="E240" s="741" t="s">
        <v>240</v>
      </c>
      <c r="F240" s="288" t="s">
        <v>802</v>
      </c>
      <c r="G240" s="641">
        <v>25</v>
      </c>
      <c r="H240" s="741" t="s">
        <v>240</v>
      </c>
      <c r="I240" s="613"/>
      <c r="J240" s="613"/>
      <c r="K240" s="448"/>
    </row>
    <row r="241" spans="2:11" ht="15" customHeight="1" x14ac:dyDescent="0.25">
      <c r="B241" s="447"/>
      <c r="C241" s="288" t="str">
        <f>IF(Configuration!Y4="EN","Concrete","Béton")</f>
        <v>Béton</v>
      </c>
      <c r="D241" s="678" t="s">
        <v>473</v>
      </c>
      <c r="E241" s="288" t="s">
        <v>1589</v>
      </c>
      <c r="F241" s="747">
        <f>VLOOKUP(D241,Data!$A$40:$H$128,2,FALSE)/1.5</f>
        <v>2.3333333333333335</v>
      </c>
      <c r="G241" s="640" t="s">
        <v>631</v>
      </c>
      <c r="H241" s="613"/>
      <c r="I241" s="613"/>
      <c r="J241" s="613"/>
      <c r="K241" s="448"/>
    </row>
    <row r="242" spans="2:11" ht="15" customHeight="1" x14ac:dyDescent="0.25">
      <c r="B242" s="447"/>
      <c r="C242" s="288" t="str">
        <f>IF(Configuration!Y4="EN","Grade","Nuance")</f>
        <v>Nuance</v>
      </c>
      <c r="D242" s="746" t="s">
        <v>435</v>
      </c>
      <c r="E242" s="288" t="s">
        <v>644</v>
      </c>
      <c r="F242" s="377">
        <f>VLOOKUP(D242,Data!$A$3:$D$33,2,FALSE)</f>
        <v>23.5</v>
      </c>
      <c r="G242" s="640" t="s">
        <v>631</v>
      </c>
      <c r="H242" s="613"/>
      <c r="I242" s="613"/>
      <c r="J242" s="613"/>
      <c r="K242" s="448"/>
    </row>
    <row r="243" spans="2:11" ht="15" customHeight="1" x14ac:dyDescent="0.25">
      <c r="B243" s="447"/>
      <c r="C243" s="613"/>
      <c r="D243" s="613"/>
      <c r="F243" s="288" t="s">
        <v>1592</v>
      </c>
      <c r="G243" s="748">
        <f>G240*SQRT(F242/(3*F241*G_M0))</f>
        <v>45.806269065645218</v>
      </c>
      <c r="H243" s="741" t="s">
        <v>240</v>
      </c>
      <c r="I243" s="613"/>
      <c r="J243" s="613"/>
      <c r="K243" s="448"/>
    </row>
    <row r="244" spans="2:11" ht="15" customHeight="1" x14ac:dyDescent="0.25">
      <c r="B244" s="447"/>
      <c r="C244" s="613"/>
      <c r="D244" s="613"/>
      <c r="F244" s="288" t="s">
        <v>1591</v>
      </c>
      <c r="G244" s="568">
        <f xml:space="preserve"> (D239+2*MIN(G238,G243))*(G243+D240+MIN(G239,G243))</f>
        <v>30322.507626258084</v>
      </c>
      <c r="H244" s="741" t="s">
        <v>531</v>
      </c>
      <c r="I244" s="613"/>
      <c r="J244" s="613"/>
      <c r="K244" s="448"/>
    </row>
    <row r="245" spans="2:11" ht="15" customHeight="1" x14ac:dyDescent="0.25">
      <c r="B245" s="447"/>
      <c r="C245" s="613"/>
      <c r="D245" s="613"/>
      <c r="E245" s="613"/>
      <c r="F245" s="288" t="s">
        <v>1593</v>
      </c>
      <c r="G245" s="749">
        <f>G244*F241</f>
        <v>70752.517794602201</v>
      </c>
      <c r="H245" s="741" t="s">
        <v>632</v>
      </c>
      <c r="I245" s="613"/>
      <c r="J245" s="613"/>
      <c r="K245" s="448"/>
    </row>
    <row r="246" spans="2:11" ht="15" customHeight="1" x14ac:dyDescent="0.25">
      <c r="B246" s="447"/>
      <c r="C246" s="1019" t="s">
        <v>810</v>
      </c>
      <c r="D246" s="1019"/>
      <c r="E246" s="1019"/>
      <c r="F246" s="1019"/>
      <c r="G246" s="1019"/>
      <c r="H246" s="1019"/>
      <c r="I246" s="1019"/>
      <c r="J246" s="1019"/>
      <c r="K246" s="448"/>
    </row>
    <row r="247" spans="2:11" ht="15" customHeight="1" x14ac:dyDescent="0.25">
      <c r="B247" s="447"/>
      <c r="C247" s="745" t="str">
        <f>IF(Configuration!Y4="EN","Check of localized pressure on concrete","Vérification à la pression localisée sur le béton")</f>
        <v>Vérification à la pression localisée sur le béton</v>
      </c>
      <c r="D247" s="613"/>
      <c r="E247" s="613"/>
      <c r="F247" s="613"/>
      <c r="G247" s="613"/>
      <c r="H247" s="613"/>
      <c r="I247" s="645" t="s">
        <v>1586</v>
      </c>
      <c r="J247" s="433">
        <f>D248/G255</f>
        <v>0.47862994389041513</v>
      </c>
      <c r="K247" s="448"/>
    </row>
    <row r="248" spans="2:11" ht="15" customHeight="1" x14ac:dyDescent="0.25">
      <c r="B248" s="447"/>
      <c r="C248" s="640" t="s">
        <v>1594</v>
      </c>
      <c r="D248" s="750">
        <v>38250</v>
      </c>
      <c r="E248" s="741" t="s">
        <v>632</v>
      </c>
      <c r="F248" s="288" t="s">
        <v>1588</v>
      </c>
      <c r="G248" s="641">
        <v>0</v>
      </c>
      <c r="H248" s="741" t="s">
        <v>240</v>
      </c>
      <c r="J248" s="433"/>
      <c r="K248" s="448"/>
    </row>
    <row r="249" spans="2:11" ht="15" customHeight="1" x14ac:dyDescent="0.25">
      <c r="B249" s="447"/>
      <c r="C249" s="288" t="s">
        <v>672</v>
      </c>
      <c r="D249" s="641">
        <v>300</v>
      </c>
      <c r="E249" s="741" t="s">
        <v>240</v>
      </c>
      <c r="F249" s="288" t="s">
        <v>1587</v>
      </c>
      <c r="G249" s="641">
        <v>0</v>
      </c>
      <c r="H249" s="741" t="s">
        <v>240</v>
      </c>
      <c r="I249" s="613"/>
      <c r="J249" s="613"/>
      <c r="K249" s="448"/>
    </row>
    <row r="250" spans="2:11" ht="15" customHeight="1" x14ac:dyDescent="0.25">
      <c r="B250" s="447"/>
      <c r="C250" s="288" t="s">
        <v>1590</v>
      </c>
      <c r="D250" s="641">
        <v>15</v>
      </c>
      <c r="E250" s="741" t="s">
        <v>240</v>
      </c>
      <c r="F250" s="288" t="s">
        <v>802</v>
      </c>
      <c r="G250" s="641">
        <v>15</v>
      </c>
      <c r="H250" s="741" t="s">
        <v>240</v>
      </c>
      <c r="I250" s="613"/>
      <c r="J250" s="613"/>
      <c r="K250" s="448"/>
    </row>
    <row r="251" spans="2:11" ht="15" customHeight="1" x14ac:dyDescent="0.25">
      <c r="B251" s="447"/>
      <c r="C251" s="288" t="str">
        <f>IF(Configuration!Y4="EN","Concrete","Béton")</f>
        <v>Béton</v>
      </c>
      <c r="D251" s="678" t="s">
        <v>471</v>
      </c>
      <c r="E251" s="288" t="s">
        <v>1589</v>
      </c>
      <c r="F251" s="747">
        <f>VLOOKUP(D251,Data!$A$40:$H$128,2,FALSE)/1.5</f>
        <v>1.6666666666666667</v>
      </c>
      <c r="G251" s="640" t="s">
        <v>631</v>
      </c>
      <c r="H251" s="613"/>
      <c r="I251" s="613"/>
      <c r="J251" s="613"/>
      <c r="K251" s="448"/>
    </row>
    <row r="252" spans="2:11" ht="15" customHeight="1" x14ac:dyDescent="0.25">
      <c r="B252" s="447"/>
      <c r="C252" s="288" t="str">
        <f>IF(Configuration!Y4="EN","Grade","Nuance")</f>
        <v>Nuance</v>
      </c>
      <c r="D252" s="746" t="s">
        <v>439</v>
      </c>
      <c r="E252" s="288" t="s">
        <v>644</v>
      </c>
      <c r="F252" s="377">
        <f>VLOOKUP(D252,Data!$A$3:$D$33,2,FALSE)</f>
        <v>35.5</v>
      </c>
      <c r="G252" s="640" t="s">
        <v>631</v>
      </c>
      <c r="H252" s="613"/>
      <c r="I252" s="613"/>
      <c r="J252" s="613"/>
      <c r="K252" s="448"/>
    </row>
    <row r="253" spans="2:11" ht="15" customHeight="1" x14ac:dyDescent="0.25">
      <c r="B253" s="447"/>
      <c r="C253" s="613"/>
      <c r="D253" s="613"/>
      <c r="F253" s="288" t="s">
        <v>1592</v>
      </c>
      <c r="G253" s="748">
        <f>G250*SQRT(F252/(3*F251*G_M0))</f>
        <v>39.968737783422682</v>
      </c>
      <c r="H253" s="741" t="s">
        <v>240</v>
      </c>
      <c r="I253" s="613"/>
      <c r="J253" s="613"/>
      <c r="K253" s="448"/>
    </row>
    <row r="254" spans="2:11" ht="15" customHeight="1" x14ac:dyDescent="0.25">
      <c r="B254" s="447"/>
      <c r="C254" s="613"/>
      <c r="D254" s="613"/>
      <c r="F254" s="438" t="s">
        <v>1943</v>
      </c>
      <c r="G254" s="568">
        <f xml:space="preserve"> ((D249+2*MIN(G249,G253))+(D249+2*MIN(G248,G253)))*(D250+2*G253)-(D250+2*G253)^2</f>
        <v>47949.361073101856</v>
      </c>
      <c r="H254" s="741" t="s">
        <v>531</v>
      </c>
      <c r="I254" s="613"/>
      <c r="J254" s="613"/>
      <c r="K254" s="448"/>
    </row>
    <row r="255" spans="2:11" ht="15" customHeight="1" x14ac:dyDescent="0.25">
      <c r="B255" s="447"/>
      <c r="C255" s="613"/>
      <c r="D255" s="613"/>
      <c r="E255" s="613"/>
      <c r="F255" s="288" t="s">
        <v>1593</v>
      </c>
      <c r="G255" s="749">
        <f>G254*F251</f>
        <v>79915.601788503103</v>
      </c>
      <c r="H255" s="741" t="s">
        <v>632</v>
      </c>
      <c r="I255" s="613"/>
      <c r="J255" s="613"/>
      <c r="K255" s="448"/>
    </row>
    <row r="256" spans="2:11" ht="15" customHeight="1" x14ac:dyDescent="0.25">
      <c r="B256" s="447"/>
      <c r="C256" s="1019" t="s">
        <v>810</v>
      </c>
      <c r="D256" s="1019"/>
      <c r="E256" s="1019"/>
      <c r="F256" s="1019"/>
      <c r="G256" s="1019"/>
      <c r="H256" s="1019"/>
      <c r="I256" s="1019"/>
      <c r="J256" s="1019"/>
      <c r="K256" s="448"/>
    </row>
    <row r="257" spans="2:11" ht="15" customHeight="1" x14ac:dyDescent="0.25">
      <c r="B257" s="447"/>
      <c r="C257" s="745" t="str">
        <f>IF(Configuration!Y4="EN","Check of localized pressure on concrete","Vérification à la pression localisée sur le béton")</f>
        <v>Vérification à la pression localisée sur le béton</v>
      </c>
      <c r="D257" s="613"/>
      <c r="E257" s="613"/>
      <c r="F257" s="613"/>
      <c r="G257" s="613"/>
      <c r="H257" s="613"/>
      <c r="I257" s="645" t="s">
        <v>1586</v>
      </c>
      <c r="J257" s="433">
        <f>D258/H267</f>
        <v>0.42392828114569253</v>
      </c>
      <c r="K257" s="448"/>
    </row>
    <row r="258" spans="2:11" ht="15" customHeight="1" x14ac:dyDescent="0.25">
      <c r="B258" s="447"/>
      <c r="C258" s="640" t="s">
        <v>1594</v>
      </c>
      <c r="D258" s="750">
        <v>38250</v>
      </c>
      <c r="E258" s="741" t="s">
        <v>632</v>
      </c>
      <c r="J258" s="433"/>
      <c r="K258" s="448"/>
    </row>
    <row r="259" spans="2:11" ht="15" customHeight="1" x14ac:dyDescent="0.25">
      <c r="B259" s="447"/>
      <c r="C259" s="288" t="s">
        <v>672</v>
      </c>
      <c r="D259" s="641">
        <v>300</v>
      </c>
      <c r="E259" s="741" t="s">
        <v>240</v>
      </c>
      <c r="F259" s="288" t="s">
        <v>1588</v>
      </c>
      <c r="G259" s="641">
        <v>0</v>
      </c>
      <c r="H259" s="741" t="s">
        <v>240</v>
      </c>
      <c r="I259" s="613"/>
      <c r="J259" s="613"/>
      <c r="K259" s="448"/>
    </row>
    <row r="260" spans="2:11" ht="15" customHeight="1" x14ac:dyDescent="0.25">
      <c r="B260" s="447"/>
      <c r="C260" s="288" t="s">
        <v>1590</v>
      </c>
      <c r="D260" s="641">
        <v>12</v>
      </c>
      <c r="E260" s="741" t="s">
        <v>240</v>
      </c>
      <c r="F260" s="288" t="s">
        <v>1587</v>
      </c>
      <c r="G260" s="641">
        <v>0</v>
      </c>
      <c r="H260" s="741" t="s">
        <v>240</v>
      </c>
      <c r="I260" s="613"/>
      <c r="J260" s="613"/>
      <c r="K260" s="448"/>
    </row>
    <row r="261" spans="2:11" ht="15" customHeight="1" x14ac:dyDescent="0.25">
      <c r="B261" s="447"/>
      <c r="C261" s="288" t="s">
        <v>1945</v>
      </c>
      <c r="D261" s="641">
        <v>400</v>
      </c>
      <c r="E261" s="741" t="s">
        <v>240</v>
      </c>
      <c r="F261" s="288" t="s">
        <v>802</v>
      </c>
      <c r="G261" s="641">
        <v>15</v>
      </c>
      <c r="H261" s="741" t="s">
        <v>240</v>
      </c>
      <c r="I261" s="613"/>
      <c r="J261" s="613"/>
      <c r="K261" s="448"/>
    </row>
    <row r="262" spans="2:11" ht="15" customHeight="1" x14ac:dyDescent="0.25">
      <c r="B262" s="447"/>
      <c r="C262" s="288" t="s">
        <v>1565</v>
      </c>
      <c r="D262" s="641">
        <v>8</v>
      </c>
      <c r="E262" s="741" t="s">
        <v>240</v>
      </c>
      <c r="H262" s="613"/>
      <c r="I262" s="613"/>
      <c r="J262" s="613"/>
      <c r="K262" s="448"/>
    </row>
    <row r="263" spans="2:11" ht="15" customHeight="1" x14ac:dyDescent="0.25">
      <c r="B263" s="447"/>
      <c r="C263" s="288" t="str">
        <f>IF(Configuration!Y4="EN","Concrete","Béton")</f>
        <v>Béton</v>
      </c>
      <c r="D263" s="678" t="s">
        <v>471</v>
      </c>
      <c r="E263" s="288" t="s">
        <v>1589</v>
      </c>
      <c r="F263" s="747">
        <f>VLOOKUP(D263,Data!$A$40:$H$128,2,FALSE)/1.5</f>
        <v>1.6666666666666667</v>
      </c>
      <c r="G263" s="640" t="s">
        <v>631</v>
      </c>
      <c r="H263" s="613"/>
      <c r="I263" s="613"/>
      <c r="J263" s="613"/>
      <c r="K263" s="448"/>
    </row>
    <row r="264" spans="2:11" ht="15" customHeight="1" x14ac:dyDescent="0.25">
      <c r="B264" s="447"/>
      <c r="C264" s="288" t="str">
        <f>IF(Configuration!Y4="EN","Grade","Nuance")</f>
        <v>Nuance</v>
      </c>
      <c r="D264" s="746" t="s">
        <v>437</v>
      </c>
      <c r="E264" s="288" t="s">
        <v>644</v>
      </c>
      <c r="F264" s="377">
        <f>VLOOKUP(D264,Data!$A$3:$D$33,2,FALSE)</f>
        <v>27.5</v>
      </c>
      <c r="G264" s="640" t="s">
        <v>631</v>
      </c>
      <c r="I264" s="613"/>
      <c r="J264" s="613"/>
      <c r="K264" s="448"/>
    </row>
    <row r="265" spans="2:11" ht="15" customHeight="1" x14ac:dyDescent="0.25">
      <c r="B265" s="447"/>
      <c r="C265" s="613"/>
      <c r="D265" s="613"/>
      <c r="G265" s="288" t="s">
        <v>1592</v>
      </c>
      <c r="H265" s="748">
        <f>G261*SQRT(F264/(G_M0*3*F263))</f>
        <v>35.178118198675726</v>
      </c>
      <c r="I265" s="741" t="s">
        <v>240</v>
      </c>
      <c r="J265" s="613"/>
      <c r="K265" s="448"/>
    </row>
    <row r="266" spans="2:11" ht="15" customHeight="1" x14ac:dyDescent="0.25">
      <c r="B266" s="447"/>
      <c r="C266" s="613"/>
      <c r="D266" s="613"/>
      <c r="G266" s="438" t="s">
        <v>1946</v>
      </c>
      <c r="H266" s="568">
        <f>(2*(D259+2*MIN(G259,H265))*(D260+H265+MIN(G260,H265)))+((D261-2*H265)*(D262+2*H265))</f>
        <v>54136.515586967202</v>
      </c>
      <c r="I266" s="741" t="s">
        <v>531</v>
      </c>
      <c r="J266" s="613"/>
      <c r="K266" s="448"/>
    </row>
    <row r="267" spans="2:11" ht="15" customHeight="1" x14ac:dyDescent="0.25">
      <c r="B267" s="447"/>
      <c r="E267" s="613"/>
      <c r="G267" s="288" t="s">
        <v>1593</v>
      </c>
      <c r="H267" s="749">
        <f>H266*F263</f>
        <v>90227.525978278674</v>
      </c>
      <c r="I267" s="741" t="s">
        <v>632</v>
      </c>
      <c r="K267" s="448"/>
    </row>
    <row r="268" spans="2:11" ht="15" customHeight="1" x14ac:dyDescent="0.25">
      <c r="B268" s="447"/>
      <c r="C268" s="1019" t="s">
        <v>810</v>
      </c>
      <c r="D268" s="1019"/>
      <c r="E268" s="1019"/>
      <c r="F268" s="1019"/>
      <c r="G268" s="1019"/>
      <c r="H268" s="1019"/>
      <c r="I268" s="1019"/>
      <c r="J268" s="1019"/>
      <c r="K268" s="448"/>
    </row>
    <row r="269" spans="2:11" ht="15" customHeight="1" x14ac:dyDescent="0.25">
      <c r="B269" s="449"/>
      <c r="C269" s="378"/>
      <c r="D269" s="378"/>
      <c r="E269" s="378"/>
      <c r="F269" s="378"/>
      <c r="G269" s="378"/>
      <c r="H269" s="378"/>
      <c r="I269" s="378"/>
      <c r="J269" s="378"/>
      <c r="K269" s="450"/>
    </row>
  </sheetData>
  <sheetProtection algorithmName="SHA-512" hashValue="wGyCj4wBYiM8XrVVz15eCxRh9bN7zT1Z39GBj1BrroLf5ogkyUWgovW86UX9LBVtgDCY9f/byDs2SPLLfnTTzg==" saltValue="ho5voEyyBgYrQjtjcnR+lQ==" spinCount="100000" sheet="1" objects="1" scenarios="1"/>
  <mergeCells count="18">
    <mergeCell ref="C246:J246"/>
    <mergeCell ref="C256:J256"/>
    <mergeCell ref="C268:J268"/>
    <mergeCell ref="C210:J210"/>
    <mergeCell ref="P116:Q116"/>
    <mergeCell ref="C236:J236"/>
    <mergeCell ref="C227:J227"/>
    <mergeCell ref="C176:J176"/>
    <mergeCell ref="C199:J199"/>
    <mergeCell ref="F206:G206"/>
    <mergeCell ref="C219:J219"/>
    <mergeCell ref="C34:J34"/>
    <mergeCell ref="C90:J90"/>
    <mergeCell ref="C115:J115"/>
    <mergeCell ref="C151:J151"/>
    <mergeCell ref="F104:G104"/>
    <mergeCell ref="C62:J62"/>
    <mergeCell ref="C86:J86"/>
  </mergeCells>
  <conditionalFormatting sqref="C212:D214">
    <cfRule type="expression" dxfId="42" priority="10">
      <formula>$A$75="Gousset"</formula>
    </cfRule>
  </conditionalFormatting>
  <conditionalFormatting sqref="C239:D239 F239:G239 F244:G244 G266:H266">
    <cfRule type="expression" dxfId="41" priority="15">
      <formula>$A$75="Gousset"</formula>
    </cfRule>
  </conditionalFormatting>
  <conditionalFormatting sqref="C249:D249 F249:G249 F254:G254">
    <cfRule type="expression" dxfId="40" priority="4">
      <formula>$A$75="Gousset"</formula>
    </cfRule>
  </conditionalFormatting>
  <conditionalFormatting sqref="C259:D259 F260:G260">
    <cfRule type="expression" dxfId="39" priority="2">
      <formula>$A$75="Gousset"</formula>
    </cfRule>
  </conditionalFormatting>
  <conditionalFormatting sqref="D261">
    <cfRule type="expression" dxfId="38" priority="1">
      <formula>$A$75="Gousset"</formula>
    </cfRule>
  </conditionalFormatting>
  <conditionalFormatting sqref="F212:G212">
    <cfRule type="expression" dxfId="37" priority="9">
      <formula>$A$75="Gousset"</formula>
    </cfRule>
  </conditionalFormatting>
  <conditionalFormatting sqref="G213">
    <cfRule type="expression" dxfId="36" priority="7">
      <formula>$A$75="Gousset"</formula>
    </cfRule>
  </conditionalFormatting>
  <conditionalFormatting sqref="J3">
    <cfRule type="expression" dxfId="35" priority="31">
      <formula>$J$3&gt;1</formula>
    </cfRule>
  </conditionalFormatting>
  <conditionalFormatting sqref="J35 J237:J238">
    <cfRule type="cellIs" dxfId="34" priority="26" operator="greaterThan">
      <formula>1</formula>
    </cfRule>
  </conditionalFormatting>
  <conditionalFormatting sqref="J63">
    <cfRule type="cellIs" dxfId="33" priority="22" operator="greaterThan">
      <formula>1</formula>
    </cfRule>
  </conditionalFormatting>
  <conditionalFormatting sqref="J91">
    <cfRule type="cellIs" dxfId="32" priority="25" operator="greaterThan">
      <formula>1</formula>
    </cfRule>
  </conditionalFormatting>
  <conditionalFormatting sqref="J116">
    <cfRule type="cellIs" dxfId="31" priority="24" operator="greaterThan">
      <formula>1</formula>
    </cfRule>
  </conditionalFormatting>
  <conditionalFormatting sqref="J152">
    <cfRule type="cellIs" dxfId="30" priority="23" operator="greaterThan">
      <formula>1</formula>
    </cfRule>
  </conditionalFormatting>
  <conditionalFormatting sqref="J178">
    <cfRule type="cellIs" dxfId="29" priority="21" operator="greaterThan">
      <formula>1</formula>
    </cfRule>
  </conditionalFormatting>
  <conditionalFormatting sqref="J201">
    <cfRule type="cellIs" dxfId="28" priority="20" operator="greaterThan">
      <formula>1</formula>
    </cfRule>
  </conditionalFormatting>
  <conditionalFormatting sqref="J216:J218">
    <cfRule type="containsText" dxfId="27" priority="6" operator="containsText" text="FAUX">
      <formula>NOT(ISERROR(SEARCH("FAUX",J216)))</formula>
    </cfRule>
  </conditionalFormatting>
  <conditionalFormatting sqref="J220">
    <cfRule type="cellIs" dxfId="26" priority="18" operator="greaterThan">
      <formula>1</formula>
    </cfRule>
  </conditionalFormatting>
  <conditionalFormatting sqref="J228">
    <cfRule type="cellIs" dxfId="25" priority="17" operator="greaterThan">
      <formula>1</formula>
    </cfRule>
  </conditionalFormatting>
  <conditionalFormatting sqref="J247:J248">
    <cfRule type="cellIs" dxfId="24" priority="5" operator="greaterThan">
      <formula>1</formula>
    </cfRule>
  </conditionalFormatting>
  <conditionalFormatting sqref="J257:J258">
    <cfRule type="cellIs" dxfId="23" priority="3" operator="greaterThan">
      <formula>1</formula>
    </cfRule>
  </conditionalFormatting>
  <dataValidations disablePrompts="1" count="3">
    <dataValidation type="list" allowBlank="1" showInputMessage="1" showErrorMessage="1" sqref="P179" xr:uid="{FD864454-B31F-4D35-8B16-F3AD3F3E4010}">
      <formula1>"bonnes,non bonnes"</formula1>
    </dataValidation>
    <dataValidation type="list" allowBlank="1" showInputMessage="1" showErrorMessage="1" sqref="Q5 N42" xr:uid="{2DF2EDF4-E999-4107-BF03-C321BAE8D508}">
      <formula1>"OUI,NON"</formula1>
    </dataValidation>
    <dataValidation type="list" allowBlank="1" showInputMessage="1" showErrorMessage="1" sqref="N94" xr:uid="{64B36E76-4421-480B-9EC7-F90352CF9C9D}">
      <formula1>"1.0,0.75"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fitToHeight="0" orientation="portrait" horizontalDpi="4294967293" r:id="rId1"/>
  <rowBreaks count="5" manualBreakCount="5">
    <brk id="33" min="1" max="10" man="1"/>
    <brk id="89" min="1" max="10" man="1"/>
    <brk id="114" min="1" max="10" man="1"/>
    <brk id="150" min="1" max="10" man="1"/>
    <brk id="175" min="1" max="1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8">
        <x14:dataValidation type="list" allowBlank="1" showInputMessage="1" showErrorMessage="1" xr:uid="{53CCAC5E-9311-4292-BE6B-98C0752C177C}">
          <x14:formula1>
            <xm:f>Profilés!$A$4:$A$182</xm:f>
          </x14:formula1>
          <xm:sqref>P116:Q116</xm:sqref>
        </x14:dataValidation>
        <x14:dataValidation type="list" allowBlank="1" showInputMessage="1" showErrorMessage="1" xr:uid="{871C3136-8AD7-4380-AF13-881883FE9F75}">
          <x14:formula1>
            <xm:f>Data!$K$3:$K$20</xm:f>
          </x14:formula1>
          <xm:sqref>P4 P36 P64 F88</xm:sqref>
        </x14:dataValidation>
        <x14:dataValidation type="list" allowBlank="1" showInputMessage="1" showErrorMessage="1" xr:uid="{D1FAE7F6-EF3D-4B70-BBA5-E4F1BA481B7C}">
          <x14:formula1>
            <xm:f>Data!$A$3:$A$34</xm:f>
          </x14:formula1>
          <xm:sqref>P118 P156 N206 N222 N230 D242 D252 D264</xm:sqref>
        </x14:dataValidation>
        <x14:dataValidation type="list" allowBlank="1" showInputMessage="1" showErrorMessage="1" xr:uid="{2E6E9968-F7F7-40A5-B853-41CE44286E3F}">
          <x14:formula1>
            <xm:f>Data!$N$40:$N$45</xm:f>
          </x14:formula1>
          <xm:sqref>P93</xm:sqref>
        </x14:dataValidation>
        <x14:dataValidation type="list" allowBlank="1" showInputMessage="1" showErrorMessage="1" xr:uid="{EBB0F20F-BEC5-446C-BE63-966C3214F970}">
          <x14:formula1>
            <xm:f>Data!$J$40:$J$45</xm:f>
          </x14:formula1>
          <xm:sqref>P92</xm:sqref>
        </x14:dataValidation>
        <x14:dataValidation type="list" allowBlank="1" showInputMessage="1" showErrorMessage="1" xr:uid="{7C2156D7-006A-440F-AE1A-D6E516090DE4}">
          <x14:formula1>
            <xm:f>Data!$A$40:$A$128</xm:f>
          </x14:formula1>
          <xm:sqref>P6 P38 P94 N118 N155 P66 P178 D241 D251 D263</xm:sqref>
        </x14:dataValidation>
        <x14:dataValidation type="list" allowBlank="1" showInputMessage="1" showErrorMessage="1" xr:uid="{0F7172D8-410D-4272-B8AB-02272C57F69D}">
          <x14:formula1>
            <xm:f>Data!$F$3:$F$12</xm:f>
          </x14:formula1>
          <xm:sqref>P5 P65</xm:sqref>
        </x14:dataValidation>
        <x14:dataValidation type="list" allowBlank="1" showInputMessage="1" showErrorMessage="1" xr:uid="{692E2BAB-39CD-4396-8D37-A75224FE8078}">
          <x14:formula1>
            <xm:f>Data!$F$3:$F$16</xm:f>
          </x14:formula1>
          <xm:sqref>P37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2A54B-27D3-4F85-97F3-39E7AB2DBB1A}">
  <sheetPr codeName="Feuil16">
    <tabColor rgb="FF0070C0"/>
  </sheetPr>
  <dimension ref="A1:X305"/>
  <sheetViews>
    <sheetView zoomScaleNormal="100" zoomScaleSheetLayoutView="100" workbookViewId="0">
      <selection activeCell="D7" sqref="D7"/>
    </sheetView>
  </sheetViews>
  <sheetFormatPr baseColWidth="10" defaultColWidth="10.7109375" defaultRowHeight="15" customHeight="1" x14ac:dyDescent="0.25"/>
  <cols>
    <col min="1" max="1" width="6.28515625" style="377" customWidth="1"/>
    <col min="2" max="2" width="2.140625" style="377" customWidth="1"/>
    <col min="3" max="10" width="10.7109375" style="377" customWidth="1"/>
    <col min="11" max="11" width="2.140625" style="377" customWidth="1"/>
    <col min="12" max="12" width="6.28515625" style="377" customWidth="1"/>
    <col min="13" max="17" width="12.85546875" style="377" customWidth="1"/>
    <col min="18" max="18" width="10.7109375" style="377"/>
    <col min="19" max="19" width="12.140625" style="377" bestFit="1" customWidth="1"/>
    <col min="20" max="16384" width="10.7109375" style="377"/>
  </cols>
  <sheetData>
    <row r="1" spans="2:22" ht="15" customHeight="1" x14ac:dyDescent="0.25">
      <c r="Q1" s="359"/>
      <c r="R1" s="359"/>
      <c r="S1" s="359"/>
    </row>
    <row r="2" spans="2:22" ht="15" customHeight="1" x14ac:dyDescent="0.25">
      <c r="B2" s="444"/>
      <c r="C2" s="445"/>
      <c r="D2" s="445"/>
      <c r="E2" s="445"/>
      <c r="F2" s="445"/>
      <c r="G2" s="445"/>
      <c r="H2" s="445"/>
      <c r="I2" s="510"/>
      <c r="J2" s="445"/>
      <c r="K2" s="446"/>
    </row>
    <row r="3" spans="2:22" ht="15" customHeight="1" x14ac:dyDescent="0.25">
      <c r="B3" s="447"/>
      <c r="C3" s="663" t="str">
        <f>IF(Configuration!Y4="EN","Anchor Resistance according to NF EN 1992-4; NF EN 1993-1-8 ","Résistance des Ancrages selon NF EN 1992-4 ; NF EN 1993-1-8 ")</f>
        <v xml:space="preserve">Résistance des Ancrages selon NF EN 1992-4 ; NF EN 1993-1-8 </v>
      </c>
      <c r="D3" s="650"/>
      <c r="E3" s="650"/>
      <c r="F3" s="650"/>
      <c r="G3" s="650"/>
      <c r="H3" s="650"/>
      <c r="I3" s="650"/>
      <c r="J3" s="664">
        <f>MAX(J83,J89,J121,J128,J175,J201,J230,J239,J252,J259,J296,J301)</f>
        <v>0.99600454359272594</v>
      </c>
      <c r="K3" s="448"/>
    </row>
    <row r="4" spans="2:22" ht="15" customHeight="1" x14ac:dyDescent="0.25">
      <c r="B4" s="447"/>
      <c r="C4" s="553"/>
      <c r="K4" s="448"/>
    </row>
    <row r="5" spans="2:22" ht="15" customHeight="1" x14ac:dyDescent="0.25">
      <c r="B5" s="447"/>
      <c r="C5" s="660" t="str">
        <f>IF(Configuration!Y4="EN","Geometry","Géométrie")</f>
        <v>Géométrie</v>
      </c>
      <c r="K5" s="448"/>
    </row>
    <row r="6" spans="2:22" ht="15" customHeight="1" x14ac:dyDescent="0.25">
      <c r="B6" s="447"/>
      <c r="C6" s="661" t="str">
        <f>IF(Configuration!Y4="EN","Concrete","Béton")</f>
        <v>Béton</v>
      </c>
      <c r="K6" s="448"/>
    </row>
    <row r="7" spans="2:22" ht="15" customHeight="1" x14ac:dyDescent="0.25">
      <c r="B7" s="447"/>
      <c r="D7" s="678" t="s">
        <v>472</v>
      </c>
      <c r="F7" s="437" t="s">
        <v>1305</v>
      </c>
      <c r="G7" s="639">
        <f>10*VLOOKUP(D7,Data!$A$40:$H$128,2)</f>
        <v>30</v>
      </c>
      <c r="H7" s="521" t="s">
        <v>1184</v>
      </c>
      <c r="K7" s="448"/>
    </row>
    <row r="8" spans="2:22" ht="15" customHeight="1" x14ac:dyDescent="0.35">
      <c r="B8" s="447"/>
      <c r="D8" s="678" t="s">
        <v>1243</v>
      </c>
      <c r="E8" s="659" t="str">
        <f>IF(AND(E65&lt;&gt;"permante et transitoire",D8="NON fissuré"),"Lorsque la situation est accidentelle ou sismique, le béton doit être considéré comme Fissuré","")</f>
        <v/>
      </c>
      <c r="K8" s="448"/>
      <c r="O8" s="377" t="s">
        <v>1855</v>
      </c>
      <c r="P8" s="377" t="s">
        <v>1854</v>
      </c>
      <c r="Q8" s="801" t="s">
        <v>1856</v>
      </c>
      <c r="R8" s="377" t="s">
        <v>1857</v>
      </c>
      <c r="S8" s="377" t="s">
        <v>1861</v>
      </c>
      <c r="T8" s="377" t="s">
        <v>1858</v>
      </c>
      <c r="U8" s="377" t="s">
        <v>1859</v>
      </c>
      <c r="V8" s="377" t="s">
        <v>1860</v>
      </c>
    </row>
    <row r="9" spans="2:22" ht="15" customHeight="1" x14ac:dyDescent="0.25">
      <c r="B9" s="447"/>
      <c r="G9" s="288" t="str">
        <f>IF(Configuration!Y4="EN","Supplementary reinforcement in tension","Renforcements supplémentaires en traction")</f>
        <v>Renforcements supplémentaires en traction</v>
      </c>
      <c r="H9" s="678" t="s">
        <v>1256</v>
      </c>
      <c r="K9" s="448"/>
      <c r="O9" s="377" t="s">
        <v>1862</v>
      </c>
      <c r="P9" s="377" t="s">
        <v>1862</v>
      </c>
      <c r="Q9" s="377" t="s">
        <v>1864</v>
      </c>
      <c r="R9" s="377" t="s">
        <v>1862</v>
      </c>
      <c r="S9" s="377" t="s">
        <v>1863</v>
      </c>
      <c r="T9" s="377" t="s">
        <v>1862</v>
      </c>
      <c r="U9" s="377" t="s">
        <v>1862</v>
      </c>
      <c r="V9" s="377" t="s">
        <v>1862</v>
      </c>
    </row>
    <row r="10" spans="2:22" ht="15" customHeight="1" x14ac:dyDescent="0.25">
      <c r="B10" s="447"/>
      <c r="G10" s="288" t="str">
        <f>IF(Configuration!Y4="EN","Supplementary reinforcement in shear","Renforcements supplémentaires en cisaillement")</f>
        <v>Renforcements supplémentaires en cisaillement</v>
      </c>
      <c r="H10" s="678" t="s">
        <v>1256</v>
      </c>
      <c r="K10" s="448"/>
      <c r="O10" s="678" t="s">
        <v>1852</v>
      </c>
      <c r="P10" s="678" t="s">
        <v>1852</v>
      </c>
      <c r="Q10" s="678" t="s">
        <v>1852</v>
      </c>
      <c r="R10" s="678" t="s">
        <v>1852</v>
      </c>
      <c r="S10" s="678" t="s">
        <v>1852</v>
      </c>
      <c r="T10" s="678" t="s">
        <v>1852</v>
      </c>
      <c r="U10" s="678" t="s">
        <v>1852</v>
      </c>
      <c r="V10" s="678" t="s">
        <v>1852</v>
      </c>
    </row>
    <row r="11" spans="2:22" ht="15" customHeight="1" x14ac:dyDescent="0.25">
      <c r="B11" s="447"/>
      <c r="D11" s="662" t="str">
        <f>IF(OR(H9="OUI",H10="OUI"),"Les renforcements supplémentaires ne sont pas étudiés dans cette feuille !","")</f>
        <v/>
      </c>
      <c r="K11" s="448"/>
      <c r="N11" s="288" t="s">
        <v>1853</v>
      </c>
      <c r="O11" s="678">
        <v>7.7</v>
      </c>
      <c r="P11" s="678">
        <v>7.5</v>
      </c>
      <c r="Q11" s="678">
        <v>10.199999999999999</v>
      </c>
      <c r="R11" s="678">
        <v>7.7</v>
      </c>
      <c r="S11" s="678">
        <v>85</v>
      </c>
      <c r="T11" s="678">
        <v>8.6999999999999993</v>
      </c>
      <c r="U11" s="678">
        <v>1.4</v>
      </c>
      <c r="V11" s="678">
        <v>1.7</v>
      </c>
    </row>
    <row r="12" spans="2:22" ht="15" customHeight="1" x14ac:dyDescent="0.25">
      <c r="B12" s="447"/>
      <c r="C12" s="661" t="str">
        <f>IF(Configuration!Y4="EN","Anchor rods","Tiges d'ancrages")</f>
        <v>Tiges d'ancrages</v>
      </c>
      <c r="K12" s="448"/>
      <c r="N12" s="288" t="s">
        <v>1243</v>
      </c>
      <c r="O12" s="678">
        <v>11</v>
      </c>
      <c r="P12" s="678">
        <v>10.5</v>
      </c>
      <c r="Q12" s="678">
        <v>14.5</v>
      </c>
      <c r="R12" s="678">
        <v>11</v>
      </c>
      <c r="T12" s="678">
        <v>12.2</v>
      </c>
      <c r="U12" s="678">
        <v>2</v>
      </c>
      <c r="V12" s="678">
        <v>2.4</v>
      </c>
    </row>
    <row r="13" spans="2:22" ht="15" customHeight="1" x14ac:dyDescent="0.25">
      <c r="B13" s="447"/>
      <c r="C13" s="288" t="str">
        <f>IF(Configuration!Y4="EN","Type","Type")</f>
        <v>Type</v>
      </c>
      <c r="D13" s="796" t="s">
        <v>1357</v>
      </c>
      <c r="F13" s="521" t="str">
        <f>IF(Configuration!Y4="EN","Fastening by "&amp;IF(D13="Droite","bonding","mechanical interlock"),"Fixation par "&amp;IF(D13="Droite","scellement","vérouillage de forme"))</f>
        <v>Fixation par scellement</v>
      </c>
      <c r="K13" s="448"/>
    </row>
    <row r="14" spans="2:22" ht="15" customHeight="1" x14ac:dyDescent="0.25">
      <c r="B14" s="447"/>
      <c r="C14" s="643" t="s">
        <v>733</v>
      </c>
      <c r="D14" s="796">
        <v>20</v>
      </c>
      <c r="E14" s="288" t="s">
        <v>646</v>
      </c>
      <c r="F14" s="377">
        <f>VLOOKUP(D14,Data!$K$3:$P$20,5)</f>
        <v>245</v>
      </c>
      <c r="G14" s="521" t="s">
        <v>531</v>
      </c>
      <c r="H14" s="360"/>
      <c r="I14" s="649"/>
      <c r="K14" s="448"/>
    </row>
    <row r="15" spans="2:22" ht="15" customHeight="1" x14ac:dyDescent="0.25">
      <c r="B15" s="447"/>
      <c r="C15" s="288" t="str">
        <f>IF(Configuration!Y4="EN","Grade","Nuance")</f>
        <v>Nuance</v>
      </c>
      <c r="D15" s="678">
        <v>8.8000000000000007</v>
      </c>
      <c r="E15" s="288" t="s">
        <v>1352</v>
      </c>
      <c r="F15" s="377">
        <f>VLOOKUP(D15,Data!$F$3:$H$16,2)</f>
        <v>64</v>
      </c>
      <c r="G15" s="521" t="s">
        <v>631</v>
      </c>
      <c r="H15" s="288" t="s">
        <v>1284</v>
      </c>
      <c r="I15" s="377">
        <f>VLOOKUP(D15,Data!$F$3:$H$16,3)</f>
        <v>80</v>
      </c>
      <c r="J15" s="521" t="s">
        <v>631</v>
      </c>
      <c r="K15" s="448"/>
    </row>
    <row r="16" spans="2:22" ht="15" customHeight="1" x14ac:dyDescent="0.25">
      <c r="B16" s="447"/>
      <c r="C16" s="288" t="s">
        <v>1270</v>
      </c>
      <c r="D16" s="678">
        <v>230</v>
      </c>
      <c r="E16" s="521" t="s">
        <v>240</v>
      </c>
      <c r="K16" s="448"/>
    </row>
    <row r="17" spans="2:15" ht="15" customHeight="1" x14ac:dyDescent="0.25">
      <c r="B17" s="447"/>
      <c r="D17" s="288" t="str">
        <f>IF(Configuration!Y4="EN","Number of rods: n =","Nombre de Tiges : n =")</f>
        <v>Nombre de Tiges : n =</v>
      </c>
      <c r="E17" s="377">
        <f>J40*J37</f>
        <v>6</v>
      </c>
      <c r="K17" s="448"/>
    </row>
    <row r="18" spans="2:15" ht="15" customHeight="1" x14ac:dyDescent="0.25">
      <c r="B18" s="447"/>
      <c r="I18" s="288" t="str">
        <f>IF(Configuration!Y4="EN","First row of rods is external","Première ligne de Tiges est extérieure")</f>
        <v>Première ligne de Tiges est extérieure</v>
      </c>
      <c r="J18" s="678" t="s">
        <v>1256</v>
      </c>
      <c r="K18" s="448"/>
    </row>
    <row r="19" spans="2:15" ht="15" customHeight="1" x14ac:dyDescent="0.25">
      <c r="B19" s="447"/>
      <c r="K19" s="448"/>
    </row>
    <row r="20" spans="2:15" ht="15" customHeight="1" x14ac:dyDescent="0.25">
      <c r="B20" s="447"/>
      <c r="C20" s="661" t="str">
        <f>IF(Configuration!Y4="EN","Anchor bearing plates","Plaquettes d'ancrages")</f>
        <v>Plaquettes d'ancrages</v>
      </c>
      <c r="K20" s="448"/>
    </row>
    <row r="21" spans="2:15" ht="15" customHeight="1" x14ac:dyDescent="0.25">
      <c r="B21" s="447"/>
      <c r="C21" s="288" t="s">
        <v>1271</v>
      </c>
      <c r="D21" s="641">
        <v>80</v>
      </c>
      <c r="E21" s="521" t="s">
        <v>240</v>
      </c>
      <c r="F21" s="288" t="s">
        <v>1272</v>
      </c>
      <c r="G21" s="641">
        <v>10</v>
      </c>
      <c r="H21" s="521" t="s">
        <v>240</v>
      </c>
      <c r="K21" s="448"/>
    </row>
    <row r="22" spans="2:15" ht="15" customHeight="1" x14ac:dyDescent="0.25">
      <c r="B22" s="447"/>
      <c r="C22" s="288" t="s">
        <v>423</v>
      </c>
      <c r="D22" s="641" t="s">
        <v>435</v>
      </c>
      <c r="E22" s="377" t="str">
        <f>IF(D13="Droite","N/A","")</f>
        <v>N/A</v>
      </c>
      <c r="F22" s="288" t="s">
        <v>1283</v>
      </c>
      <c r="G22" s="377">
        <f>VLOOKUP(D22,Data!A2:D33,2,FALSE)</f>
        <v>23.5</v>
      </c>
      <c r="H22" s="521" t="s">
        <v>631</v>
      </c>
      <c r="K22" s="448"/>
    </row>
    <row r="23" spans="2:15" ht="15" customHeight="1" x14ac:dyDescent="0.25">
      <c r="B23" s="447"/>
      <c r="K23" s="448"/>
    </row>
    <row r="24" spans="2:15" ht="15" customHeight="1" x14ac:dyDescent="0.25">
      <c r="B24" s="447"/>
      <c r="C24" s="661" t="str">
        <f>IF(Configuration!Y4="EN","Lever arm","Bras de levier")</f>
        <v>Bras de levier</v>
      </c>
      <c r="E24" s="659" t="str">
        <f>IF(I25=0,IF(Configuration!Y4="EN","No lever arm!","Pas de bras de levier !"),IF(Configuration!Y4="EN","Lever arm of "&amp;I25&amp;" mm taken into account!","Bras de levier de "&amp;I25&amp;" mm pris en compte !"))</f>
        <v>Pas de bras de levier !</v>
      </c>
      <c r="K24" s="448"/>
      <c r="N24" s="660" t="s">
        <v>1222</v>
      </c>
    </row>
    <row r="25" spans="2:15" ht="15" customHeight="1" x14ac:dyDescent="0.25">
      <c r="B25" s="447"/>
      <c r="C25" s="359"/>
      <c r="D25" s="359"/>
      <c r="E25" s="288" t="str">
        <f>IF(Configuration!Y4="EN","Pre-grouting plate","Platine de préscellement")</f>
        <v>Platine de préscellement</v>
      </c>
      <c r="F25" s="678" t="s">
        <v>1264</v>
      </c>
      <c r="H25" s="288" t="s">
        <v>1346</v>
      </c>
      <c r="I25" s="377">
        <f>IF(F26=0,0,IF(AND(F25="OUI",F26&lt;=0.5*D14),0,IF(F25="OUI",0,0.5*D14)+F26+0.5*F27))</f>
        <v>0</v>
      </c>
      <c r="J25" s="521" t="s">
        <v>240</v>
      </c>
      <c r="K25" s="448"/>
      <c r="N25" s="435">
        <f>J83</f>
        <v>9.2184601113172546E-2</v>
      </c>
      <c r="O25" s="661" t="s">
        <v>1208</v>
      </c>
    </row>
    <row r="26" spans="2:15" ht="15" customHeight="1" x14ac:dyDescent="0.35">
      <c r="B26" s="447"/>
      <c r="E26" s="288" t="str">
        <f>IF(Configuration!Y4="EN","grout thickness tgrout =","épaisseur du mortier tgrout =")</f>
        <v>épaisseur du mortier tgrout =</v>
      </c>
      <c r="F26" s="675">
        <v>0</v>
      </c>
      <c r="H26" s="360" t="s">
        <v>1347</v>
      </c>
      <c r="I26" s="639">
        <v>2</v>
      </c>
      <c r="K26" s="448"/>
      <c r="N26" s="435">
        <f>J89</f>
        <v>0.69920629027023085</v>
      </c>
      <c r="O26" s="661" t="s">
        <v>1206</v>
      </c>
    </row>
    <row r="27" spans="2:15" ht="15" customHeight="1" x14ac:dyDescent="0.25">
      <c r="B27" s="447"/>
      <c r="E27" s="288" t="str">
        <f>IF(Configuration!Y4="EN","plate thickness tp =","épaisseur de la platine tp =")</f>
        <v>épaisseur de la platine tp =</v>
      </c>
      <c r="F27" s="675">
        <v>20</v>
      </c>
      <c r="H27" s="288" t="s">
        <v>1265</v>
      </c>
      <c r="I27" s="377">
        <f>D44*0.001*I25/I26</f>
        <v>0</v>
      </c>
      <c r="J27" s="521" t="s">
        <v>629</v>
      </c>
      <c r="K27" s="448"/>
      <c r="N27" s="435">
        <f>J121</f>
        <v>0</v>
      </c>
      <c r="O27" s="661" t="s">
        <v>1326</v>
      </c>
    </row>
    <row r="28" spans="2:15" ht="15" customHeight="1" x14ac:dyDescent="0.25">
      <c r="B28" s="447"/>
      <c r="K28" s="448"/>
      <c r="N28" s="435">
        <f>J128</f>
        <v>0.51828330941698031</v>
      </c>
      <c r="O28" s="661" t="s">
        <v>1325</v>
      </c>
    </row>
    <row r="29" spans="2:15" ht="15" customHeight="1" x14ac:dyDescent="0.25">
      <c r="B29" s="447"/>
      <c r="C29" s="661" t="str">
        <f>IF(Configuration!Y4="EN","Dimensions","Dimensions")</f>
        <v>Dimensions</v>
      </c>
      <c r="K29" s="448"/>
      <c r="N29" s="435">
        <f>J175</f>
        <v>0.34554492025378197</v>
      </c>
      <c r="O29" s="661" t="s">
        <v>1210</v>
      </c>
    </row>
    <row r="30" spans="2:15" ht="15" customHeight="1" x14ac:dyDescent="0.25">
      <c r="B30" s="447"/>
      <c r="K30" s="448"/>
      <c r="N30" s="435">
        <f>J201</f>
        <v>0</v>
      </c>
      <c r="O30" s="661" t="s">
        <v>1212</v>
      </c>
    </row>
    <row r="31" spans="2:15" ht="15" customHeight="1" x14ac:dyDescent="0.25">
      <c r="B31" s="447"/>
      <c r="C31" s="1042" t="str">
        <f>IF(Configuration!Y4="EN","concrete thickness","épaisseur du béton")</f>
        <v>épaisseur du béton</v>
      </c>
      <c r="D31" s="1042"/>
      <c r="I31" s="288" t="s">
        <v>1278</v>
      </c>
      <c r="J31" s="644">
        <v>0</v>
      </c>
      <c r="K31" s="448"/>
      <c r="N31" s="660" t="s">
        <v>1221</v>
      </c>
    </row>
    <row r="32" spans="2:15" ht="15" customHeight="1" x14ac:dyDescent="0.25">
      <c r="B32" s="447"/>
      <c r="C32" s="288" t="s">
        <v>966</v>
      </c>
      <c r="D32" s="675">
        <v>380</v>
      </c>
      <c r="K32" s="448"/>
      <c r="N32" s="435">
        <f>J230</f>
        <v>0.22587159863945577</v>
      </c>
      <c r="O32" s="661" t="s">
        <v>1214</v>
      </c>
    </row>
    <row r="33" spans="2:15" ht="15" customHeight="1" x14ac:dyDescent="0.25">
      <c r="B33" s="447"/>
      <c r="I33" s="288" t="s">
        <v>1274</v>
      </c>
      <c r="J33" s="557" cm="1">
        <f t="array" ref="J33">(SUM(F51:F60)-INDEX(F51:F60,J37))/(J37-1)</f>
        <v>150</v>
      </c>
      <c r="K33" s="448"/>
      <c r="N33" s="435">
        <f>J239</f>
        <v>0</v>
      </c>
      <c r="O33" s="661" t="s">
        <v>1317</v>
      </c>
    </row>
    <row r="34" spans="2:15" ht="15" customHeight="1" x14ac:dyDescent="0.25">
      <c r="B34" s="447"/>
      <c r="J34" s="659" t="str">
        <f>IF(J33&lt;4*$D$14,"Smin = 4*d0","")</f>
        <v/>
      </c>
      <c r="K34" s="448"/>
      <c r="N34" s="435">
        <f>J252</f>
        <v>0.55309465431697613</v>
      </c>
      <c r="O34" s="661" t="s">
        <v>1216</v>
      </c>
    </row>
    <row r="35" spans="2:15" ht="15" customHeight="1" x14ac:dyDescent="0.25">
      <c r="B35" s="447"/>
      <c r="I35" s="288" t="s">
        <v>1276</v>
      </c>
      <c r="J35" s="675">
        <v>0</v>
      </c>
      <c r="K35" s="448"/>
      <c r="N35" s="435">
        <f>J259</f>
        <v>0</v>
      </c>
      <c r="O35" s="661" t="s">
        <v>1218</v>
      </c>
    </row>
    <row r="36" spans="2:15" ht="15" customHeight="1" x14ac:dyDescent="0.25">
      <c r="B36" s="447"/>
      <c r="K36" s="448"/>
      <c r="N36" s="660" t="s">
        <v>1220</v>
      </c>
    </row>
    <row r="37" spans="2:15" ht="15" customHeight="1" x14ac:dyDescent="0.25">
      <c r="B37" s="447"/>
      <c r="I37" s="288" t="s">
        <v>1280</v>
      </c>
      <c r="J37" s="377">
        <f>COUNTA(E51:E60)</f>
        <v>3</v>
      </c>
      <c r="K37" s="448"/>
      <c r="N37" s="435">
        <f>J296</f>
        <v>5.951597975433813E-2</v>
      </c>
      <c r="O37" s="661" t="s">
        <v>1208</v>
      </c>
    </row>
    <row r="38" spans="2:15" ht="15" customHeight="1" x14ac:dyDescent="0.25">
      <c r="B38" s="447"/>
      <c r="K38" s="448"/>
      <c r="N38" s="435">
        <f>J301</f>
        <v>0.99600454359272594</v>
      </c>
      <c r="O38" s="661" t="s">
        <v>1225</v>
      </c>
    </row>
    <row r="39" spans="2:15" ht="15" customHeight="1" x14ac:dyDescent="0.25">
      <c r="B39" s="447"/>
      <c r="K39" s="448"/>
    </row>
    <row r="40" spans="2:15" ht="15" customHeight="1" x14ac:dyDescent="0.25">
      <c r="B40" s="447"/>
      <c r="C40" s="288" t="s">
        <v>1275</v>
      </c>
      <c r="D40" s="675">
        <v>140</v>
      </c>
      <c r="E40" s="288" t="s">
        <v>1273</v>
      </c>
      <c r="F40" s="675">
        <v>100</v>
      </c>
      <c r="G40" s="288" t="s">
        <v>1277</v>
      </c>
      <c r="H40" s="675">
        <v>140</v>
      </c>
      <c r="I40" s="288" t="s">
        <v>1279</v>
      </c>
      <c r="J40" s="678">
        <v>2</v>
      </c>
      <c r="K40" s="448"/>
    </row>
    <row r="41" spans="2:15" ht="15" customHeight="1" x14ac:dyDescent="0.25">
      <c r="B41" s="447"/>
      <c r="E41" s="659" t="str">
        <f>IF(AND(E100&lt;&gt;"permante et transitoire",D41="NON fissuré"),"Lorsque la situation est accidentelle ou sismique, le béton doit être considéré comme Fissuré","")</f>
        <v/>
      </c>
      <c r="F41" s="659" t="str">
        <f>IF(F40&lt;4*$D$14,"Smin = 4*d0","")</f>
        <v/>
      </c>
      <c r="K41" s="448"/>
    </row>
    <row r="42" spans="2:15" ht="15" customHeight="1" x14ac:dyDescent="0.25">
      <c r="B42" s="447"/>
      <c r="C42" s="660" t="str">
        <f>IF(Configuration!Y4="EN","Loading","Efforts")</f>
        <v>Efforts</v>
      </c>
      <c r="K42" s="448"/>
    </row>
    <row r="43" spans="2:15" ht="15" customHeight="1" x14ac:dyDescent="0.35">
      <c r="B43" s="447"/>
      <c r="C43" s="360" t="s">
        <v>1267</v>
      </c>
      <c r="D43" s="678">
        <v>2900</v>
      </c>
      <c r="E43" s="521" t="s">
        <v>632</v>
      </c>
      <c r="K43" s="448"/>
    </row>
    <row r="44" spans="2:15" ht="15" customHeight="1" x14ac:dyDescent="0.35">
      <c r="B44" s="447"/>
      <c r="C44" s="360" t="s">
        <v>1268</v>
      </c>
      <c r="D44" s="678">
        <v>8500</v>
      </c>
      <c r="E44" s="521" t="s">
        <v>632</v>
      </c>
      <c r="G44" s="288" t="s">
        <v>676</v>
      </c>
      <c r="H44" s="568">
        <f>D43+SUM(I51:I60)</f>
        <v>5372.727272727273</v>
      </c>
      <c r="I44" s="521" t="s">
        <v>632</v>
      </c>
      <c r="K44" s="448"/>
    </row>
    <row r="45" spans="2:15" ht="15" customHeight="1" x14ac:dyDescent="0.35">
      <c r="B45" s="447"/>
      <c r="C45" s="360" t="s">
        <v>1269</v>
      </c>
      <c r="D45" s="678">
        <v>0</v>
      </c>
      <c r="E45" s="521" t="s">
        <v>629</v>
      </c>
      <c r="G45" s="288" t="s">
        <v>1265</v>
      </c>
      <c r="H45" s="377">
        <f>D45+D44*0.001*D46</f>
        <v>680</v>
      </c>
      <c r="I45" s="521" t="s">
        <v>629</v>
      </c>
      <c r="K45" s="448"/>
    </row>
    <row r="46" spans="2:15" ht="15" customHeight="1" x14ac:dyDescent="0.25">
      <c r="B46" s="447"/>
      <c r="C46" s="288" t="s">
        <v>1262</v>
      </c>
      <c r="D46" s="678">
        <v>80</v>
      </c>
      <c r="E46" s="521" t="s">
        <v>240</v>
      </c>
      <c r="K46" s="448"/>
    </row>
    <row r="47" spans="2:15" ht="15" customHeight="1" x14ac:dyDescent="0.25">
      <c r="B47" s="447"/>
      <c r="K47" s="448"/>
    </row>
    <row r="48" spans="2:15" ht="15" customHeight="1" x14ac:dyDescent="0.25">
      <c r="B48" s="447"/>
      <c r="C48" s="661" t="str">
        <f>IF(Configuration!Y4="EN","Load Distribution","Distribution des Efforts")</f>
        <v>Distribution des Efforts</v>
      </c>
      <c r="K48" s="448"/>
    </row>
    <row r="49" spans="2:11" ht="15" customHeight="1" x14ac:dyDescent="0.25">
      <c r="B49" s="447"/>
      <c r="K49" s="448"/>
    </row>
    <row r="50" spans="2:11" ht="15" customHeight="1" x14ac:dyDescent="0.25">
      <c r="B50" s="447"/>
      <c r="D50" s="377" t="s">
        <v>1257</v>
      </c>
      <c r="E50" s="377" t="s">
        <v>1261</v>
      </c>
      <c r="F50" s="377" t="s">
        <v>1263</v>
      </c>
      <c r="G50" s="377" t="s">
        <v>1260</v>
      </c>
      <c r="H50" s="377" t="s">
        <v>1259</v>
      </c>
      <c r="I50" s="377" t="s">
        <v>1258</v>
      </c>
      <c r="K50" s="448"/>
    </row>
    <row r="51" spans="2:11" ht="15" customHeight="1" x14ac:dyDescent="0.25">
      <c r="B51" s="447"/>
      <c r="D51" s="377">
        <v>1</v>
      </c>
      <c r="E51" s="678">
        <v>350</v>
      </c>
      <c r="F51" s="377">
        <f t="shared" ref="F51:F53" si="0">IF(E51-E52=0,"",E51-E52)</f>
        <v>150</v>
      </c>
      <c r="G51" s="678">
        <v>3500</v>
      </c>
      <c r="H51" s="377">
        <f>G51</f>
        <v>3500</v>
      </c>
      <c r="I51" s="568">
        <f>H51*$H$45/$H$62</f>
        <v>1442.4242424242425</v>
      </c>
      <c r="K51" s="448"/>
    </row>
    <row r="52" spans="2:11" ht="15" customHeight="1" x14ac:dyDescent="0.25">
      <c r="B52" s="447"/>
      <c r="D52" s="377">
        <v>2</v>
      </c>
      <c r="E52" s="678">
        <v>200</v>
      </c>
      <c r="F52" s="377">
        <f t="shared" si="0"/>
        <v>150</v>
      </c>
      <c r="G52" s="678">
        <v>3500</v>
      </c>
      <c r="H52" s="568">
        <f>IF(J18="OUI",G52,(G51*E52/E51))</f>
        <v>2000</v>
      </c>
      <c r="I52" s="568">
        <f t="shared" ref="I52:I60" si="1">H52*$H$45/$H$62</f>
        <v>824.24242424242425</v>
      </c>
      <c r="K52" s="448"/>
    </row>
    <row r="53" spans="2:11" ht="15" customHeight="1" x14ac:dyDescent="0.25">
      <c r="B53" s="447"/>
      <c r="D53" s="377">
        <v>3</v>
      </c>
      <c r="E53" s="678">
        <v>50</v>
      </c>
      <c r="F53" s="377">
        <f t="shared" si="0"/>
        <v>50</v>
      </c>
      <c r="G53" s="678">
        <v>3500</v>
      </c>
      <c r="H53" s="568">
        <f t="shared" ref="H53:H60" si="2">MIN(G52*E53/IF($J$18="OUI",$E$52,$E$51),G53)</f>
        <v>500</v>
      </c>
      <c r="I53" s="568">
        <f t="shared" si="1"/>
        <v>206.06060606060606</v>
      </c>
      <c r="K53" s="448"/>
    </row>
    <row r="54" spans="2:11" ht="15" customHeight="1" x14ac:dyDescent="0.25">
      <c r="B54" s="447"/>
      <c r="D54" s="377">
        <v>4</v>
      </c>
      <c r="E54" s="678"/>
      <c r="F54" s="377" t="str">
        <f>IF(E54-E55=0,"",E54-E55)</f>
        <v/>
      </c>
      <c r="G54" s="678"/>
      <c r="H54" s="568">
        <f t="shared" si="2"/>
        <v>0</v>
      </c>
      <c r="I54" s="568">
        <f t="shared" si="1"/>
        <v>0</v>
      </c>
      <c r="K54" s="448"/>
    </row>
    <row r="55" spans="2:11" ht="15" customHeight="1" x14ac:dyDescent="0.25">
      <c r="B55" s="447"/>
      <c r="D55" s="377">
        <v>5</v>
      </c>
      <c r="E55" s="678"/>
      <c r="F55" s="377" t="str">
        <f t="shared" ref="F55:F60" si="3">IF(E55-E56=0,"",E55-E56)</f>
        <v/>
      </c>
      <c r="G55" s="678"/>
      <c r="H55" s="568">
        <f t="shared" si="2"/>
        <v>0</v>
      </c>
      <c r="I55" s="568">
        <f t="shared" si="1"/>
        <v>0</v>
      </c>
      <c r="K55" s="448"/>
    </row>
    <row r="56" spans="2:11" ht="15" customHeight="1" x14ac:dyDescent="0.25">
      <c r="B56" s="447"/>
      <c r="D56" s="377">
        <v>6</v>
      </c>
      <c r="E56" s="678"/>
      <c r="F56" s="377" t="str">
        <f t="shared" si="3"/>
        <v/>
      </c>
      <c r="G56" s="678"/>
      <c r="H56" s="568">
        <f t="shared" si="2"/>
        <v>0</v>
      </c>
      <c r="I56" s="568">
        <f t="shared" si="1"/>
        <v>0</v>
      </c>
      <c r="K56" s="448"/>
    </row>
    <row r="57" spans="2:11" ht="15" customHeight="1" x14ac:dyDescent="0.25">
      <c r="B57" s="447"/>
      <c r="D57" s="377">
        <v>7</v>
      </c>
      <c r="E57" s="678"/>
      <c r="F57" s="377" t="str">
        <f t="shared" si="3"/>
        <v/>
      </c>
      <c r="G57" s="678"/>
      <c r="H57" s="568">
        <f t="shared" si="2"/>
        <v>0</v>
      </c>
      <c r="I57" s="568">
        <f t="shared" si="1"/>
        <v>0</v>
      </c>
      <c r="K57" s="448"/>
    </row>
    <row r="58" spans="2:11" ht="15" customHeight="1" x14ac:dyDescent="0.25">
      <c r="B58" s="447"/>
      <c r="D58" s="377">
        <v>8</v>
      </c>
      <c r="E58" s="678"/>
      <c r="F58" s="377" t="str">
        <f t="shared" si="3"/>
        <v/>
      </c>
      <c r="G58" s="678"/>
      <c r="H58" s="568">
        <f t="shared" si="2"/>
        <v>0</v>
      </c>
      <c r="I58" s="568">
        <f t="shared" si="1"/>
        <v>0</v>
      </c>
      <c r="K58" s="448"/>
    </row>
    <row r="59" spans="2:11" ht="15" customHeight="1" x14ac:dyDescent="0.25">
      <c r="B59" s="447"/>
      <c r="D59" s="377">
        <v>9</v>
      </c>
      <c r="E59" s="678"/>
      <c r="F59" s="377" t="str">
        <f t="shared" si="3"/>
        <v/>
      </c>
      <c r="G59" s="678"/>
      <c r="H59" s="568">
        <f t="shared" si="2"/>
        <v>0</v>
      </c>
      <c r="I59" s="568">
        <f t="shared" si="1"/>
        <v>0</v>
      </c>
      <c r="K59" s="448"/>
    </row>
    <row r="60" spans="2:11" ht="15" customHeight="1" x14ac:dyDescent="0.25">
      <c r="B60" s="447"/>
      <c r="D60" s="377">
        <v>10</v>
      </c>
      <c r="E60" s="678"/>
      <c r="F60" s="377" t="str">
        <f t="shared" si="3"/>
        <v/>
      </c>
      <c r="G60" s="678"/>
      <c r="H60" s="568">
        <f t="shared" si="2"/>
        <v>0</v>
      </c>
      <c r="I60" s="568">
        <f t="shared" si="1"/>
        <v>0</v>
      </c>
      <c r="K60" s="448"/>
    </row>
    <row r="61" spans="2:11" ht="15" customHeight="1" x14ac:dyDescent="0.25">
      <c r="B61" s="447"/>
      <c r="K61" s="448"/>
    </row>
    <row r="62" spans="2:11" ht="15" customHeight="1" x14ac:dyDescent="0.25">
      <c r="B62" s="447"/>
      <c r="C62" s="288" t="s">
        <v>1241</v>
      </c>
      <c r="D62" s="377">
        <f>IF(J18="OUI",E51-0.5*F51,E51)</f>
        <v>350</v>
      </c>
      <c r="E62" s="521" t="s">
        <v>240</v>
      </c>
      <c r="G62" s="288" t="s">
        <v>1266</v>
      </c>
      <c r="H62" s="648">
        <f>SUMPRODUCT(E51:E60,H51:H60)/1000</f>
        <v>1650</v>
      </c>
      <c r="I62" s="521" t="s">
        <v>629</v>
      </c>
      <c r="K62" s="448"/>
    </row>
    <row r="63" spans="2:11" ht="15" customHeight="1" x14ac:dyDescent="0.25">
      <c r="B63" s="447"/>
      <c r="K63" s="448"/>
    </row>
    <row r="64" spans="2:11" ht="15" customHeight="1" x14ac:dyDescent="0.25">
      <c r="B64" s="447"/>
      <c r="C64" s="660" t="str">
        <f>IF(Configuration!Y4="EN","Partial Safety Factors","Coefficients Partiels")</f>
        <v>Coefficients Partiels</v>
      </c>
      <c r="K64" s="448"/>
    </row>
    <row r="65" spans="2:21" ht="15" customHeight="1" x14ac:dyDescent="0.25">
      <c r="B65" s="447"/>
      <c r="D65" s="288" t="s">
        <v>1285</v>
      </c>
      <c r="E65" s="1043" t="s">
        <v>1286</v>
      </c>
      <c r="F65" s="1043"/>
      <c r="K65" s="448"/>
    </row>
    <row r="66" spans="2:21" ht="15" customHeight="1" x14ac:dyDescent="0.25">
      <c r="B66" s="447"/>
      <c r="K66" s="448"/>
    </row>
    <row r="67" spans="2:21" ht="15" customHeight="1" x14ac:dyDescent="0.25">
      <c r="B67" s="447"/>
      <c r="C67" s="661" t="str">
        <f>IF(Configuration!Y4="EN","Fastener steel failure","Rupture de l'acier de fixation")</f>
        <v>Rupture de l'acier de fixation</v>
      </c>
      <c r="K67" s="448"/>
      <c r="N67" s="377">
        <f>1+MATCH(E65,O67:Q67,0)</f>
        <v>2</v>
      </c>
      <c r="O67" s="377" t="s">
        <v>1286</v>
      </c>
      <c r="P67" s="377" t="s">
        <v>1287</v>
      </c>
      <c r="Q67" s="377" t="s">
        <v>1288</v>
      </c>
      <c r="R67" s="377" t="s">
        <v>1295</v>
      </c>
      <c r="S67" s="377" t="s">
        <v>1300</v>
      </c>
      <c r="T67" s="377" t="s">
        <v>1296</v>
      </c>
      <c r="U67" s="377" t="s">
        <v>1297</v>
      </c>
    </row>
    <row r="68" spans="2:21" ht="15" customHeight="1" x14ac:dyDescent="0.25">
      <c r="B68" s="447"/>
      <c r="C68" s="651" t="str">
        <f>IF(Configuration!Y4="EN","Tension","Traction")</f>
        <v>Traction</v>
      </c>
      <c r="G68" s="288" t="s">
        <v>1298</v>
      </c>
      <c r="H68" s="435">
        <f>VLOOKUP(G68,$N$68:$Q$79,$N$67,FALSE)</f>
        <v>1.5</v>
      </c>
      <c r="K68" s="448"/>
      <c r="N68" s="288" t="s">
        <v>1298</v>
      </c>
      <c r="O68" s="435">
        <f>MAX(1.2*R68,1.4)</f>
        <v>1.5</v>
      </c>
      <c r="P68" s="435">
        <f>MAX(1.05*R68,1.25)</f>
        <v>1.3125</v>
      </c>
      <c r="Q68" s="435">
        <f>MAX(1.05*R68,1.25)</f>
        <v>1.3125</v>
      </c>
      <c r="R68" s="435">
        <f>T68/U68</f>
        <v>1.25</v>
      </c>
      <c r="S68" s="377">
        <f>U68/T68</f>
        <v>0.8</v>
      </c>
      <c r="T68" s="377">
        <f>I15</f>
        <v>80</v>
      </c>
      <c r="U68" s="377">
        <f>F15</f>
        <v>64</v>
      </c>
    </row>
    <row r="69" spans="2:21" ht="15" customHeight="1" x14ac:dyDescent="0.25">
      <c r="B69" s="447"/>
      <c r="C69" s="651" t="str">
        <f>IF(Configuration!Y4="EN","Shear with or without lever arm","Cisaillement avec ou sans bras de levier")</f>
        <v>Cisaillement avec ou sans bras de levier</v>
      </c>
      <c r="G69" s="288" t="s">
        <v>1299</v>
      </c>
      <c r="H69" s="435">
        <f>VLOOKUP(G69,$N$68:$Q$79,$N$67,FALSE)</f>
        <v>1.25</v>
      </c>
      <c r="K69" s="448"/>
      <c r="N69" s="288" t="s">
        <v>1299</v>
      </c>
      <c r="O69" s="435">
        <f>IF(AND(S68&lt;=0.8,T68&lt;=80),MAX(R68,1.25),1.5)</f>
        <v>1.25</v>
      </c>
      <c r="P69" s="435">
        <f>IF(AND(S68&lt;=0.8,T68&lt;=80),MAX(R68,1.25),1.3)</f>
        <v>1.25</v>
      </c>
      <c r="Q69" s="435">
        <f>IF(AND(S68&lt;=0.8,T68&lt;=80),MAX(R68,1.25),1.3)</f>
        <v>1.25</v>
      </c>
    </row>
    <row r="70" spans="2:21" ht="15" customHeight="1" x14ac:dyDescent="0.25">
      <c r="B70" s="447"/>
      <c r="K70" s="448"/>
    </row>
    <row r="71" spans="2:21" ht="15" customHeight="1" x14ac:dyDescent="0.25">
      <c r="B71" s="447"/>
      <c r="C71" s="661" t="str">
        <f>IF(Configuration!Y4="EN","Steel failure - supplementary reinforcement","Rupture de l'acier - renforcement supplémentaire")</f>
        <v>Rupture de l'acier - renforcement supplémentaire</v>
      </c>
      <c r="K71" s="448"/>
    </row>
    <row r="72" spans="2:21" ht="15" customHeight="1" x14ac:dyDescent="0.25">
      <c r="B72" s="447"/>
      <c r="C72" s="651" t="str">
        <f>IF(Configuration!Y4="EN","Tension","Traction")</f>
        <v>Traction</v>
      </c>
      <c r="G72" s="288" t="s">
        <v>1289</v>
      </c>
      <c r="H72" s="435">
        <f>VLOOKUP(G72,$N$68:$Q$79,$N$67,FALSE)</f>
        <v>1.1499999999999999</v>
      </c>
      <c r="K72" s="448"/>
      <c r="N72" s="288" t="s">
        <v>1289</v>
      </c>
      <c r="O72" s="377">
        <v>1.1499999999999999</v>
      </c>
      <c r="P72" s="377">
        <v>1</v>
      </c>
      <c r="Q72" s="377">
        <v>1</v>
      </c>
    </row>
    <row r="73" spans="2:21" ht="15" customHeight="1" x14ac:dyDescent="0.25">
      <c r="B73" s="447"/>
      <c r="K73" s="448"/>
    </row>
    <row r="74" spans="2:21" ht="15" customHeight="1" x14ac:dyDescent="0.25">
      <c r="B74" s="447"/>
      <c r="C74" s="661" t="str">
        <f>IF(Configuration!Y4="EN","Concrete-related failure","Rupture liée au béton")</f>
        <v>Rupture liée au béton</v>
      </c>
      <c r="K74" s="448"/>
    </row>
    <row r="75" spans="2:21" ht="15" customHeight="1" x14ac:dyDescent="0.25">
      <c r="B75" s="447"/>
      <c r="C75" s="651" t="str">
        <f>IF(Configuration!Y4="EN","Concrete cone failure","Rupture par cône de béton")</f>
        <v>Rupture par cône de béton</v>
      </c>
      <c r="D75" s="630"/>
      <c r="E75" s="630"/>
      <c r="F75" s="630"/>
      <c r="G75" s="288" t="s">
        <v>1302</v>
      </c>
      <c r="H75" s="435">
        <f>H76*H77</f>
        <v>1.5</v>
      </c>
      <c r="K75" s="448"/>
      <c r="N75" s="288" t="s">
        <v>1290</v>
      </c>
    </row>
    <row r="76" spans="2:21" ht="15" customHeight="1" x14ac:dyDescent="0.25">
      <c r="B76" s="447"/>
      <c r="C76" s="651" t="str">
        <f>IF(Configuration!Y4="EN","Concrete edge failure","Rupture du bord du béton")</f>
        <v>Rupture du bord du béton</v>
      </c>
      <c r="D76" s="630"/>
      <c r="E76" s="630"/>
      <c r="F76" s="630"/>
      <c r="G76" s="288" t="s">
        <v>1291</v>
      </c>
      <c r="H76" s="435">
        <f>VLOOKUP(G76,$N$68:$Q$79,$N$67,FALSE)</f>
        <v>1.5</v>
      </c>
      <c r="K76" s="448"/>
      <c r="N76" s="288" t="s">
        <v>1291</v>
      </c>
      <c r="O76" s="377">
        <v>1.5</v>
      </c>
      <c r="P76" s="377">
        <v>1.2</v>
      </c>
      <c r="Q76" s="377">
        <v>1.3</v>
      </c>
    </row>
    <row r="77" spans="2:21" ht="15" customHeight="1" x14ac:dyDescent="0.25">
      <c r="B77" s="447"/>
      <c r="C77" s="651"/>
      <c r="D77" s="630"/>
      <c r="E77" s="630"/>
      <c r="F77" s="630"/>
      <c r="G77" s="288" t="s">
        <v>1292</v>
      </c>
      <c r="H77" s="435">
        <f>VLOOKUP(G77,$N$68:$Q$79,$N$67,FALSE)</f>
        <v>1</v>
      </c>
      <c r="K77" s="448"/>
      <c r="N77" s="288" t="s">
        <v>1292</v>
      </c>
      <c r="O77" s="377">
        <v>1</v>
      </c>
      <c r="P77" s="377">
        <v>1</v>
      </c>
      <c r="Q77" s="377">
        <v>1</v>
      </c>
    </row>
    <row r="78" spans="2:21" ht="15" customHeight="1" x14ac:dyDescent="0.25">
      <c r="B78" s="447"/>
      <c r="C78" s="651" t="str">
        <f>IF(Configuration!Y4="EN","Concrete splitting failure","Rupture par fendage du béton")</f>
        <v>Rupture par fendage du béton</v>
      </c>
      <c r="D78" s="630"/>
      <c r="E78" s="630"/>
      <c r="F78" s="630"/>
      <c r="G78" s="288" t="s">
        <v>1303</v>
      </c>
      <c r="H78" s="435">
        <f>H75</f>
        <v>1.5</v>
      </c>
      <c r="K78" s="448"/>
      <c r="N78" s="288" t="s">
        <v>1293</v>
      </c>
    </row>
    <row r="79" spans="2:21" ht="15" customHeight="1" x14ac:dyDescent="0.25">
      <c r="B79" s="447"/>
      <c r="C79" s="1044" t="str">
        <f>IF(Configuration!Y4="EN","Pull-out failure or combined concrete cone and pull-out failure","Rupture par extraction glissement ou rupture combinée du béton et par extraction glissement ")</f>
        <v xml:space="preserve">Rupture par extraction glissement ou rupture combinée du béton et par extraction glissement </v>
      </c>
      <c r="D79" s="1044"/>
      <c r="E79" s="1044"/>
      <c r="F79" s="1044"/>
      <c r="G79" s="288"/>
      <c r="K79" s="448"/>
      <c r="N79" s="288" t="s">
        <v>1294</v>
      </c>
    </row>
    <row r="80" spans="2:21" ht="15" customHeight="1" x14ac:dyDescent="0.25">
      <c r="B80" s="447"/>
      <c r="C80" s="1044"/>
      <c r="D80" s="1044"/>
      <c r="E80" s="1044"/>
      <c r="F80" s="1044"/>
      <c r="G80" s="288" t="s">
        <v>1304</v>
      </c>
      <c r="H80" s="435">
        <f>H75</f>
        <v>1.5</v>
      </c>
      <c r="K80" s="448"/>
    </row>
    <row r="81" spans="2:24" ht="15" customHeight="1" x14ac:dyDescent="0.25">
      <c r="B81" s="447"/>
      <c r="C81" s="642"/>
      <c r="K81" s="448"/>
    </row>
    <row r="82" spans="2:24" ht="15" customHeight="1" x14ac:dyDescent="0.25">
      <c r="B82" s="447"/>
      <c r="C82" s="660" t="str">
        <f>IF(Configuration!Y4="EN","Checks for anchors loaded in tension","Vérifications pour les tiges sollicitées en traction")</f>
        <v>Vérifications pour les tiges sollicitées en traction</v>
      </c>
      <c r="H82" s="530"/>
      <c r="K82" s="448"/>
    </row>
    <row r="83" spans="2:24" ht="15" customHeight="1" x14ac:dyDescent="0.25">
      <c r="B83" s="447"/>
      <c r="C83" s="661" t="str">
        <f>IF(Configuration!Y4="EN","Fastener steel failure","Rupture de l'acier de la fixation")</f>
        <v>Rupture de l'acier de la fixation</v>
      </c>
      <c r="I83" s="645" t="s">
        <v>1514</v>
      </c>
      <c r="J83" s="433">
        <f>E84/F86</f>
        <v>9.2184601113172546E-2</v>
      </c>
      <c r="K83" s="448"/>
    </row>
    <row r="84" spans="2:24" ht="15" customHeight="1" x14ac:dyDescent="0.25">
      <c r="B84" s="447"/>
      <c r="D84" s="288" t="s">
        <v>1360</v>
      </c>
      <c r="E84" s="568">
        <f>D43/E17+MAX(I51:I60)/J40</f>
        <v>1204.5454545454545</v>
      </c>
      <c r="F84" s="521" t="s">
        <v>632</v>
      </c>
      <c r="G84" s="521"/>
      <c r="K84" s="448"/>
    </row>
    <row r="85" spans="2:24" ht="15" customHeight="1" x14ac:dyDescent="0.25">
      <c r="B85" s="447"/>
      <c r="D85" s="288"/>
      <c r="E85" s="568"/>
      <c r="F85" s="521"/>
      <c r="G85" s="521"/>
      <c r="K85" s="448"/>
    </row>
    <row r="86" spans="2:24" ht="15" customHeight="1" x14ac:dyDescent="0.35">
      <c r="B86" s="447"/>
      <c r="C86" s="359"/>
      <c r="E86" s="360" t="s">
        <v>1369</v>
      </c>
      <c r="F86" s="658">
        <f>F14*I15/H68</f>
        <v>13066.666666666666</v>
      </c>
      <c r="G86" s="359" t="s">
        <v>632</v>
      </c>
      <c r="H86" s="521" t="str">
        <f>IF(Configuration!Y4="EN","Resistance per anchor","Résistance pour une tige")</f>
        <v>Résistance pour une tige</v>
      </c>
      <c r="K86" s="448"/>
    </row>
    <row r="87" spans="2:24" ht="15" customHeight="1" x14ac:dyDescent="0.25">
      <c r="B87" s="447"/>
      <c r="C87" s="359"/>
      <c r="D87" s="359"/>
      <c r="E87" s="359"/>
      <c r="F87" s="359"/>
      <c r="K87" s="448"/>
      <c r="P87" s="288"/>
      <c r="R87" s="521"/>
    </row>
    <row r="88" spans="2:24" ht="15" customHeight="1" x14ac:dyDescent="0.25">
      <c r="B88" s="447"/>
      <c r="K88" s="448"/>
    </row>
    <row r="89" spans="2:24" ht="15" customHeight="1" x14ac:dyDescent="0.25">
      <c r="B89" s="447"/>
      <c r="C89" s="661" t="str">
        <f>IF(Configuration!Y4="EN","Concrete cone failure","Rupture par cône de béton")</f>
        <v>Rupture par cône de béton</v>
      </c>
      <c r="I89" s="645" t="s">
        <v>1207</v>
      </c>
      <c r="J89" s="433">
        <f>$H$44/G94</f>
        <v>0.69920629027023085</v>
      </c>
      <c r="K89" s="448"/>
    </row>
    <row r="90" spans="2:24" ht="15" customHeight="1" x14ac:dyDescent="0.25">
      <c r="B90" s="447"/>
      <c r="C90" s="288" t="s">
        <v>1301</v>
      </c>
      <c r="D90" s="377">
        <f>$D$16</f>
        <v>230</v>
      </c>
      <c r="E90" s="521" t="s">
        <v>240</v>
      </c>
      <c r="G90" s="288" t="str">
        <f>IF(R106&gt;=3,"h'ef =","hef =")</f>
        <v>hef =</v>
      </c>
      <c r="H90" s="568">
        <f>IF(R106&gt;=3,G115,D16)</f>
        <v>230</v>
      </c>
      <c r="I90" s="521" t="s">
        <v>240</v>
      </c>
      <c r="K90" s="448"/>
    </row>
    <row r="91" spans="2:24" ht="15" customHeight="1" x14ac:dyDescent="0.25">
      <c r="B91" s="447"/>
      <c r="C91" s="288" t="s">
        <v>1232</v>
      </c>
      <c r="D91" s="377">
        <f>3*$D$16</f>
        <v>690</v>
      </c>
      <c r="E91" s="521" t="s">
        <v>240</v>
      </c>
      <c r="G91" s="288" t="str">
        <f>IF(R106&gt;=3,"S'cr,N =","Scr,N =")</f>
        <v>Scr,N =</v>
      </c>
      <c r="H91" s="377">
        <f>3*H90</f>
        <v>690</v>
      </c>
      <c r="I91" s="521" t="s">
        <v>240</v>
      </c>
      <c r="K91" s="448"/>
    </row>
    <row r="92" spans="2:24" ht="15" customHeight="1" x14ac:dyDescent="0.25">
      <c r="B92" s="447"/>
      <c r="C92" s="288" t="s">
        <v>1231</v>
      </c>
      <c r="D92" s="377">
        <f>D91/2</f>
        <v>345</v>
      </c>
      <c r="E92" s="521" t="s">
        <v>240</v>
      </c>
      <c r="G92" s="288" t="str">
        <f>IF(R106&gt;=3,"C'cr,N =","Ccr,N =")</f>
        <v>Ccr,N =</v>
      </c>
      <c r="H92" s="377">
        <f>H91/2</f>
        <v>345</v>
      </c>
      <c r="I92" s="521" t="s">
        <v>240</v>
      </c>
      <c r="K92" s="448"/>
    </row>
    <row r="93" spans="2:24" ht="15" customHeight="1" x14ac:dyDescent="0.25">
      <c r="B93" s="447"/>
      <c r="K93" s="448"/>
    </row>
    <row r="94" spans="2:24" ht="15" customHeight="1" x14ac:dyDescent="0.25">
      <c r="B94" s="447"/>
      <c r="F94" s="288" t="s">
        <v>1370</v>
      </c>
      <c r="G94" s="658">
        <f>G96/H75</f>
        <v>7684.0373828027332</v>
      </c>
      <c r="H94" s="521" t="s">
        <v>632</v>
      </c>
      <c r="K94" s="448"/>
    </row>
    <row r="95" spans="2:24" ht="15" customHeight="1" thickBot="1" x14ac:dyDescent="0.3">
      <c r="B95" s="447"/>
      <c r="C95" s="638"/>
      <c r="K95" s="448"/>
      <c r="N95" s="377" t="s">
        <v>1226</v>
      </c>
      <c r="O95" s="377">
        <f>IF($O$10="Connu",O11,7.7)</f>
        <v>7.7</v>
      </c>
      <c r="P95" s="521" t="s">
        <v>1227</v>
      </c>
    </row>
    <row r="96" spans="2:24" ht="15" customHeight="1" x14ac:dyDescent="0.25">
      <c r="B96" s="447"/>
      <c r="C96" s="638"/>
      <c r="F96" s="288" t="s">
        <v>666</v>
      </c>
      <c r="G96" s="551">
        <f>E99*H101*F104*F106*F108*F111</f>
        <v>11526.0560742041</v>
      </c>
      <c r="H96" s="521" t="s">
        <v>632</v>
      </c>
      <c r="K96" s="448"/>
      <c r="N96" s="377" t="s">
        <v>1229</v>
      </c>
      <c r="O96" s="377">
        <f>IF($O$10="Connu",O12,11)</f>
        <v>11</v>
      </c>
      <c r="P96" s="521" t="s">
        <v>1228</v>
      </c>
      <c r="T96" s="653"/>
      <c r="U96" s="384" t="s">
        <v>240</v>
      </c>
      <c r="V96" s="384" t="s">
        <v>632</v>
      </c>
      <c r="W96" s="384"/>
      <c r="X96" s="385"/>
    </row>
    <row r="97" spans="2:24" ht="15" customHeight="1" x14ac:dyDescent="0.25">
      <c r="B97" s="447"/>
      <c r="C97" s="638"/>
      <c r="H97" s="530"/>
      <c r="K97" s="448"/>
      <c r="T97" s="654" t="s">
        <v>1311</v>
      </c>
      <c r="U97" s="377" cm="1">
        <f t="array" ref="U97">(0.5*(SUM(F51:F60)-INDEX(F51:F60,J37)))</f>
        <v>150</v>
      </c>
      <c r="V97" s="377">
        <f>D43</f>
        <v>2900</v>
      </c>
      <c r="W97" s="377">
        <f>PRODUCT(U97:V97)</f>
        <v>435000</v>
      </c>
      <c r="X97" s="371"/>
    </row>
    <row r="98" spans="2:24" ht="15" customHeight="1" x14ac:dyDescent="0.25">
      <c r="B98" s="447"/>
      <c r="C98" s="638"/>
      <c r="H98" s="530"/>
      <c r="K98" s="448"/>
      <c r="T98" s="654" t="s">
        <v>1310</v>
      </c>
      <c r="U98" s="568">
        <f>(SUMPRODUCT(E51:E60,I51:I60)/SUM(I51:I60))</f>
        <v>275</v>
      </c>
      <c r="V98" s="568">
        <f>SUM(I51:I60)</f>
        <v>2472.727272727273</v>
      </c>
      <c r="W98" s="377">
        <f>PRODUCT(U98:V98)</f>
        <v>680000.00000000012</v>
      </c>
      <c r="X98" s="371"/>
    </row>
    <row r="99" spans="2:24" ht="15" customHeight="1" x14ac:dyDescent="0.25">
      <c r="B99" s="447"/>
      <c r="C99" s="638"/>
      <c r="D99" s="288" t="s">
        <v>666</v>
      </c>
      <c r="E99" s="568">
        <f>0.1*H99*SQRT(G7)*H90^1.5</f>
        <v>21015.758373182729</v>
      </c>
      <c r="F99" s="521" t="s">
        <v>632</v>
      </c>
      <c r="G99" s="288" t="s">
        <v>1230</v>
      </c>
      <c r="H99" s="377">
        <f>IF($D$8="Fissuré",O95,O96)</f>
        <v>11</v>
      </c>
      <c r="I99" s="521" t="str">
        <f>IF(D8="Fissuré",P95,P96)</f>
        <v>Béton NON fissuré</v>
      </c>
      <c r="K99" s="448"/>
      <c r="P99" s="542" t="s">
        <v>1246</v>
      </c>
      <c r="Q99" s="542">
        <f>SUM(Q100:Q102)</f>
        <v>990</v>
      </c>
      <c r="T99" s="518"/>
      <c r="V99" s="568">
        <f>SUM(V97:V98)</f>
        <v>5372.727272727273</v>
      </c>
      <c r="W99" s="377">
        <f>SUM(W97:W98)</f>
        <v>1115000</v>
      </c>
      <c r="X99" s="371"/>
    </row>
    <row r="100" spans="2:24" ht="15" customHeight="1" x14ac:dyDescent="0.25">
      <c r="B100" s="447"/>
      <c r="C100" s="638"/>
      <c r="H100" s="530"/>
      <c r="K100" s="448"/>
      <c r="P100" s="377" t="s">
        <v>1240</v>
      </c>
      <c r="Q100" s="377">
        <f>IF(J31=0,H92,MIN(H92,$J$31))</f>
        <v>345</v>
      </c>
      <c r="R100" s="377">
        <f>IF($J$31=0,0,IF($J$31&lt;D92,1,0))</f>
        <v>0</v>
      </c>
      <c r="T100" s="518"/>
      <c r="X100" s="371"/>
    </row>
    <row r="101" spans="2:24" ht="15" customHeight="1" thickBot="1" x14ac:dyDescent="0.3">
      <c r="B101" s="447"/>
      <c r="D101" s="288" t="s">
        <v>1233</v>
      </c>
      <c r="E101" s="377">
        <f>H91*H91</f>
        <v>476100</v>
      </c>
      <c r="F101" s="521" t="s">
        <v>531</v>
      </c>
      <c r="G101" s="288" t="s">
        <v>666</v>
      </c>
      <c r="H101" s="433">
        <f>E102/E101</f>
        <v>0.79017013232514177</v>
      </c>
      <c r="K101" s="448"/>
      <c r="P101" s="377" t="s">
        <v>1239</v>
      </c>
      <c r="Q101" s="377">
        <f>MIN(($J$37-1)*$J$33,($J$37-1)*H91)</f>
        <v>300</v>
      </c>
      <c r="T101" s="519"/>
      <c r="U101" s="386"/>
      <c r="V101" s="655" t="s">
        <v>1242</v>
      </c>
      <c r="W101" s="656">
        <f>IF(H45=0,0,(W99/V99)-U97)</f>
        <v>57.529610829103206</v>
      </c>
      <c r="X101" s="657" t="s">
        <v>240</v>
      </c>
    </row>
    <row r="102" spans="2:24" ht="15" customHeight="1" x14ac:dyDescent="0.25">
      <c r="B102" s="447"/>
      <c r="C102" s="638"/>
      <c r="D102" s="288" t="s">
        <v>1234</v>
      </c>
      <c r="E102" s="377">
        <f>Q105*Q99</f>
        <v>376200</v>
      </c>
      <c r="F102" s="521" t="s">
        <v>531</v>
      </c>
      <c r="H102" s="530"/>
      <c r="K102" s="448"/>
      <c r="P102" s="377" t="s">
        <v>1238</v>
      </c>
      <c r="Q102" s="377">
        <f>IF(J35=0,H92,MIN(H92,$J$35))</f>
        <v>345</v>
      </c>
      <c r="R102" s="377">
        <f>IF($J$35=0,0,IF($J$35&lt;D92,1,0))</f>
        <v>0</v>
      </c>
    </row>
    <row r="103" spans="2:24" ht="15" customHeight="1" x14ac:dyDescent="0.25">
      <c r="B103" s="447"/>
      <c r="C103" s="638"/>
      <c r="K103" s="448"/>
    </row>
    <row r="104" spans="2:24" ht="15" customHeight="1" x14ac:dyDescent="0.25">
      <c r="B104" s="447"/>
      <c r="C104" s="638"/>
      <c r="E104" s="288" t="s">
        <v>666</v>
      </c>
      <c r="F104" s="433">
        <f>IF(0.7+0.3*(N109/H92)&gt;1,1,0.7+0.3*(N109/H92))</f>
        <v>0.82173913043478253</v>
      </c>
      <c r="H104" s="530"/>
      <c r="K104" s="448"/>
      <c r="N104" s="377" t="s">
        <v>1235</v>
      </c>
      <c r="O104" s="377" t="s">
        <v>1236</v>
      </c>
      <c r="P104" s="377" t="s">
        <v>1237</v>
      </c>
      <c r="Q104" s="542" t="s">
        <v>1247</v>
      </c>
    </row>
    <row r="105" spans="2:24" ht="15" customHeight="1" x14ac:dyDescent="0.25">
      <c r="B105" s="447"/>
      <c r="C105" s="638"/>
      <c r="H105" s="530"/>
      <c r="K105" s="448"/>
      <c r="N105" s="377">
        <f>IF(D40=0,H92,MIN(H92,$D$40))</f>
        <v>140</v>
      </c>
      <c r="O105" s="377">
        <f>MIN(($J$40-1)*$F$40,($J$40-1)*H91)</f>
        <v>100</v>
      </c>
      <c r="P105" s="377">
        <f>IF(H40=0,H92,MIN(H92,$H$40))</f>
        <v>140</v>
      </c>
      <c r="Q105" s="542">
        <f>SUM(N105:P105)</f>
        <v>380</v>
      </c>
    </row>
    <row r="106" spans="2:24" ht="15" customHeight="1" x14ac:dyDescent="0.25">
      <c r="B106" s="447"/>
      <c r="C106" s="638"/>
      <c r="E106" s="288" t="s">
        <v>666</v>
      </c>
      <c r="F106" s="433">
        <f>IF(H90&lt;100,0.5+(H90/200),1)</f>
        <v>1</v>
      </c>
      <c r="H106" s="530"/>
      <c r="K106" s="448"/>
      <c r="N106" s="377">
        <f>IF($D$40=0,0,IF($D$40&lt;D92,1,0))</f>
        <v>1</v>
      </c>
      <c r="P106" s="377">
        <f>IF($H$40=0,0,IF($H$40&lt;D92,1,0))</f>
        <v>1</v>
      </c>
      <c r="R106" s="377">
        <f>SUM(N106,P106,R102,R100)</f>
        <v>2</v>
      </c>
    </row>
    <row r="107" spans="2:24" ht="15" customHeight="1" x14ac:dyDescent="0.25">
      <c r="B107" s="447"/>
      <c r="C107" s="638"/>
      <c r="H107" s="530"/>
      <c r="K107" s="448"/>
    </row>
    <row r="108" spans="2:24" ht="15" customHeight="1" x14ac:dyDescent="0.25">
      <c r="B108" s="447"/>
      <c r="C108" s="638"/>
      <c r="E108" s="288" t="s">
        <v>666</v>
      </c>
      <c r="F108" s="433">
        <f>1/(1+2*(F110/H91))</f>
        <v>0.85707980411526097</v>
      </c>
      <c r="H108" s="530"/>
      <c r="K108" s="448"/>
    </row>
    <row r="109" spans="2:24" ht="15" customHeight="1" x14ac:dyDescent="0.25">
      <c r="B109" s="447"/>
      <c r="C109" s="638"/>
      <c r="H109" s="530"/>
      <c r="K109" s="448"/>
      <c r="M109" s="288" t="s">
        <v>1195</v>
      </c>
      <c r="N109" s="377">
        <f>MIN(N105,P105,Q102,Q100)</f>
        <v>140</v>
      </c>
    </row>
    <row r="110" spans="2:24" ht="15" customHeight="1" x14ac:dyDescent="0.25">
      <c r="B110" s="447"/>
      <c r="C110" s="638"/>
      <c r="E110" s="288" t="s">
        <v>1242</v>
      </c>
      <c r="F110" s="568">
        <f>$W$101</f>
        <v>57.529610829103206</v>
      </c>
      <c r="G110" s="521" t="s">
        <v>240</v>
      </c>
      <c r="H110" s="530"/>
      <c r="K110" s="448"/>
    </row>
    <row r="111" spans="2:24" ht="15" customHeight="1" x14ac:dyDescent="0.25">
      <c r="B111" s="447"/>
      <c r="C111" s="638"/>
      <c r="F111" s="433">
        <f>IF($D$62/$D$16&gt;=1.5,IF(2-($D$62/(1.5*$D$16))&lt;=0,1,2-($D$62/(1.5*$D$16))),1)</f>
        <v>0.98550724637681153</v>
      </c>
      <c r="H111" s="530"/>
      <c r="K111" s="448"/>
    </row>
    <row r="112" spans="2:24" ht="15" customHeight="1" x14ac:dyDescent="0.25">
      <c r="B112" s="447"/>
      <c r="C112" s="638"/>
      <c r="H112" s="530"/>
      <c r="K112" s="448"/>
    </row>
    <row r="113" spans="1:15" ht="15" customHeight="1" x14ac:dyDescent="0.25">
      <c r="B113" s="447"/>
      <c r="C113" s="541" t="str">
        <f>IF(R106&gt;=3,IF(Configuration!Y4="EN","3 or more edge distances are less than Ccr,n","3 distances au bord (ou plus) sont inférieures à Ccr,n"),IF(Configuration!Y4="EN","Less than 3 edge distances are less than Ccr,n. h'ef is not used.","moins de 3 distances au bord sont inférieures à Ccr,n. h'ef n'est pas utilisé."))</f>
        <v>moins de 3 distances au bord sont inférieures à Ccr,n. h'ef n'est pas utilisé.</v>
      </c>
      <c r="I113" s="645" t="str">
        <f>IF(R106&gt;=3," (NF EN1992-4 §7.2.1.4 (8) )","")</f>
        <v/>
      </c>
      <c r="K113" s="448"/>
    </row>
    <row r="114" spans="1:15" ht="15" customHeight="1" x14ac:dyDescent="0.25">
      <c r="B114" s="447"/>
      <c r="C114" s="638"/>
      <c r="H114" s="530"/>
      <c r="K114" s="448"/>
    </row>
    <row r="115" spans="1:15" ht="15" customHeight="1" x14ac:dyDescent="0.25">
      <c r="B115" s="447"/>
      <c r="C115" s="638"/>
      <c r="F115" s="288" t="s">
        <v>666</v>
      </c>
      <c r="G115" s="568">
        <f>MAX(D16*MAX(J31,J35,H40,D40)/D92,D16*MAX(F40,J33)/D91)</f>
        <v>93.333333333333329</v>
      </c>
      <c r="H115" s="521" t="s">
        <v>240</v>
      </c>
      <c r="K115" s="448"/>
    </row>
    <row r="116" spans="1:15" ht="15" customHeight="1" x14ac:dyDescent="0.25">
      <c r="B116" s="447"/>
      <c r="C116" s="638"/>
      <c r="H116" s="530"/>
      <c r="K116" s="448"/>
    </row>
    <row r="117" spans="1:15" ht="15" customHeight="1" x14ac:dyDescent="0.25">
      <c r="B117" s="447"/>
      <c r="C117" s="638"/>
      <c r="H117" s="530"/>
      <c r="K117" s="448"/>
    </row>
    <row r="118" spans="1:15" ht="15" customHeight="1" x14ac:dyDescent="0.25">
      <c r="B118" s="447"/>
      <c r="C118" s="638"/>
      <c r="F118" s="288" t="s">
        <v>666</v>
      </c>
      <c r="G118" s="377">
        <f>3*G115</f>
        <v>280</v>
      </c>
      <c r="H118" s="521" t="s">
        <v>240</v>
      </c>
      <c r="K118" s="448"/>
    </row>
    <row r="119" spans="1:15" ht="15" customHeight="1" x14ac:dyDescent="0.25">
      <c r="B119" s="447"/>
      <c r="C119" s="638"/>
      <c r="F119" s="288"/>
      <c r="H119" s="521"/>
      <c r="K119" s="448"/>
    </row>
    <row r="120" spans="1:15" ht="15" customHeight="1" x14ac:dyDescent="0.25">
      <c r="A120" s="668" t="str">
        <f>IF(G121="N/A","N/A","")</f>
        <v>N/A</v>
      </c>
      <c r="B120" s="447"/>
      <c r="K120" s="448"/>
    </row>
    <row r="121" spans="1:15" ht="15" customHeight="1" x14ac:dyDescent="0.25">
      <c r="B121" s="447"/>
      <c r="C121" s="661" t="str">
        <f>IF(Configuration!Y4="EN","Pull-out failure","Rupture par extraction-glissement")</f>
        <v>Rupture par extraction-glissement</v>
      </c>
      <c r="G121" s="581" t="str">
        <f>IF(D13="Droite","N/A","")</f>
        <v>N/A</v>
      </c>
      <c r="I121" s="645" t="s">
        <v>1306</v>
      </c>
      <c r="J121" s="435">
        <f>IF(D13="Droite",0,$H$44/F122)</f>
        <v>0</v>
      </c>
      <c r="K121" s="448"/>
    </row>
    <row r="122" spans="1:15" ht="15" customHeight="1" x14ac:dyDescent="0.25">
      <c r="B122" s="447"/>
      <c r="C122" s="638"/>
      <c r="E122" s="288" t="s">
        <v>1371</v>
      </c>
      <c r="F122" s="658">
        <f>F124/H80</f>
        <v>98960.168588078479</v>
      </c>
      <c r="G122" s="521" t="s">
        <v>632</v>
      </c>
      <c r="H122" s="521"/>
      <c r="K122" s="448"/>
    </row>
    <row r="123" spans="1:15" ht="15" customHeight="1" x14ac:dyDescent="0.25">
      <c r="B123" s="447"/>
      <c r="H123" s="521"/>
      <c r="K123" s="448"/>
    </row>
    <row r="124" spans="1:15" ht="18" customHeight="1" x14ac:dyDescent="0.25">
      <c r="B124" s="447"/>
      <c r="C124" s="638"/>
      <c r="E124" s="652" t="s">
        <v>1327</v>
      </c>
      <c r="F124" s="551">
        <f>E125*E126*G7*0.1</f>
        <v>148440.25288211773</v>
      </c>
      <c r="G124" s="521" t="s">
        <v>632</v>
      </c>
      <c r="H124" s="521"/>
      <c r="K124" s="448"/>
      <c r="M124" s="288" t="s">
        <v>1307</v>
      </c>
      <c r="N124" s="377">
        <f>IF($P$10="Connu",P11,7.5)</f>
        <v>7.5</v>
      </c>
      <c r="O124" s="521" t="s">
        <v>1227</v>
      </c>
    </row>
    <row r="125" spans="1:15" ht="15" customHeight="1" x14ac:dyDescent="0.25">
      <c r="B125" s="447"/>
      <c r="C125" s="638"/>
      <c r="D125" s="288" t="s">
        <v>1308</v>
      </c>
      <c r="E125" s="377">
        <f>IF($D$8="Fissuré",N124,N125)</f>
        <v>10.5</v>
      </c>
      <c r="F125" s="521" t="str">
        <f>IF(A39="Fissuré",O124,O125)</f>
        <v>Béton NON fissuré</v>
      </c>
      <c r="H125" s="521"/>
      <c r="K125" s="448"/>
      <c r="M125" s="288" t="s">
        <v>1307</v>
      </c>
      <c r="N125" s="377">
        <f>IF($P$10="Connu",P12,10.5)</f>
        <v>10.5</v>
      </c>
      <c r="O125" s="521" t="s">
        <v>1228</v>
      </c>
    </row>
    <row r="126" spans="1:15" ht="15" customHeight="1" x14ac:dyDescent="0.25">
      <c r="B126" s="447"/>
      <c r="C126" s="638"/>
      <c r="D126" s="288" t="s">
        <v>1309</v>
      </c>
      <c r="E126" s="568">
        <f>0.25*PI()*(D21^2-D14^2)</f>
        <v>4712.3889803846896</v>
      </c>
      <c r="F126" s="521" t="s">
        <v>531</v>
      </c>
      <c r="H126" s="521"/>
      <c r="K126" s="448"/>
    </row>
    <row r="127" spans="1:15" ht="15" customHeight="1" x14ac:dyDescent="0.25">
      <c r="A127" s="668" t="str">
        <f>IF(I128="N/A","N/A","")</f>
        <v/>
      </c>
      <c r="B127" s="447"/>
      <c r="C127" s="638"/>
      <c r="F127" s="288"/>
      <c r="H127" s="521"/>
      <c r="K127" s="448"/>
    </row>
    <row r="128" spans="1:15" ht="15" customHeight="1" x14ac:dyDescent="0.25">
      <c r="B128" s="447"/>
      <c r="C128" s="661" t="str">
        <f>IF(Configuration!Y4="EN","Combined concrete cone and pull-out failure","Rupture combinée du béton et par extraction-glissement")</f>
        <v>Rupture combinée du béton et par extraction-glissement</v>
      </c>
      <c r="F128" s="288"/>
      <c r="H128" s="521"/>
      <c r="I128" s="581" t="str">
        <f>IF(D13="Droite","","N/A")</f>
        <v/>
      </c>
      <c r="J128" s="435">
        <f>IF(D13="Droite",$H$44/G134,0)</f>
        <v>0.51828330941698031</v>
      </c>
      <c r="K128" s="448"/>
    </row>
    <row r="129" spans="2:18" ht="15" customHeight="1" x14ac:dyDescent="0.25">
      <c r="B129" s="447"/>
      <c r="I129" s="645" t="s">
        <v>1209</v>
      </c>
      <c r="K129" s="448"/>
      <c r="M129" s="662" t="s">
        <v>1382</v>
      </c>
    </row>
    <row r="130" spans="2:18" ht="15" customHeight="1" x14ac:dyDescent="0.25">
      <c r="B130" s="447"/>
      <c r="C130" s="288" t="s">
        <v>1270</v>
      </c>
      <c r="D130" s="568">
        <f>$D$16</f>
        <v>230</v>
      </c>
      <c r="E130" s="521" t="s">
        <v>240</v>
      </c>
      <c r="G130" s="288" t="str">
        <f>IF(R144&gt;=3,"h'ef =","hef =")</f>
        <v>hef =</v>
      </c>
      <c r="H130" s="568">
        <f>IF(R144&gt;=3,G168,D130)</f>
        <v>230</v>
      </c>
      <c r="I130" s="521" t="s">
        <v>240</v>
      </c>
      <c r="K130" s="448"/>
    </row>
    <row r="131" spans="2:18" ht="15" customHeight="1" x14ac:dyDescent="0.25">
      <c r="B131" s="447"/>
      <c r="C131" s="288" t="s">
        <v>1332</v>
      </c>
      <c r="D131" s="568">
        <f>F164</f>
        <v>555.95143672806535</v>
      </c>
      <c r="E131" s="521" t="s">
        <v>240</v>
      </c>
      <c r="G131" s="288" t="str">
        <f>IF(R144&gt;=3,"S'cr,Np =","Scr,Np =")</f>
        <v>Scr,Np =</v>
      </c>
      <c r="H131" s="568">
        <f>D131</f>
        <v>555.95143672806535</v>
      </c>
      <c r="I131" s="521" t="s">
        <v>240</v>
      </c>
      <c r="K131" s="448"/>
      <c r="M131" s="640"/>
      <c r="R131" s="521"/>
    </row>
    <row r="132" spans="2:18" ht="15" customHeight="1" x14ac:dyDescent="0.25">
      <c r="B132" s="447"/>
      <c r="C132" s="288" t="s">
        <v>1333</v>
      </c>
      <c r="D132" s="568">
        <f>D131/2</f>
        <v>277.97571836403267</v>
      </c>
      <c r="E132" s="521" t="s">
        <v>240</v>
      </c>
      <c r="G132" s="288" t="str">
        <f>IF(R144&gt;=3,"C'cr,Np =","Ccr,Np =")</f>
        <v>Ccr,Np =</v>
      </c>
      <c r="H132" s="568">
        <f>H131/2</f>
        <v>277.97571836403267</v>
      </c>
      <c r="I132" s="521" t="s">
        <v>240</v>
      </c>
      <c r="K132" s="448"/>
      <c r="M132" s="640"/>
      <c r="R132" s="521"/>
    </row>
    <row r="133" spans="2:18" ht="15" customHeight="1" x14ac:dyDescent="0.25">
      <c r="B133" s="447"/>
      <c r="K133" s="448"/>
    </row>
    <row r="134" spans="2:18" ht="15" customHeight="1" x14ac:dyDescent="0.25">
      <c r="B134" s="447"/>
      <c r="F134" s="288" t="s">
        <v>1371</v>
      </c>
      <c r="G134" s="658">
        <f>G136/H80</f>
        <v>10366.39068846551</v>
      </c>
      <c r="H134" s="521" t="s">
        <v>632</v>
      </c>
      <c r="K134" s="448"/>
    </row>
    <row r="135" spans="2:18" ht="15" customHeight="1" x14ac:dyDescent="0.25">
      <c r="B135" s="447"/>
      <c r="K135" s="448"/>
    </row>
    <row r="136" spans="2:18" ht="15" customHeight="1" x14ac:dyDescent="0.25">
      <c r="B136" s="447"/>
      <c r="C136" s="638"/>
      <c r="F136" s="288" t="s">
        <v>666</v>
      </c>
      <c r="G136" s="551">
        <f>F139*H149*G152*F158*F160</f>
        <v>15549.586032698266</v>
      </c>
      <c r="H136" s="521" t="s">
        <v>632</v>
      </c>
      <c r="K136" s="448"/>
    </row>
    <row r="137" spans="2:18" ht="15" customHeight="1" x14ac:dyDescent="0.25">
      <c r="B137" s="447"/>
      <c r="C137" s="638"/>
      <c r="H137" s="530"/>
      <c r="K137" s="448"/>
      <c r="P137" s="542" t="s">
        <v>1244</v>
      </c>
      <c r="Q137" s="646">
        <f>SUM(Q138:Q140)</f>
        <v>855.95143672806535</v>
      </c>
    </row>
    <row r="138" spans="2:18" ht="15" customHeight="1" x14ac:dyDescent="0.25">
      <c r="B138" s="447"/>
      <c r="C138" s="638"/>
      <c r="H138" s="530"/>
      <c r="K138" s="448"/>
      <c r="P138" s="377" t="s">
        <v>1240</v>
      </c>
      <c r="Q138" s="568">
        <f>IF(J31=0,D132,MIN(D132,$J$31))</f>
        <v>277.97571836403267</v>
      </c>
      <c r="R138" s="377">
        <f>IF($J$31=0,0,IF($J$31&lt;D132,1,0))</f>
        <v>0</v>
      </c>
    </row>
    <row r="139" spans="2:18" ht="15" customHeight="1" x14ac:dyDescent="0.25">
      <c r="B139" s="447"/>
      <c r="C139" s="638"/>
      <c r="E139" s="288" t="s">
        <v>666</v>
      </c>
      <c r="F139" s="551">
        <f>F141*0.1*F143*PI()*D14*D16</f>
        <v>20954.422999443923</v>
      </c>
      <c r="G139" s="521" t="s">
        <v>632</v>
      </c>
      <c r="H139" s="530"/>
      <c r="K139" s="448"/>
      <c r="P139" s="377" t="s">
        <v>1239</v>
      </c>
      <c r="Q139" s="377">
        <f>MIN(($J$37-1)*$J$33,($J$37-1)*F164)</f>
        <v>300</v>
      </c>
    </row>
    <row r="140" spans="2:18" ht="15" customHeight="1" x14ac:dyDescent="0.25">
      <c r="B140" s="447"/>
      <c r="C140" s="638"/>
      <c r="H140" s="530"/>
      <c r="K140" s="448"/>
      <c r="P140" s="377" t="s">
        <v>1238</v>
      </c>
      <c r="Q140" s="568">
        <f>IF(J35=0,D132,MIN(D132,$J$35))</f>
        <v>277.97571836403267</v>
      </c>
      <c r="R140" s="377">
        <f>IF($J$35=0,0,IF($J$35&lt;D132,1,0))</f>
        <v>0</v>
      </c>
    </row>
    <row r="141" spans="2:18" ht="15" customHeight="1" x14ac:dyDescent="0.25">
      <c r="B141" s="447"/>
      <c r="C141" s="638"/>
      <c r="F141" s="377">
        <v>1</v>
      </c>
      <c r="G141" s="443" t="str">
        <f>IF(Configuration!Y4="EN","No sustained load considered","Pas de charge soutenue considérée")</f>
        <v>Pas de charge soutenue considérée</v>
      </c>
      <c r="H141" s="530"/>
      <c r="K141" s="448"/>
    </row>
    <row r="142" spans="2:18" ht="15" customHeight="1" x14ac:dyDescent="0.25">
      <c r="B142" s="447"/>
      <c r="C142" s="638"/>
      <c r="H142" s="530"/>
      <c r="K142" s="448"/>
      <c r="N142" s="377" t="s">
        <v>1235</v>
      </c>
      <c r="O142" s="377" t="s">
        <v>1236</v>
      </c>
      <c r="P142" s="377" t="s">
        <v>1237</v>
      </c>
      <c r="Q142" s="542" t="s">
        <v>1245</v>
      </c>
    </row>
    <row r="143" spans="2:18" ht="15" customHeight="1" x14ac:dyDescent="0.25">
      <c r="B143" s="447"/>
      <c r="C143" s="546" t="s">
        <v>666</v>
      </c>
      <c r="E143" s="288" t="s">
        <v>666</v>
      </c>
      <c r="F143" s="639">
        <f>IF($D$8="Fissuré",F146,F147)</f>
        <v>14.5</v>
      </c>
      <c r="G143" s="521" t="s">
        <v>1184</v>
      </c>
      <c r="H143" s="521" t="str">
        <f>IF(Configuration!Y4="EN","Conservative case","Cas conservateur")</f>
        <v>Cas conservateur</v>
      </c>
      <c r="K143" s="448"/>
      <c r="N143" s="568">
        <f>IF(D40=0,D132,MIN(D132,$D$40))</f>
        <v>140</v>
      </c>
      <c r="O143" s="568">
        <f>MIN(($J$40-1)*$F$40,($J$40-1)*F164)</f>
        <v>100</v>
      </c>
      <c r="P143" s="568">
        <f>IF(H40=0,D132,MIN(D132,$H$40))</f>
        <v>140</v>
      </c>
      <c r="Q143" s="646">
        <f>SUM(N143:P143)</f>
        <v>380</v>
      </c>
    </row>
    <row r="144" spans="2:18" ht="15" customHeight="1" x14ac:dyDescent="0.25">
      <c r="B144" s="447"/>
      <c r="F144" s="568"/>
      <c r="K144" s="448"/>
      <c r="N144" s="377">
        <f>IF($D$40=0,0,IF($D$40&lt;D132,1,0))</f>
        <v>1</v>
      </c>
      <c r="P144" s="377">
        <f>IF($H$40=0,0,IF($H$40&lt;D132,1,0))</f>
        <v>1</v>
      </c>
      <c r="R144" s="377">
        <f>SUM(N144,P144,R140,R138)</f>
        <v>2</v>
      </c>
    </row>
    <row r="145" spans="2:18" ht="15" customHeight="1" x14ac:dyDescent="0.25">
      <c r="B145" s="447"/>
      <c r="E145" s="288" t="s">
        <v>1249</v>
      </c>
      <c r="F145" s="377">
        <f>IF(D8="Fissuré",N151,N152)</f>
        <v>11</v>
      </c>
      <c r="G145" s="521" t="str">
        <f>IF($D$8="Fissuré",IF(Configuration!Y4="EN","Cracked concrete",O151),IF(Configuration!Y4="EN","Uncracked concrete",O152))</f>
        <v>Béton NON fissuré</v>
      </c>
      <c r="K145" s="448"/>
    </row>
    <row r="146" spans="2:18" ht="15" customHeight="1" x14ac:dyDescent="0.25">
      <c r="B146" s="447"/>
      <c r="E146" s="640" t="s">
        <v>666</v>
      </c>
      <c r="F146" s="639">
        <f>IF($Q$10="Connu",Q11,SQRT(D130*G7)*N151/(PI()*D14))</f>
        <v>10.199999999999999</v>
      </c>
      <c r="G146" s="521" t="s">
        <v>1176</v>
      </c>
      <c r="K146" s="448"/>
    </row>
    <row r="147" spans="2:18" ht="15" customHeight="1" x14ac:dyDescent="0.25">
      <c r="B147" s="447"/>
      <c r="E147" s="640" t="s">
        <v>666</v>
      </c>
      <c r="F147" s="639">
        <f>IF($Q$10="Connu",Q12,SQRT(D130*G7)*N152/(PI()*D14))</f>
        <v>14.5</v>
      </c>
      <c r="G147" s="521" t="s">
        <v>1176</v>
      </c>
      <c r="K147" s="448"/>
    </row>
    <row r="148" spans="2:18" ht="15" customHeight="1" x14ac:dyDescent="0.25">
      <c r="B148" s="447"/>
      <c r="C148" s="638"/>
      <c r="H148" s="530"/>
      <c r="K148" s="448"/>
      <c r="M148" s="288" t="s">
        <v>1250</v>
      </c>
      <c r="N148" s="568">
        <f>MIN(O143,Q139)</f>
        <v>100</v>
      </c>
      <c r="R148" s="530"/>
    </row>
    <row r="149" spans="2:18" ht="15" customHeight="1" x14ac:dyDescent="0.25">
      <c r="B149" s="447"/>
      <c r="E149" s="568">
        <f>D131^2</f>
        <v>309082.00000000006</v>
      </c>
      <c r="F149" s="521" t="s">
        <v>531</v>
      </c>
      <c r="G149" s="288" t="s">
        <v>666</v>
      </c>
      <c r="H149" s="433">
        <f>E150/E149</f>
        <v>1.0523470986879364</v>
      </c>
      <c r="K149" s="448"/>
      <c r="M149" s="288" t="s">
        <v>1195</v>
      </c>
      <c r="N149" s="568">
        <f>MIN(N143,P143,Q140,Q138)</f>
        <v>140</v>
      </c>
    </row>
    <row r="150" spans="2:18" ht="15" customHeight="1" x14ac:dyDescent="0.25">
      <c r="B150" s="447"/>
      <c r="D150" s="288" t="s">
        <v>666</v>
      </c>
      <c r="E150" s="568">
        <f>Q137*Q143</f>
        <v>325261.54595666484</v>
      </c>
      <c r="F150" s="521" t="s">
        <v>531</v>
      </c>
      <c r="H150" s="530"/>
      <c r="K150" s="448"/>
    </row>
    <row r="151" spans="2:18" ht="15" customHeight="1" x14ac:dyDescent="0.25">
      <c r="B151" s="447"/>
      <c r="K151" s="448"/>
      <c r="M151" s="288" t="s">
        <v>1248</v>
      </c>
      <c r="N151" s="377">
        <f>IF($R$10="Connu",R11,7.7)</f>
        <v>7.7</v>
      </c>
      <c r="O151" s="521" t="s">
        <v>1227</v>
      </c>
    </row>
    <row r="152" spans="2:18" ht="15" customHeight="1" x14ac:dyDescent="0.25">
      <c r="B152" s="447"/>
      <c r="F152" s="288" t="s">
        <v>666</v>
      </c>
      <c r="G152" s="433">
        <f>IF(G155-SQRT(N148/F164)*(G155-1)&lt;1,1,G155-SQRT(N148/F164)*(G155-1))</f>
        <v>1</v>
      </c>
      <c r="H152" s="647"/>
      <c r="K152" s="448"/>
      <c r="M152" s="288" t="s">
        <v>1248</v>
      </c>
      <c r="N152" s="377">
        <f>IF($R$10="Connu",R12,11)</f>
        <v>11</v>
      </c>
      <c r="O152" s="521" t="s">
        <v>1228</v>
      </c>
    </row>
    <row r="153" spans="2:18" ht="15" customHeight="1" x14ac:dyDescent="0.25">
      <c r="B153" s="447"/>
      <c r="K153" s="448"/>
    </row>
    <row r="154" spans="2:18" ht="15" customHeight="1" x14ac:dyDescent="0.25">
      <c r="B154" s="447"/>
      <c r="K154" s="448"/>
    </row>
    <row r="155" spans="2:18" ht="15" customHeight="1" x14ac:dyDescent="0.25">
      <c r="B155" s="447"/>
      <c r="F155" s="288" t="s">
        <v>666</v>
      </c>
      <c r="G155" s="435">
        <f>IF(SQRT(E17)-(SQRT(E17)-1)*(F143/F143)^1.5&lt;1,1,SQRT(E17)-(SQRT(E17)-1)*(F143/F143)^1.5)</f>
        <v>1</v>
      </c>
      <c r="K155" s="448"/>
    </row>
    <row r="156" spans="2:18" ht="15" customHeight="1" x14ac:dyDescent="0.25">
      <c r="B156" s="447"/>
      <c r="K156" s="448"/>
    </row>
    <row r="157" spans="2:18" ht="15" customHeight="1" x14ac:dyDescent="0.25">
      <c r="B157" s="447"/>
      <c r="K157" s="448"/>
    </row>
    <row r="158" spans="2:18" ht="15" customHeight="1" x14ac:dyDescent="0.25">
      <c r="B158" s="447"/>
      <c r="E158" s="288" t="s">
        <v>666</v>
      </c>
      <c r="F158" s="433">
        <f>IF(0.7+0.3*(N149/D132)&gt;1,1,0.7+0.3*(N149/D132))</f>
        <v>0.85109233370159854</v>
      </c>
      <c r="G158" s="288"/>
      <c r="K158" s="448"/>
    </row>
    <row r="159" spans="2:18" ht="15" customHeight="1" x14ac:dyDescent="0.25">
      <c r="B159" s="447"/>
      <c r="G159" s="288"/>
      <c r="K159" s="448"/>
    </row>
    <row r="160" spans="2:18" ht="15" customHeight="1" x14ac:dyDescent="0.25">
      <c r="B160" s="447"/>
      <c r="E160" s="288" t="s">
        <v>666</v>
      </c>
      <c r="F160" s="433">
        <f>IF(1/(1+2*(F162/F164))&gt;1,1,1/(1+2*(F162/F164)))</f>
        <v>0.82852847384732331</v>
      </c>
      <c r="G160" s="288"/>
      <c r="K160" s="448"/>
    </row>
    <row r="161" spans="1:16" ht="15" customHeight="1" x14ac:dyDescent="0.25">
      <c r="B161" s="447"/>
      <c r="G161" s="288"/>
      <c r="K161" s="448"/>
    </row>
    <row r="162" spans="1:16" ht="15" customHeight="1" x14ac:dyDescent="0.25">
      <c r="B162" s="447"/>
      <c r="E162" s="288" t="s">
        <v>1242</v>
      </c>
      <c r="F162" s="568">
        <f>W101</f>
        <v>57.529610829103206</v>
      </c>
      <c r="G162" s="521" t="s">
        <v>240</v>
      </c>
      <c r="K162" s="448"/>
      <c r="P162" s="521"/>
    </row>
    <row r="163" spans="1:16" ht="15" customHeight="1" x14ac:dyDescent="0.25">
      <c r="B163" s="447"/>
      <c r="K163" s="448"/>
      <c r="P163" s="521"/>
    </row>
    <row r="164" spans="1:16" ht="15" customHeight="1" x14ac:dyDescent="0.25">
      <c r="B164" s="447"/>
      <c r="C164" s="638"/>
      <c r="E164" s="288" t="s">
        <v>666</v>
      </c>
      <c r="F164" s="568">
        <f>IF(7.3*D14*SQRT(F141*F147)&gt;3*D16,3*D16,7.3*D14*SQRT(F141*F147))</f>
        <v>555.95143672806535</v>
      </c>
      <c r="G164" s="521" t="s">
        <v>240</v>
      </c>
      <c r="K164" s="448"/>
      <c r="P164" s="521"/>
    </row>
    <row r="165" spans="1:16" ht="15" customHeight="1" x14ac:dyDescent="0.25">
      <c r="B165" s="447"/>
      <c r="F165" s="568"/>
      <c r="G165" s="521"/>
      <c r="K165" s="448"/>
      <c r="P165" s="521"/>
    </row>
    <row r="166" spans="1:16" ht="15" customHeight="1" x14ac:dyDescent="0.25">
      <c r="B166" s="447"/>
      <c r="C166" s="541" t="str">
        <f>IF(R144&gt;=3,IF(Configuration!Y4="EN","3 or more edge distances are less than Ccr,Np","3 distances au bord (ou plus) sont inférieures à Ccr,Np"),IF(Configuration!Y4="EN","Less than 3 edge distances are less than Ccr,Np. h'ef is not used.","moins de 3 distances au bord sont inférieures à Ccr,Np. h'ef n'est pas utilisé."))</f>
        <v>moins de 3 distances au bord sont inférieures à Ccr,Np. h'ef n'est pas utilisé.</v>
      </c>
      <c r="I166" s="645" t="str">
        <f>IF(R144&gt;=3," (NF EN1992-4 §7.2.1.4 (8) )","")</f>
        <v/>
      </c>
      <c r="K166" s="448"/>
      <c r="P166" s="521"/>
    </row>
    <row r="167" spans="1:16" ht="15" customHeight="1" x14ac:dyDescent="0.25">
      <c r="B167" s="447"/>
      <c r="C167" s="638"/>
      <c r="H167" s="530"/>
      <c r="I167" s="521"/>
      <c r="K167" s="448"/>
      <c r="P167" s="521"/>
    </row>
    <row r="168" spans="1:16" ht="15" customHeight="1" x14ac:dyDescent="0.25">
      <c r="B168" s="447"/>
      <c r="C168" s="638"/>
      <c r="F168" s="288" t="s">
        <v>666</v>
      </c>
      <c r="G168" s="568">
        <f>MAX(D16*MAX(J31,J35,H40,D40)/D132,D16*MAX(F40,J33)/D131)</f>
        <v>115.83745583789222</v>
      </c>
      <c r="H168" s="521" t="s">
        <v>240</v>
      </c>
      <c r="I168" s="521"/>
      <c r="K168" s="448"/>
      <c r="P168" s="521"/>
    </row>
    <row r="169" spans="1:16" ht="15" customHeight="1" x14ac:dyDescent="0.25">
      <c r="B169" s="447"/>
      <c r="C169" s="638"/>
      <c r="H169" s="530"/>
      <c r="I169" s="521"/>
      <c r="K169" s="448"/>
      <c r="P169" s="521"/>
    </row>
    <row r="170" spans="1:16" ht="15" customHeight="1" x14ac:dyDescent="0.25">
      <c r="B170" s="447"/>
      <c r="C170" s="638"/>
      <c r="H170" s="530"/>
      <c r="I170" s="521"/>
      <c r="K170" s="448"/>
      <c r="P170" s="521"/>
    </row>
    <row r="171" spans="1:16" ht="15" customHeight="1" x14ac:dyDescent="0.25">
      <c r="B171" s="447"/>
      <c r="C171" s="638"/>
      <c r="F171" s="288" t="s">
        <v>666</v>
      </c>
      <c r="G171" s="568">
        <f>3*G168</f>
        <v>347.51236751367668</v>
      </c>
      <c r="H171" s="521" t="s">
        <v>240</v>
      </c>
      <c r="I171" s="521"/>
      <c r="K171" s="448"/>
      <c r="P171" s="521"/>
    </row>
    <row r="172" spans="1:16" ht="15" customHeight="1" x14ac:dyDescent="0.25">
      <c r="B172" s="447"/>
      <c r="C172" s="638"/>
      <c r="F172" s="288"/>
      <c r="H172" s="521"/>
      <c r="K172" s="448"/>
      <c r="P172" s="521"/>
    </row>
    <row r="173" spans="1:16" ht="15" customHeight="1" x14ac:dyDescent="0.25">
      <c r="B173" s="447"/>
      <c r="G173" s="288"/>
      <c r="I173" s="521"/>
      <c r="K173" s="448"/>
      <c r="P173" s="521"/>
    </row>
    <row r="174" spans="1:16" ht="15" customHeight="1" x14ac:dyDescent="0.25">
      <c r="A174" s="668" t="str">
        <f>IF(G175="N/A","N/A","")</f>
        <v/>
      </c>
      <c r="B174" s="447"/>
      <c r="G174" s="288"/>
      <c r="I174" s="521"/>
      <c r="K174" s="448"/>
    </row>
    <row r="175" spans="1:16" ht="15" customHeight="1" x14ac:dyDescent="0.25">
      <c r="B175" s="447"/>
      <c r="C175" s="661" t="str">
        <f>IF(Configuration!Y4="EN","Concrete splitting failure","Rupture par fendage du béton")</f>
        <v>Rupture par fendage du béton</v>
      </c>
      <c r="G175" s="581" t="str">
        <f>IF(D32=0,"N/A","")</f>
        <v/>
      </c>
      <c r="I175" s="645" t="s">
        <v>1211</v>
      </c>
      <c r="J175" s="435">
        <f>IF(D32=0,0,H44/G179)</f>
        <v>0.34554492025378197</v>
      </c>
      <c r="K175" s="448"/>
      <c r="M175" s="662" t="s">
        <v>1345</v>
      </c>
      <c r="P175" s="521" t="str">
        <f>IF(D13="Droite","scellement","vérouillage de forme")</f>
        <v>scellement</v>
      </c>
    </row>
    <row r="176" spans="1:16" ht="15" customHeight="1" x14ac:dyDescent="0.25">
      <c r="B176" s="447"/>
      <c r="C176" s="288" t="s">
        <v>1329</v>
      </c>
      <c r="D176" s="377">
        <f>VLOOKUP(P175,M176:O177,3,FALSE)</f>
        <v>85</v>
      </c>
      <c r="E176" s="521" t="s">
        <v>240</v>
      </c>
      <c r="G176" s="288" t="s">
        <v>1330</v>
      </c>
      <c r="H176" s="377">
        <f>3*D177</f>
        <v>690</v>
      </c>
      <c r="I176" s="521" t="s">
        <v>240</v>
      </c>
      <c r="K176" s="448"/>
      <c r="M176" s="359" t="s">
        <v>1312</v>
      </c>
      <c r="N176" s="288" t="s">
        <v>1328</v>
      </c>
      <c r="O176" s="377">
        <f>IF($S$10="Connu",S11,18*D14)</f>
        <v>85</v>
      </c>
      <c r="P176" s="521" t="s">
        <v>240</v>
      </c>
    </row>
    <row r="177" spans="2:23" ht="15" customHeight="1" x14ac:dyDescent="0.25">
      <c r="B177" s="447"/>
      <c r="C177" s="288" t="s">
        <v>1270</v>
      </c>
      <c r="D177" s="568">
        <f>$D$16</f>
        <v>230</v>
      </c>
      <c r="E177" s="521" t="s">
        <v>240</v>
      </c>
      <c r="G177" s="288" t="s">
        <v>1331</v>
      </c>
      <c r="H177" s="377">
        <f>0.5*H176</f>
        <v>345</v>
      </c>
      <c r="I177" s="521" t="s">
        <v>240</v>
      </c>
      <c r="K177" s="448"/>
      <c r="M177" s="359" t="s">
        <v>1313</v>
      </c>
      <c r="N177" s="288" t="s">
        <v>1328</v>
      </c>
      <c r="O177" s="377">
        <f>IF($S$10="Connu",S11,IF(D14&lt;=12,MAX(100,D16+30),D16+2*D14))</f>
        <v>85</v>
      </c>
      <c r="P177" s="521" t="s">
        <v>240</v>
      </c>
      <c r="T177" s="441" t="s">
        <v>1336</v>
      </c>
    </row>
    <row r="178" spans="2:23" ht="15" customHeight="1" x14ac:dyDescent="0.25">
      <c r="B178" s="447"/>
      <c r="C178" s="288"/>
      <c r="D178" s="568"/>
      <c r="E178" s="521"/>
      <c r="G178" s="288"/>
      <c r="I178" s="521"/>
      <c r="K178" s="448"/>
      <c r="M178" s="359"/>
      <c r="N178" s="288"/>
      <c r="P178" s="521"/>
      <c r="T178" s="521" t="s">
        <v>1314</v>
      </c>
      <c r="U178" s="288" t="s">
        <v>1251</v>
      </c>
      <c r="V178" s="377">
        <v>2</v>
      </c>
      <c r="W178" s="521" t="s">
        <v>1252</v>
      </c>
    </row>
    <row r="179" spans="2:23" ht="15" customHeight="1" x14ac:dyDescent="0.25">
      <c r="B179" s="447"/>
      <c r="C179" s="288"/>
      <c r="D179" s="568"/>
      <c r="E179" s="521"/>
      <c r="F179" s="288" t="s">
        <v>1372</v>
      </c>
      <c r="G179" s="658">
        <f>G181/H78</f>
        <v>15548.563899539682</v>
      </c>
      <c r="H179" s="521" t="s">
        <v>632</v>
      </c>
      <c r="I179" s="521"/>
      <c r="K179" s="448"/>
      <c r="M179" s="359"/>
      <c r="N179" s="288"/>
      <c r="P179" s="521"/>
      <c r="T179" s="521" t="s">
        <v>1315</v>
      </c>
      <c r="U179" s="288" t="s">
        <v>1251</v>
      </c>
      <c r="V179" s="377">
        <v>1.5</v>
      </c>
      <c r="W179" s="521" t="s">
        <v>1253</v>
      </c>
    </row>
    <row r="180" spans="2:23" ht="15" customHeight="1" x14ac:dyDescent="0.25">
      <c r="B180" s="447"/>
      <c r="K180" s="448"/>
      <c r="T180" s="359" t="s">
        <v>1312</v>
      </c>
      <c r="U180" s="288" t="s">
        <v>1251</v>
      </c>
      <c r="V180" s="377">
        <v>1</v>
      </c>
      <c r="W180" s="521" t="s">
        <v>1254</v>
      </c>
    </row>
    <row r="181" spans="2:23" ht="15" customHeight="1" x14ac:dyDescent="0.25">
      <c r="B181" s="447"/>
      <c r="F181" s="288" t="s">
        <v>666</v>
      </c>
      <c r="G181" s="551">
        <f>G183*H185*F188*F190*F192*F197</f>
        <v>23322.845849309524</v>
      </c>
      <c r="H181" s="521" t="s">
        <v>632</v>
      </c>
      <c r="I181" s="521"/>
      <c r="K181" s="448"/>
      <c r="T181" s="359" t="s">
        <v>1313</v>
      </c>
      <c r="U181" s="288" t="s">
        <v>1251</v>
      </c>
      <c r="V181" s="377">
        <v>0.5</v>
      </c>
      <c r="W181" s="521" t="s">
        <v>1255</v>
      </c>
    </row>
    <row r="182" spans="2:23" ht="15" customHeight="1" x14ac:dyDescent="0.25">
      <c r="B182" s="447"/>
      <c r="G182" s="288"/>
      <c r="I182" s="521"/>
      <c r="K182" s="448"/>
      <c r="W182" s="521"/>
    </row>
    <row r="183" spans="2:23" ht="15" customHeight="1" x14ac:dyDescent="0.25">
      <c r="B183" s="447"/>
      <c r="F183" s="288" t="s">
        <v>666</v>
      </c>
      <c r="G183" s="551">
        <f>MIN(IF(P175="scellement",F139,F124),E99)</f>
        <v>20954.422999443923</v>
      </c>
      <c r="H183" s="521" t="s">
        <v>632</v>
      </c>
      <c r="I183" s="521"/>
      <c r="K183" s="448"/>
      <c r="U183" s="288" t="s">
        <v>1316</v>
      </c>
      <c r="V183" s="377">
        <f>VLOOKUP(P175,T178:W181,3,FALSE)</f>
        <v>0.5</v>
      </c>
      <c r="W183" s="521" t="str">
        <f>VLOOKUP(P175,T178:W181,4,FALSE)</f>
        <v>chevilles à scellement, boulons à tête</v>
      </c>
    </row>
    <row r="184" spans="2:23" ht="15" customHeight="1" x14ac:dyDescent="0.25">
      <c r="B184" s="447"/>
      <c r="C184" s="638"/>
      <c r="H184" s="530"/>
      <c r="I184" s="521"/>
      <c r="K184" s="448"/>
      <c r="P184" s="542" t="s">
        <v>1335</v>
      </c>
      <c r="Q184" s="646">
        <f>SUM(Q185:Q187)</f>
        <v>990</v>
      </c>
    </row>
    <row r="185" spans="2:23" ht="15" customHeight="1" x14ac:dyDescent="0.25">
      <c r="B185" s="447"/>
      <c r="D185" s="288" t="s">
        <v>1233</v>
      </c>
      <c r="E185" s="377">
        <f>H176*H176</f>
        <v>476100</v>
      </c>
      <c r="F185" s="521" t="s">
        <v>531</v>
      </c>
      <c r="G185" s="288" t="s">
        <v>666</v>
      </c>
      <c r="H185" s="433">
        <f>E186/E185</f>
        <v>0.79017013232514177</v>
      </c>
      <c r="I185" s="521"/>
      <c r="K185" s="448"/>
      <c r="P185" s="377" t="s">
        <v>1240</v>
      </c>
      <c r="Q185" s="568">
        <f>IF($J$31=0,H177,MIN(H177,$J$31))</f>
        <v>345</v>
      </c>
      <c r="R185" s="377">
        <f>IF($J$31=0,0,IF($J$31&lt;H177,1,0))</f>
        <v>0</v>
      </c>
    </row>
    <row r="186" spans="2:23" ht="15" customHeight="1" x14ac:dyDescent="0.25">
      <c r="B186" s="447"/>
      <c r="C186" s="638"/>
      <c r="D186" s="288" t="s">
        <v>1234</v>
      </c>
      <c r="E186" s="377">
        <f>Q190*Q184</f>
        <v>376200</v>
      </c>
      <c r="F186" s="521" t="s">
        <v>531</v>
      </c>
      <c r="H186" s="530"/>
      <c r="I186" s="521"/>
      <c r="K186" s="448"/>
      <c r="P186" s="377" t="s">
        <v>1239</v>
      </c>
      <c r="Q186" s="377">
        <f>MIN(($J$37-1)*$J$33,($J$37-1)*H176)</f>
        <v>300</v>
      </c>
    </row>
    <row r="187" spans="2:23" ht="15" customHeight="1" x14ac:dyDescent="0.25">
      <c r="B187" s="447"/>
      <c r="C187" s="638"/>
      <c r="I187" s="521"/>
      <c r="K187" s="448"/>
      <c r="P187" s="377" t="s">
        <v>1238</v>
      </c>
      <c r="Q187" s="568">
        <f>IF($J$35=0,H177,MIN(H177,$J$35))</f>
        <v>345</v>
      </c>
      <c r="R187" s="377">
        <f>IF($J$35=0,0,IF($J$35&lt;H177,1,0))</f>
        <v>0</v>
      </c>
    </row>
    <row r="188" spans="2:23" ht="15" customHeight="1" x14ac:dyDescent="0.25">
      <c r="B188" s="447"/>
      <c r="C188" s="638"/>
      <c r="E188" s="288" t="s">
        <v>666</v>
      </c>
      <c r="F188" s="433">
        <f>IF(0.7+0.3*(N193/H177)&gt;1,1,0.7+0.3*(N193/H177))</f>
        <v>0.82173913043478253</v>
      </c>
      <c r="H188" s="530"/>
      <c r="I188" s="521"/>
      <c r="K188" s="448"/>
    </row>
    <row r="189" spans="2:23" ht="15" customHeight="1" x14ac:dyDescent="0.25">
      <c r="B189" s="447"/>
      <c r="C189" s="638"/>
      <c r="H189" s="530"/>
      <c r="I189" s="521"/>
      <c r="K189" s="448"/>
      <c r="N189" s="377" t="s">
        <v>1235</v>
      </c>
      <c r="O189" s="377" t="s">
        <v>1236</v>
      </c>
      <c r="P189" s="377" t="s">
        <v>1237</v>
      </c>
      <c r="Q189" s="542" t="s">
        <v>1334</v>
      </c>
    </row>
    <row r="190" spans="2:23" ht="15" customHeight="1" x14ac:dyDescent="0.25">
      <c r="B190" s="447"/>
      <c r="C190" s="638"/>
      <c r="E190" s="288" t="s">
        <v>666</v>
      </c>
      <c r="F190" s="433">
        <f>IF(D177&lt;100,0.5+(D177/200),1)</f>
        <v>1</v>
      </c>
      <c r="H190" s="530"/>
      <c r="I190" s="521"/>
      <c r="K190" s="448"/>
      <c r="N190" s="568">
        <f>IF($D$40=0,H177,MIN(H177,$D$40))</f>
        <v>140</v>
      </c>
      <c r="O190" s="568">
        <f>MIN(($J$40-1)*$F$40,($J$40-1)*H176)</f>
        <v>100</v>
      </c>
      <c r="P190" s="568">
        <f>IF($H$40=0,H177,MIN(H177,$H$40))</f>
        <v>140</v>
      </c>
      <c r="Q190" s="646">
        <f>SUM(N190:P190)</f>
        <v>380</v>
      </c>
    </row>
    <row r="191" spans="2:23" ht="15" customHeight="1" x14ac:dyDescent="0.25">
      <c r="B191" s="447"/>
      <c r="C191" s="638"/>
      <c r="H191" s="530"/>
      <c r="I191" s="521"/>
      <c r="K191" s="448"/>
      <c r="N191" s="377">
        <f>IF($D$40=0,0,IF($D$40&lt;H177,1,0))</f>
        <v>1</v>
      </c>
      <c r="P191" s="377">
        <f>IF($H$40=0,0,IF($H$40&lt;H176,1,0))</f>
        <v>1</v>
      </c>
      <c r="R191" s="377">
        <f>SUM(N191,P191,R187,R185)</f>
        <v>2</v>
      </c>
    </row>
    <row r="192" spans="2:23" ht="15" customHeight="1" x14ac:dyDescent="0.25">
      <c r="B192" s="447"/>
      <c r="C192" s="638"/>
      <c r="E192" s="288" t="s">
        <v>666</v>
      </c>
      <c r="F192" s="433">
        <f>1/(1+2*(F194/H176))</f>
        <v>0.85707980411526097</v>
      </c>
      <c r="H192" s="530"/>
      <c r="I192" s="521"/>
      <c r="K192" s="448"/>
      <c r="P192" s="521"/>
    </row>
    <row r="193" spans="1:17" ht="15" customHeight="1" x14ac:dyDescent="0.25">
      <c r="B193" s="447"/>
      <c r="C193" s="638"/>
      <c r="H193" s="530"/>
      <c r="I193" s="521"/>
      <c r="K193" s="448"/>
      <c r="M193" s="288" t="s">
        <v>1195</v>
      </c>
      <c r="N193" s="377">
        <f>MIN(N190,P190,Q187,Q185)</f>
        <v>140</v>
      </c>
      <c r="P193" s="521"/>
    </row>
    <row r="194" spans="1:17" ht="15" customHeight="1" x14ac:dyDescent="0.25">
      <c r="B194" s="447"/>
      <c r="C194" s="638"/>
      <c r="E194" s="288" t="s">
        <v>1242</v>
      </c>
      <c r="F194" s="568">
        <f>$W$101</f>
        <v>57.529610829103206</v>
      </c>
      <c r="G194" s="521" t="s">
        <v>240</v>
      </c>
      <c r="H194" s="530"/>
      <c r="I194" s="521"/>
      <c r="K194" s="448"/>
    </row>
    <row r="195" spans="1:17" ht="15" customHeight="1" x14ac:dyDescent="0.25">
      <c r="B195" s="447"/>
      <c r="C195" s="638"/>
      <c r="F195" s="433"/>
      <c r="H195" s="530"/>
      <c r="I195" s="521"/>
      <c r="K195" s="448"/>
    </row>
    <row r="196" spans="1:17" ht="15" customHeight="1" x14ac:dyDescent="0.25">
      <c r="B196" s="447"/>
      <c r="F196" s="288"/>
      <c r="G196" s="288"/>
      <c r="I196" s="521"/>
      <c r="K196" s="448"/>
    </row>
    <row r="197" spans="1:17" ht="15" customHeight="1" x14ac:dyDescent="0.25">
      <c r="B197" s="447"/>
      <c r="E197" s="288" t="s">
        <v>666</v>
      </c>
      <c r="F197" s="433">
        <f>IF((D32/D176)^(2/3)&gt;=IF(MAX(1,(D16+1.5*(MIN(N190,P190)))^(2/3))&gt;=2,2,MAX(1,(D16+1.5*(MIN(N190,P190)))^(2/3))),IF(MAX(1,(D16+1.5*(MIN(N190,P190)))^(2/3))&gt;=2,2,MAX(1,(D16+1.5*(MIN(N190,P190)))^(2/3))),(D32/D176)^(2/3))</f>
        <v>2</v>
      </c>
      <c r="I197" s="521"/>
      <c r="K197" s="448"/>
    </row>
    <row r="198" spans="1:17" ht="15" customHeight="1" x14ac:dyDescent="0.25">
      <c r="B198" s="447"/>
      <c r="F198" s="288"/>
      <c r="K198" s="448"/>
    </row>
    <row r="199" spans="1:17" ht="15" customHeight="1" x14ac:dyDescent="0.25">
      <c r="B199" s="447"/>
      <c r="K199" s="448"/>
    </row>
    <row r="200" spans="1:17" ht="15" customHeight="1" x14ac:dyDescent="0.25">
      <c r="A200" s="668" t="str">
        <f>IF(G201="N/A","N/A","")</f>
        <v>N/A</v>
      </c>
      <c r="B200" s="447"/>
      <c r="G200" s="288"/>
      <c r="K200" s="448"/>
    </row>
    <row r="201" spans="1:17" ht="15" customHeight="1" x14ac:dyDescent="0.25">
      <c r="B201" s="447"/>
      <c r="C201" s="661" t="str">
        <f>IF(Configuration!Y4="EN","Concrete blow-out failure","Rupture par éclatement du béton")</f>
        <v>Rupture par éclatement du béton</v>
      </c>
      <c r="G201" s="581" t="str">
        <f>IF(D13="Droite","N/A","")</f>
        <v>N/A</v>
      </c>
      <c r="I201" s="645" t="s">
        <v>1213</v>
      </c>
      <c r="J201" s="435">
        <f>IF(D13="Droite",0,$H$44/G206)</f>
        <v>0</v>
      </c>
      <c r="K201" s="448"/>
    </row>
    <row r="202" spans="1:17" ht="15" customHeight="1" x14ac:dyDescent="0.25">
      <c r="B202" s="447"/>
      <c r="C202" s="288" t="s">
        <v>1301</v>
      </c>
      <c r="D202" s="377">
        <f>$D$16</f>
        <v>230</v>
      </c>
      <c r="E202" s="521" t="s">
        <v>240</v>
      </c>
      <c r="G202" s="288" t="s">
        <v>1274</v>
      </c>
      <c r="H202" s="377">
        <f>MIN(Q212,4*D203)</f>
        <v>300</v>
      </c>
      <c r="I202" s="521" t="s">
        <v>240</v>
      </c>
      <c r="K202" s="448"/>
      <c r="M202" s="288" t="s">
        <v>1319</v>
      </c>
      <c r="N202" s="377">
        <f>IF($T$10="Connu",T11,8.7)</f>
        <v>8.6999999999999993</v>
      </c>
      <c r="O202" s="521" t="s">
        <v>1227</v>
      </c>
    </row>
    <row r="203" spans="1:17" ht="15" customHeight="1" x14ac:dyDescent="0.25">
      <c r="B203" s="447"/>
      <c r="C203" s="288" t="s">
        <v>1337</v>
      </c>
      <c r="D203" s="377">
        <f>MIN(N216,P216)</f>
        <v>345</v>
      </c>
      <c r="E203" s="521" t="s">
        <v>240</v>
      </c>
      <c r="G203" s="288" t="s">
        <v>760</v>
      </c>
      <c r="H203" s="576">
        <f>J37</f>
        <v>3</v>
      </c>
      <c r="K203" s="448"/>
      <c r="M203" s="288" t="s">
        <v>1319</v>
      </c>
      <c r="N203" s="377">
        <f>IF($T$10="Connu",T12,12.2)</f>
        <v>12.2</v>
      </c>
      <c r="O203" s="521" t="s">
        <v>1228</v>
      </c>
    </row>
    <row r="204" spans="1:17" ht="15" customHeight="1" x14ac:dyDescent="0.25">
      <c r="B204" s="447"/>
      <c r="C204" s="288" t="s">
        <v>1338</v>
      </c>
      <c r="D204" s="377">
        <f>MIN(Q213,Q211)</f>
        <v>345</v>
      </c>
      <c r="E204" s="521" t="s">
        <v>240</v>
      </c>
      <c r="K204" s="448"/>
    </row>
    <row r="205" spans="1:17" ht="15" customHeight="1" x14ac:dyDescent="0.25">
      <c r="B205" s="447"/>
      <c r="C205" s="288"/>
      <c r="E205" s="521"/>
      <c r="K205" s="448"/>
    </row>
    <row r="206" spans="1:17" ht="15" customHeight="1" x14ac:dyDescent="0.25">
      <c r="B206" s="447"/>
      <c r="C206" s="288"/>
      <c r="E206" s="521"/>
      <c r="F206" s="288" t="s">
        <v>1373</v>
      </c>
      <c r="G206" s="658">
        <f>G208/H75</f>
        <v>23071.583994118115</v>
      </c>
      <c r="H206" s="521" t="s">
        <v>632</v>
      </c>
      <c r="K206" s="448"/>
    </row>
    <row r="207" spans="1:17" ht="15" customHeight="1" x14ac:dyDescent="0.25">
      <c r="B207" s="447"/>
      <c r="K207" s="448"/>
      <c r="O207" s="288" t="s">
        <v>1232</v>
      </c>
      <c r="P207" s="377">
        <f>3*$D$16</f>
        <v>690</v>
      </c>
      <c r="Q207" s="521" t="s">
        <v>240</v>
      </c>
    </row>
    <row r="208" spans="1:17" ht="15" customHeight="1" x14ac:dyDescent="0.25">
      <c r="B208" s="447"/>
      <c r="F208" s="288" t="s">
        <v>666</v>
      </c>
      <c r="G208" s="551">
        <f>G211*H216*F219*F221*F224</f>
        <v>34607.37599117717</v>
      </c>
      <c r="H208" s="521" t="s">
        <v>632</v>
      </c>
      <c r="K208" s="448"/>
      <c r="O208" s="288" t="s">
        <v>1231</v>
      </c>
      <c r="P208" s="377">
        <f>P207/2</f>
        <v>345</v>
      </c>
      <c r="Q208" s="521" t="s">
        <v>240</v>
      </c>
    </row>
    <row r="209" spans="2:19" ht="15" customHeight="1" x14ac:dyDescent="0.25">
      <c r="B209" s="447"/>
      <c r="K209" s="448"/>
    </row>
    <row r="210" spans="2:19" ht="15" customHeight="1" x14ac:dyDescent="0.25">
      <c r="B210" s="447"/>
      <c r="F210" s="288"/>
      <c r="K210" s="448"/>
      <c r="P210" s="542" t="s">
        <v>1246</v>
      </c>
      <c r="Q210" s="542">
        <f>SUM(Q211:Q213)</f>
        <v>990</v>
      </c>
    </row>
    <row r="211" spans="2:19" ht="15" customHeight="1" x14ac:dyDescent="0.25">
      <c r="B211" s="447"/>
      <c r="F211" s="288" t="s">
        <v>666</v>
      </c>
      <c r="G211" s="551">
        <f>0.1*E214*MIN(N143,P143)*SQRT(E213)*SQRT(G7)</f>
        <v>64219.816396046226</v>
      </c>
      <c r="H211" s="521" t="s">
        <v>632</v>
      </c>
      <c r="K211" s="448"/>
      <c r="P211" s="377" t="s">
        <v>1240</v>
      </c>
      <c r="Q211" s="377">
        <f>IF(J142=0,P208,MIN(P208,$J$31))</f>
        <v>345</v>
      </c>
    </row>
    <row r="212" spans="2:19" ht="15" customHeight="1" x14ac:dyDescent="0.25">
      <c r="B212" s="447"/>
      <c r="K212" s="448"/>
      <c r="P212" s="377" t="s">
        <v>1239</v>
      </c>
      <c r="Q212" s="377">
        <f>MIN(($J$37-1)*$J$33,($J$37-1)*P207)</f>
        <v>300</v>
      </c>
    </row>
    <row r="213" spans="2:19" ht="15" customHeight="1" x14ac:dyDescent="0.25">
      <c r="B213" s="447"/>
      <c r="D213" s="288" t="s">
        <v>1309</v>
      </c>
      <c r="E213" s="568">
        <f>E126</f>
        <v>4712.3889803846896</v>
      </c>
      <c r="F213" s="521" t="s">
        <v>531</v>
      </c>
      <c r="K213" s="448"/>
      <c r="P213" s="377" t="s">
        <v>1238</v>
      </c>
      <c r="Q213" s="377">
        <f>IF(J146=0,P208,MIN(P208,$J$35))</f>
        <v>345</v>
      </c>
    </row>
    <row r="214" spans="2:19" ht="15" customHeight="1" x14ac:dyDescent="0.25">
      <c r="B214" s="447"/>
      <c r="D214" s="288" t="s">
        <v>1320</v>
      </c>
      <c r="E214" s="377">
        <f>IF(D59="Fissuré",N202,N203)</f>
        <v>12.2</v>
      </c>
      <c r="F214" s="521" t="str">
        <f>IF($D$8="Fissuré",O202,O203)</f>
        <v>Béton NON fissuré</v>
      </c>
      <c r="K214" s="448"/>
    </row>
    <row r="215" spans="2:19" ht="15" customHeight="1" x14ac:dyDescent="0.25">
      <c r="B215" s="447"/>
      <c r="H215" s="530"/>
      <c r="K215" s="448"/>
      <c r="N215" s="377" t="s">
        <v>1235</v>
      </c>
      <c r="O215" s="377" t="s">
        <v>1236</v>
      </c>
      <c r="P215" s="377" t="s">
        <v>1237</v>
      </c>
      <c r="Q215" s="542" t="s">
        <v>1247</v>
      </c>
    </row>
    <row r="216" spans="2:19" ht="15" customHeight="1" x14ac:dyDescent="0.25">
      <c r="B216" s="447"/>
      <c r="D216" s="288" t="s">
        <v>1339</v>
      </c>
      <c r="E216" s="377">
        <f>(4*D203)^2</f>
        <v>1904400</v>
      </c>
      <c r="F216" s="521" t="s">
        <v>531</v>
      </c>
      <c r="G216" s="288" t="s">
        <v>666</v>
      </c>
      <c r="H216" s="433">
        <f>E217/E216</f>
        <v>0.43667296786389415</v>
      </c>
      <c r="K216" s="448"/>
      <c r="N216" s="377">
        <f>IF(D155=0,P208,MIN(P208,$D$40))</f>
        <v>345</v>
      </c>
      <c r="O216" s="377">
        <f>MIN(($J$40-1)*$F$40,($J$40-1)*P207)</f>
        <v>100</v>
      </c>
      <c r="P216" s="377">
        <f>IF(H155=0,P208,MIN(P208,$H$40))</f>
        <v>345</v>
      </c>
      <c r="Q216" s="542">
        <f>SUM(N216:P216)</f>
        <v>790</v>
      </c>
    </row>
    <row r="217" spans="2:19" ht="15" customHeight="1" x14ac:dyDescent="0.25">
      <c r="B217" s="447"/>
      <c r="D217" s="288" t="s">
        <v>1340</v>
      </c>
      <c r="E217" s="377">
        <f>N221*R221</f>
        <v>831600</v>
      </c>
      <c r="F217" s="521" t="s">
        <v>531</v>
      </c>
      <c r="H217" s="530"/>
      <c r="K217" s="448"/>
    </row>
    <row r="218" spans="2:19" ht="15" customHeight="1" x14ac:dyDescent="0.25">
      <c r="B218" s="447"/>
      <c r="K218" s="448"/>
    </row>
    <row r="219" spans="2:19" ht="15" customHeight="1" x14ac:dyDescent="0.25">
      <c r="B219" s="447"/>
      <c r="E219" s="288" t="s">
        <v>666</v>
      </c>
      <c r="F219" s="581">
        <f>IF(0.7+0.3*(D204/(2*D203))&gt;1,1,0.7+0.3*(D204/(2*D203)))</f>
        <v>0.85</v>
      </c>
      <c r="K219" s="448"/>
      <c r="M219" s="288" t="s">
        <v>679</v>
      </c>
      <c r="N219" s="377">
        <f>IF($D$32=0,2*D203,IF($D$32-$D$16&gt;2*D203,2*D203,$D$32-$D$16))</f>
        <v>150</v>
      </c>
      <c r="O219" s="521" t="s">
        <v>240</v>
      </c>
      <c r="Q219" s="665" t="s">
        <v>1343</v>
      </c>
      <c r="R219" s="377">
        <f>MIN(N220,D204)</f>
        <v>345</v>
      </c>
      <c r="S219" s="521" t="s">
        <v>240</v>
      </c>
    </row>
    <row r="220" spans="2:19" ht="15" customHeight="1" x14ac:dyDescent="0.25">
      <c r="B220" s="447"/>
      <c r="K220" s="448"/>
      <c r="M220" s="288" t="s">
        <v>1341</v>
      </c>
      <c r="N220" s="377">
        <f>2*D203</f>
        <v>690</v>
      </c>
      <c r="O220" s="521" t="s">
        <v>240</v>
      </c>
      <c r="R220" s="521"/>
    </row>
    <row r="221" spans="2:19" ht="15" customHeight="1" x14ac:dyDescent="0.25">
      <c r="B221" s="447"/>
      <c r="E221" s="288" t="s">
        <v>666</v>
      </c>
      <c r="F221" s="433">
        <f>IF(SQRT(H203)+(1-SQRT(H203))*(H202/(4*D203))&lt;1,1,SQRT(H203)+(1-SQRT(H203))*(H202/(4*D203)))</f>
        <v>1.5729093276625996</v>
      </c>
      <c r="K221" s="448"/>
      <c r="M221" s="288" t="s">
        <v>1342</v>
      </c>
      <c r="N221" s="542">
        <f>SUM(N219:N220)</f>
        <v>840</v>
      </c>
      <c r="O221" s="521" t="s">
        <v>240</v>
      </c>
      <c r="Q221" s="666" t="s">
        <v>1344</v>
      </c>
      <c r="R221" s="542">
        <f>R219+Q212+D203</f>
        <v>990</v>
      </c>
      <c r="S221" s="521" t="s">
        <v>240</v>
      </c>
    </row>
    <row r="222" spans="2:19" ht="15" customHeight="1" x14ac:dyDescent="0.25">
      <c r="B222" s="447"/>
      <c r="K222" s="448"/>
    </row>
    <row r="223" spans="2:19" ht="15" customHeight="1" x14ac:dyDescent="0.25">
      <c r="B223" s="447"/>
      <c r="K223" s="448"/>
    </row>
    <row r="224" spans="2:19" ht="15" customHeight="1" x14ac:dyDescent="0.25">
      <c r="B224" s="447"/>
      <c r="E224" s="288" t="s">
        <v>666</v>
      </c>
      <c r="F224" s="433">
        <f>1/(1+2*(F226/(4*D203)))</f>
        <v>0.92304035854138833</v>
      </c>
      <c r="K224" s="448"/>
    </row>
    <row r="225" spans="1:13" ht="15" customHeight="1" x14ac:dyDescent="0.25">
      <c r="B225" s="447"/>
      <c r="K225" s="448"/>
    </row>
    <row r="226" spans="1:13" ht="15" customHeight="1" x14ac:dyDescent="0.25">
      <c r="B226" s="447"/>
      <c r="E226" s="288" t="s">
        <v>1242</v>
      </c>
      <c r="F226" s="568">
        <f>$W$101</f>
        <v>57.529610829103206</v>
      </c>
      <c r="G226" s="521" t="s">
        <v>240</v>
      </c>
      <c r="K226" s="448"/>
    </row>
    <row r="227" spans="1:13" ht="15" customHeight="1" x14ac:dyDescent="0.25">
      <c r="B227" s="447"/>
      <c r="K227" s="448"/>
    </row>
    <row r="228" spans="1:13" ht="15" customHeight="1" x14ac:dyDescent="0.25">
      <c r="B228" s="447"/>
      <c r="K228" s="448"/>
    </row>
    <row r="229" spans="1:13" ht="15" customHeight="1" x14ac:dyDescent="0.25">
      <c r="B229" s="447"/>
      <c r="C229" s="660" t="str">
        <f>IF(Configuration!Y4="EN","Checks for anchors loaded in shear","Vérifications pour les tiges sollicitées en cisaillement")</f>
        <v>Vérifications pour les tiges sollicitées en cisaillement</v>
      </c>
      <c r="K229" s="448"/>
    </row>
    <row r="230" spans="1:13" ht="15" customHeight="1" x14ac:dyDescent="0.25">
      <c r="B230" s="447"/>
      <c r="C230" s="661" t="str">
        <f>IF(Configuration!Y4="EN","Fastener steel failure","Rupture de l'acier de la fixation")</f>
        <v>Rupture de l'acier de la fixation</v>
      </c>
      <c r="I230" s="645" t="s">
        <v>1215</v>
      </c>
      <c r="J230" s="435">
        <f>$D$44/(E17*E231)</f>
        <v>0.22587159863945577</v>
      </c>
      <c r="K230" s="448"/>
    </row>
    <row r="231" spans="1:13" ht="15" customHeight="1" x14ac:dyDescent="0.25">
      <c r="B231" s="447"/>
      <c r="D231" s="288" t="s">
        <v>1374</v>
      </c>
      <c r="E231" s="667">
        <f>E233/H69</f>
        <v>6272</v>
      </c>
      <c r="F231" s="521" t="s">
        <v>632</v>
      </c>
      <c r="G231" s="521" t="s">
        <v>1356</v>
      </c>
      <c r="K231" s="448"/>
    </row>
    <row r="232" spans="1:13" ht="15" customHeight="1" x14ac:dyDescent="0.25">
      <c r="B232" s="447"/>
      <c r="K232" s="448"/>
    </row>
    <row r="233" spans="1:13" ht="15" customHeight="1" x14ac:dyDescent="0.25">
      <c r="B233" s="447"/>
      <c r="D233" s="288" t="s">
        <v>1351</v>
      </c>
      <c r="E233" s="581">
        <f>E234*E235</f>
        <v>7840</v>
      </c>
      <c r="F233" s="521" t="s">
        <v>632</v>
      </c>
      <c r="K233" s="448"/>
    </row>
    <row r="234" spans="1:13" ht="15" customHeight="1" x14ac:dyDescent="0.25">
      <c r="B234" s="447"/>
      <c r="D234" s="288" t="s">
        <v>1348</v>
      </c>
      <c r="E234" s="377">
        <v>0.8</v>
      </c>
      <c r="K234" s="448"/>
    </row>
    <row r="235" spans="1:13" ht="15" customHeight="1" x14ac:dyDescent="0.25">
      <c r="B235" s="447"/>
      <c r="D235" s="288" t="s">
        <v>1349</v>
      </c>
      <c r="E235" s="581">
        <f>E236*F14*I15</f>
        <v>9800</v>
      </c>
      <c r="F235" s="521" t="s">
        <v>632</v>
      </c>
      <c r="K235" s="448"/>
    </row>
    <row r="236" spans="1:13" ht="15" customHeight="1" x14ac:dyDescent="0.25">
      <c r="B236" s="447"/>
      <c r="D236" s="288" t="s">
        <v>1350</v>
      </c>
      <c r="E236" s="377">
        <f>IF(I15&lt;=50,0.6,0.5)</f>
        <v>0.5</v>
      </c>
      <c r="K236" s="448"/>
    </row>
    <row r="237" spans="1:13" ht="15" customHeight="1" x14ac:dyDescent="0.25">
      <c r="B237" s="447"/>
      <c r="D237" s="288"/>
      <c r="K237" s="448"/>
    </row>
    <row r="238" spans="1:13" ht="15" customHeight="1" x14ac:dyDescent="0.25">
      <c r="A238" s="668" t="str">
        <f>IF(C240="N/A","N/A","")</f>
        <v>N/A</v>
      </c>
      <c r="B238" s="447"/>
      <c r="K238" s="448"/>
    </row>
    <row r="239" spans="1:13" ht="15" customHeight="1" x14ac:dyDescent="0.25">
      <c r="B239" s="447"/>
      <c r="C239" s="661" t="str">
        <f>IF(Configuration!Y4="EN","Fastener steel failure with lever arm","Rupture de l'acier de la fixation avec bras de levier")</f>
        <v>Rupture de l'acier de la fixation avec bras de levier</v>
      </c>
      <c r="I239" s="645" t="s">
        <v>1318</v>
      </c>
      <c r="J239" s="435">
        <f>IF(I25=0,0,$D$44/($J$37*$J$40*F240))</f>
        <v>0</v>
      </c>
      <c r="K239" s="448"/>
    </row>
    <row r="240" spans="1:13" ht="15" customHeight="1" x14ac:dyDescent="0.25">
      <c r="B240" s="447"/>
      <c r="C240" s="581" t="str">
        <f>IF($I$25=0,"N/A","")</f>
        <v>N/A</v>
      </c>
      <c r="E240" s="288" t="s">
        <v>1375</v>
      </c>
      <c r="F240" s="658" t="e">
        <f>F242/H69</f>
        <v>#DIV/0!</v>
      </c>
      <c r="G240" s="521" t="s">
        <v>632</v>
      </c>
      <c r="H240" s="521" t="s">
        <v>1356</v>
      </c>
      <c r="I240" s="645"/>
      <c r="J240" s="435"/>
      <c r="K240" s="448"/>
      <c r="M240" s="662"/>
    </row>
    <row r="241" spans="2:15" ht="15" customHeight="1" x14ac:dyDescent="0.25">
      <c r="B241" s="447"/>
      <c r="K241" s="448"/>
    </row>
    <row r="242" spans="2:15" ht="15" customHeight="1" x14ac:dyDescent="0.25">
      <c r="B242" s="447"/>
      <c r="E242" s="288" t="s">
        <v>666</v>
      </c>
      <c r="F242" s="551" t="e">
        <f>I248*F245/(0.001*I247)</f>
        <v>#DIV/0!</v>
      </c>
      <c r="G242" s="521" t="s">
        <v>632</v>
      </c>
      <c r="K242" s="448"/>
    </row>
    <row r="243" spans="2:15" ht="15" customHeight="1" x14ac:dyDescent="0.25">
      <c r="B243" s="447"/>
      <c r="K243" s="448"/>
    </row>
    <row r="244" spans="2:15" ht="15" customHeight="1" x14ac:dyDescent="0.25">
      <c r="B244" s="447"/>
      <c r="K244" s="448"/>
    </row>
    <row r="245" spans="2:15" ht="15" customHeight="1" x14ac:dyDescent="0.25">
      <c r="B245" s="447"/>
      <c r="E245" s="288" t="s">
        <v>1353</v>
      </c>
      <c r="F245" s="527">
        <f>F247*(1-F248/F249)</f>
        <v>78.049611763897474</v>
      </c>
      <c r="G245" s="521" t="s">
        <v>629</v>
      </c>
      <c r="K245" s="448"/>
    </row>
    <row r="246" spans="2:15" ht="15" customHeight="1" x14ac:dyDescent="0.25">
      <c r="B246" s="447"/>
      <c r="K246" s="448"/>
    </row>
    <row r="247" spans="2:15" ht="15" customHeight="1" x14ac:dyDescent="0.25">
      <c r="B247" s="447"/>
      <c r="E247" s="288" t="s">
        <v>1354</v>
      </c>
      <c r="F247" s="639">
        <f>F15*(0.1*D14)^3/6</f>
        <v>85.333333333333329</v>
      </c>
      <c r="G247" s="521" t="s">
        <v>629</v>
      </c>
      <c r="H247" s="288" t="s">
        <v>1346</v>
      </c>
      <c r="I247" s="557">
        <f>I25</f>
        <v>0</v>
      </c>
      <c r="K247" s="448"/>
    </row>
    <row r="248" spans="2:15" ht="15" customHeight="1" x14ac:dyDescent="0.35">
      <c r="B248" s="447"/>
      <c r="E248" s="288" t="s">
        <v>676</v>
      </c>
      <c r="F248" s="568">
        <f>D43/(J37*J40)+MAX(I51:I60)/J40</f>
        <v>1204.5454545454545</v>
      </c>
      <c r="G248" s="521" t="s">
        <v>632</v>
      </c>
      <c r="H248" s="360" t="s">
        <v>1347</v>
      </c>
      <c r="I248" s="639">
        <f>I26</f>
        <v>2</v>
      </c>
      <c r="K248" s="448"/>
    </row>
    <row r="249" spans="2:15" ht="15" customHeight="1" x14ac:dyDescent="0.25">
      <c r="B249" s="447"/>
      <c r="E249" s="288" t="s">
        <v>1355</v>
      </c>
      <c r="F249" s="568">
        <f>0.9*F14*I15/H69</f>
        <v>14112</v>
      </c>
      <c r="G249" s="521" t="s">
        <v>632</v>
      </c>
      <c r="K249" s="448"/>
    </row>
    <row r="250" spans="2:15" ht="15" customHeight="1" x14ac:dyDescent="0.25">
      <c r="B250" s="447"/>
      <c r="K250" s="448"/>
    </row>
    <row r="251" spans="2:15" ht="15" customHeight="1" x14ac:dyDescent="0.25">
      <c r="B251" s="447"/>
      <c r="K251" s="448"/>
    </row>
    <row r="252" spans="2:15" ht="15" customHeight="1" x14ac:dyDescent="0.25">
      <c r="B252" s="447"/>
      <c r="C252" s="661" t="str">
        <f>IF(Configuration!Y4="EN","Concrete pry-out failure","Rupture du béton par effet de levier")</f>
        <v>Rupture du béton par effet de levier</v>
      </c>
      <c r="I252" s="645" t="s">
        <v>1217</v>
      </c>
      <c r="J252" s="435">
        <f>$D$44/G253</f>
        <v>0.55309465431697613</v>
      </c>
      <c r="K252" s="448"/>
    </row>
    <row r="253" spans="2:15" ht="15" customHeight="1" x14ac:dyDescent="0.25">
      <c r="B253" s="447"/>
      <c r="F253" s="288" t="s">
        <v>1376</v>
      </c>
      <c r="G253" s="658">
        <f>G255/H75</f>
        <v>15368.074765605466</v>
      </c>
      <c r="H253" s="521" t="s">
        <v>632</v>
      </c>
      <c r="K253" s="448"/>
    </row>
    <row r="254" spans="2:15" ht="15" customHeight="1" x14ac:dyDescent="0.25">
      <c r="B254" s="447"/>
      <c r="K254" s="448"/>
      <c r="N254" s="662" t="s">
        <v>1345</v>
      </c>
    </row>
    <row r="255" spans="2:15" ht="15" customHeight="1" x14ac:dyDescent="0.25">
      <c r="B255" s="447"/>
      <c r="F255" s="288" t="str">
        <f>"VRk,cp = "&amp;IF(D13="Droite","k8 * min{NRk,c ; NRk,p} =","k8 * NRk,p =")</f>
        <v>VRk,cp = k8 * min{NRk,c ; NRk,p} =</v>
      </c>
      <c r="G255" s="551">
        <f>IF(D13="Droite",G256*MIN(G96,G136),G256*G96)</f>
        <v>23052.1121484082</v>
      </c>
      <c r="H255" s="521" t="s">
        <v>632</v>
      </c>
      <c r="K255" s="448"/>
      <c r="M255" s="288" t="s">
        <v>1323</v>
      </c>
      <c r="N255" s="435">
        <f>IF($U$10="Connu",U11,1.4)</f>
        <v>1.4</v>
      </c>
      <c r="O255" s="521" t="s">
        <v>1227</v>
      </c>
    </row>
    <row r="256" spans="2:15" ht="15" customHeight="1" x14ac:dyDescent="0.25">
      <c r="B256" s="447"/>
      <c r="F256" s="288" t="s">
        <v>1321</v>
      </c>
      <c r="G256" s="639">
        <f>IF(D83="Fissuré",N255,N256)</f>
        <v>2</v>
      </c>
      <c r="H256" s="521" t="str">
        <f>IF($D$8="Fissuré",O255,O256)</f>
        <v>Béton NON fissuré</v>
      </c>
      <c r="K256" s="448"/>
      <c r="M256" s="288" t="s">
        <v>1323</v>
      </c>
      <c r="N256" s="435">
        <f>IF($U$10="Connu",U12,2)</f>
        <v>2</v>
      </c>
      <c r="O256" s="521" t="s">
        <v>1228</v>
      </c>
    </row>
    <row r="257" spans="1:15" ht="15" customHeight="1" x14ac:dyDescent="0.25">
      <c r="B257" s="447"/>
      <c r="K257" s="448"/>
    </row>
    <row r="258" spans="1:15" ht="15" customHeight="1" x14ac:dyDescent="0.25">
      <c r="A258" s="668" t="str">
        <f>IF(G259="N/A","N/A","")</f>
        <v>N/A</v>
      </c>
      <c r="B258" s="447"/>
      <c r="K258" s="448"/>
    </row>
    <row r="259" spans="1:15" ht="15" customHeight="1" x14ac:dyDescent="0.25">
      <c r="B259" s="447"/>
      <c r="C259" s="661" t="str">
        <f>IF(Configuration!Y4="EN","Concrete edge failure","Rupture du bord du béton")</f>
        <v>Rupture du bord du béton</v>
      </c>
      <c r="G259" s="581" t="str">
        <f>IF($J$35=0,"N/A","")</f>
        <v>N/A</v>
      </c>
      <c r="I259" s="645" t="s">
        <v>1219</v>
      </c>
      <c r="J259" s="435">
        <f>IF($J$35=0,0,G262/H264)</f>
        <v>0</v>
      </c>
      <c r="K259" s="448"/>
    </row>
    <row r="260" spans="1:15" ht="15" customHeight="1" x14ac:dyDescent="0.25">
      <c r="B260" s="447"/>
      <c r="C260" s="288" t="s">
        <v>1361</v>
      </c>
      <c r="D260" s="377">
        <f>IF(J35=0,MAX(2*10*D16,2*60*D14),J35)</f>
        <v>4600</v>
      </c>
      <c r="E260" s="521" t="str">
        <f>"mm             "&amp;IF(D260&lt;=H260,"≤","&gt;")</f>
        <v>mm             &gt;</v>
      </c>
      <c r="G260" s="288" t="str">
        <f>IF(M260="Sans Levier","min{10hef ; 60d} =","max{10hef ; 60d} =")</f>
        <v>min{10hef ; 60d} =</v>
      </c>
      <c r="H260" s="377">
        <f>IF(M260="Sans Levier",MIN(10*D16,60*D14),MAX(10*D16,60*D14))</f>
        <v>1200</v>
      </c>
      <c r="I260" s="521" t="s">
        <v>240</v>
      </c>
      <c r="J260" s="377" t="str">
        <f>IF(M260="Sans Levier",IF(D260&lt;=H260,"OK !!","NON OK !!!"),IF(D260&gt;H260,"OK !!","NON OK !!!"))</f>
        <v>NON OK !!!</v>
      </c>
      <c r="K260" s="448"/>
      <c r="M260" s="377" t="str">
        <f>IF($I$25=0,"Sans Levier","Avec Levier")</f>
        <v>Sans Levier</v>
      </c>
    </row>
    <row r="261" spans="1:15" ht="15" customHeight="1" x14ac:dyDescent="0.25">
      <c r="B261" s="447"/>
      <c r="C261" s="288" t="s">
        <v>1358</v>
      </c>
      <c r="D261" s="377">
        <f>F27</f>
        <v>20</v>
      </c>
      <c r="E261" s="521" t="s">
        <v>240</v>
      </c>
      <c r="F261" s="576" t="str">
        <f>IF(D261&lt;H261,"&lt;","&gt;")</f>
        <v>&lt;</v>
      </c>
      <c r="G261" s="288" t="s">
        <v>1359</v>
      </c>
      <c r="H261" s="568">
        <f>0.25*D16</f>
        <v>57.5</v>
      </c>
      <c r="I261" s="521" t="s">
        <v>240</v>
      </c>
      <c r="J261" s="377" t="str">
        <f>IF(AND(J260="OK !!",D261&lt;H261),"OK !!","NON OK !!!")</f>
        <v>NON OK !!!</v>
      </c>
      <c r="K261" s="448"/>
    </row>
    <row r="262" spans="1:15" ht="15" customHeight="1" x14ac:dyDescent="0.25">
      <c r="B262" s="447"/>
      <c r="C262" s="288" t="s">
        <v>1338</v>
      </c>
      <c r="D262" s="377">
        <f>MIN(M277,O277)</f>
        <v>6900</v>
      </c>
      <c r="E262" s="521" t="s">
        <v>240</v>
      </c>
      <c r="F262" s="288" t="s">
        <v>1360</v>
      </c>
      <c r="G262" s="568">
        <f>D44/J37</f>
        <v>2833.3333333333335</v>
      </c>
      <c r="H262" s="521" t="s">
        <v>632</v>
      </c>
      <c r="K262" s="448"/>
    </row>
    <row r="263" spans="1:15" ht="15" customHeight="1" x14ac:dyDescent="0.25">
      <c r="B263" s="447"/>
      <c r="C263" s="288"/>
      <c r="E263" s="521"/>
      <c r="F263" s="288"/>
      <c r="G263" s="568"/>
      <c r="H263" s="521"/>
      <c r="K263" s="448"/>
    </row>
    <row r="264" spans="1:15" ht="15" customHeight="1" x14ac:dyDescent="0.25">
      <c r="B264" s="447"/>
      <c r="C264" s="288"/>
      <c r="E264" s="521"/>
      <c r="F264" s="288"/>
      <c r="G264" s="288" t="s">
        <v>1377</v>
      </c>
      <c r="H264" s="658">
        <f>H266/H75</f>
        <v>83005.517864760681</v>
      </c>
      <c r="I264" s="521" t="s">
        <v>632</v>
      </c>
      <c r="K264" s="448"/>
    </row>
    <row r="265" spans="1:15" ht="15" customHeight="1" x14ac:dyDescent="0.25">
      <c r="B265" s="447"/>
      <c r="K265" s="448"/>
    </row>
    <row r="266" spans="1:15" ht="15" customHeight="1" x14ac:dyDescent="0.25">
      <c r="B266" s="447"/>
      <c r="G266" s="288" t="s">
        <v>666</v>
      </c>
      <c r="H266" s="551">
        <f>G268*H278*G281*G284*G286*G290*G292</f>
        <v>124508.27679714102</v>
      </c>
      <c r="I266" s="521" t="s">
        <v>632</v>
      </c>
      <c r="K266" s="448"/>
    </row>
    <row r="267" spans="1:15" ht="15" customHeight="1" x14ac:dyDescent="0.25">
      <c r="B267" s="447"/>
      <c r="K267" s="448"/>
    </row>
    <row r="268" spans="1:15" ht="15" customHeight="1" x14ac:dyDescent="0.25">
      <c r="B268" s="447"/>
      <c r="F268" s="288" t="s">
        <v>666</v>
      </c>
      <c r="G268" s="551">
        <f>0.1*F270*(D14^G272)*(D16^G275)*SQRT(G7)*(D260^1.5)</f>
        <v>526738.73413266661</v>
      </c>
      <c r="H268" s="521" t="s">
        <v>632</v>
      </c>
      <c r="K268" s="448"/>
    </row>
    <row r="269" spans="1:15" ht="15" customHeight="1" x14ac:dyDescent="0.25">
      <c r="B269" s="447"/>
      <c r="K269" s="448"/>
      <c r="M269" s="288" t="s">
        <v>1324</v>
      </c>
      <c r="N269" s="377">
        <f>IF($V$10="Connu",V11,1.7)</f>
        <v>1.7</v>
      </c>
      <c r="O269" s="521" t="s">
        <v>1227</v>
      </c>
    </row>
    <row r="270" spans="1:15" ht="15" customHeight="1" x14ac:dyDescent="0.25">
      <c r="B270" s="447"/>
      <c r="E270" s="288" t="s">
        <v>1322</v>
      </c>
      <c r="F270" s="377">
        <f>IF(D88="Fissuré",N269,N270)</f>
        <v>2.4</v>
      </c>
      <c r="G270" s="521" t="str">
        <f>IF($D$8="Fissuré",O269,O270)</f>
        <v>Béton NON fissuré</v>
      </c>
      <c r="K270" s="448"/>
      <c r="M270" s="288" t="s">
        <v>1324</v>
      </c>
      <c r="N270" s="377">
        <f>IF($V$10="Connu",V12,2.4)</f>
        <v>2.4</v>
      </c>
      <c r="O270" s="521" t="s">
        <v>1228</v>
      </c>
    </row>
    <row r="271" spans="1:15" ht="15" customHeight="1" x14ac:dyDescent="0.25">
      <c r="B271" s="447"/>
      <c r="K271" s="448"/>
    </row>
    <row r="272" spans="1:15" ht="15" customHeight="1" x14ac:dyDescent="0.25">
      <c r="B272" s="447"/>
      <c r="F272" s="288" t="s">
        <v>666</v>
      </c>
      <c r="G272" s="435">
        <f>0.1*(D16/D260)^0.5</f>
        <v>2.2360679774997897E-2</v>
      </c>
      <c r="K272" s="448"/>
    </row>
    <row r="273" spans="2:17" ht="15" customHeight="1" x14ac:dyDescent="0.25">
      <c r="B273" s="447"/>
      <c r="K273" s="448"/>
    </row>
    <row r="274" spans="2:17" ht="15" customHeight="1" x14ac:dyDescent="0.25">
      <c r="B274" s="447"/>
      <c r="K274" s="448"/>
    </row>
    <row r="275" spans="2:17" ht="15" customHeight="1" x14ac:dyDescent="0.25">
      <c r="B275" s="447"/>
      <c r="F275" s="288" t="s">
        <v>666</v>
      </c>
      <c r="G275" s="435">
        <f>0.1*(D14/D260)^0.2</f>
        <v>3.3701903660446474E-2</v>
      </c>
      <c r="K275" s="448"/>
    </row>
    <row r="276" spans="2:17" ht="15" customHeight="1" x14ac:dyDescent="0.25">
      <c r="B276" s="447"/>
      <c r="K276" s="448"/>
      <c r="M276" s="377" t="s">
        <v>1235</v>
      </c>
      <c r="N276" s="377" t="s">
        <v>1236</v>
      </c>
      <c r="O276" s="377" t="s">
        <v>1237</v>
      </c>
      <c r="P276" s="542" t="s">
        <v>1247</v>
      </c>
      <c r="Q276" s="542" t="s">
        <v>211</v>
      </c>
    </row>
    <row r="277" spans="2:17" ht="15" customHeight="1" x14ac:dyDescent="0.25">
      <c r="B277" s="447"/>
      <c r="K277" s="448"/>
      <c r="M277" s="377">
        <f>IF(D212=0,1.5*D260,MIN(1.5*D260,$D$40))</f>
        <v>6900</v>
      </c>
      <c r="N277" s="377">
        <f>MIN(($J$40-1)*$F$40,($J$40-1)*3*D260)</f>
        <v>100</v>
      </c>
      <c r="O277" s="377">
        <f>IF(H212=0,1.5*D260,MIN(1.5*D260,$H$40))</f>
        <v>6900</v>
      </c>
      <c r="P277" s="542">
        <f>SUM(M277:O277)</f>
        <v>13900</v>
      </c>
      <c r="Q277" s="542">
        <f>IF(D32=0,1.5*D260,MIN(D32,1.5*D260))</f>
        <v>380</v>
      </c>
    </row>
    <row r="278" spans="2:17" ht="15" customHeight="1" x14ac:dyDescent="0.25">
      <c r="B278" s="447"/>
      <c r="D278" s="288" t="s">
        <v>666</v>
      </c>
      <c r="E278" s="377">
        <f>4.5*D260^2</f>
        <v>95220000</v>
      </c>
      <c r="F278" s="521" t="s">
        <v>531</v>
      </c>
      <c r="G278" s="288" t="s">
        <v>666</v>
      </c>
      <c r="H278" s="433">
        <f>E279/E278</f>
        <v>5.547153959252258E-2</v>
      </c>
      <c r="K278" s="448"/>
    </row>
    <row r="279" spans="2:17" ht="15" customHeight="1" x14ac:dyDescent="0.25">
      <c r="B279" s="447"/>
      <c r="D279" s="288" t="s">
        <v>666</v>
      </c>
      <c r="E279" s="377">
        <f>P277*Q277</f>
        <v>5282000</v>
      </c>
      <c r="F279" s="521" t="s">
        <v>531</v>
      </c>
      <c r="K279" s="448"/>
    </row>
    <row r="280" spans="2:17" ht="15" customHeight="1" x14ac:dyDescent="0.25">
      <c r="B280" s="447"/>
      <c r="K280" s="448"/>
    </row>
    <row r="281" spans="2:17" ht="15" customHeight="1" x14ac:dyDescent="0.25">
      <c r="B281" s="447"/>
      <c r="F281" s="288" t="s">
        <v>666</v>
      </c>
      <c r="G281" s="433">
        <f>IF(0.7+0.3*D262/(1.5*D260)&gt;1,1,0.7+0.3*D262/(1.5*D260))</f>
        <v>1</v>
      </c>
      <c r="K281" s="448"/>
    </row>
    <row r="282" spans="2:17" ht="15" customHeight="1" x14ac:dyDescent="0.25">
      <c r="B282" s="447"/>
      <c r="K282" s="448"/>
    </row>
    <row r="283" spans="2:17" ht="15" customHeight="1" x14ac:dyDescent="0.25">
      <c r="B283" s="447"/>
      <c r="K283" s="448"/>
    </row>
    <row r="284" spans="2:17" ht="15" customHeight="1" x14ac:dyDescent="0.25">
      <c r="B284" s="447"/>
      <c r="E284" s="288"/>
      <c r="F284" s="288" t="s">
        <v>666</v>
      </c>
      <c r="G284" s="433">
        <f>IF((1.5*D260/Q277)^0.5&lt;1,1,(1.5*D260/Q277)^0.5)</f>
        <v>4.2612081311339516</v>
      </c>
      <c r="K284" s="448"/>
    </row>
    <row r="285" spans="2:17" ht="15" customHeight="1" x14ac:dyDescent="0.25">
      <c r="B285" s="447"/>
      <c r="E285" s="288"/>
      <c r="F285" s="288"/>
      <c r="G285" s="521"/>
      <c r="K285" s="448"/>
    </row>
    <row r="286" spans="2:17" ht="15" customHeight="1" x14ac:dyDescent="0.25">
      <c r="B286" s="447"/>
      <c r="E286" s="288"/>
      <c r="F286" s="288" t="s">
        <v>666</v>
      </c>
      <c r="G286" s="433">
        <f>IF(1/(1+2*G288/(3*D260))&gt;1,1,1/(1+2*G288/(3*D260)))</f>
        <v>1</v>
      </c>
      <c r="K286" s="448"/>
    </row>
    <row r="287" spans="2:17" ht="15" customHeight="1" x14ac:dyDescent="0.25">
      <c r="B287" s="447"/>
      <c r="E287" s="288"/>
      <c r="F287" s="288"/>
      <c r="G287" s="521"/>
      <c r="K287" s="448"/>
    </row>
    <row r="288" spans="2:17" ht="15" customHeight="1" x14ac:dyDescent="0.25">
      <c r="B288" s="447"/>
      <c r="E288" s="288"/>
      <c r="F288" s="288" t="s">
        <v>1364</v>
      </c>
      <c r="G288" s="377">
        <v>0</v>
      </c>
      <c r="H288" s="521" t="str">
        <f>IF(Configuration!Y4="EN","The load is considered centred","La charge est considérée centrée")</f>
        <v>La charge est considérée centrée</v>
      </c>
      <c r="K288" s="448"/>
    </row>
    <row r="289" spans="2:15" ht="15" customHeight="1" x14ac:dyDescent="0.25">
      <c r="B289" s="447"/>
      <c r="E289" s="288"/>
      <c r="G289" s="521"/>
      <c r="K289" s="448"/>
    </row>
    <row r="290" spans="2:15" ht="15" customHeight="1" x14ac:dyDescent="0.25">
      <c r="B290" s="447"/>
      <c r="E290" s="288"/>
      <c r="F290" s="288" t="s">
        <v>666</v>
      </c>
      <c r="G290" s="527">
        <v>1</v>
      </c>
      <c r="H290" s="521" t="str">
        <f>IF(Configuration!Y4="EN","Vertical load only","Charge verticale uniquement")</f>
        <v>Charge verticale uniquement</v>
      </c>
      <c r="K290" s="448"/>
    </row>
    <row r="291" spans="2:15" ht="15" customHeight="1" x14ac:dyDescent="0.25">
      <c r="B291" s="447"/>
      <c r="E291" s="288"/>
      <c r="G291" s="521"/>
      <c r="K291" s="448"/>
      <c r="N291" s="639">
        <v>1</v>
      </c>
      <c r="O291" s="521" t="s">
        <v>1362</v>
      </c>
    </row>
    <row r="292" spans="2:15" ht="15" customHeight="1" x14ac:dyDescent="0.25">
      <c r="B292" s="447"/>
      <c r="E292" s="288"/>
      <c r="F292" s="288"/>
      <c r="G292" s="527">
        <v>1</v>
      </c>
      <c r="K292" s="448"/>
      <c r="N292" s="639">
        <v>1.4</v>
      </c>
      <c r="O292" s="521" t="s">
        <v>1363</v>
      </c>
    </row>
    <row r="293" spans="2:15" ht="15" customHeight="1" x14ac:dyDescent="0.25">
      <c r="B293" s="447"/>
      <c r="K293" s="448"/>
    </row>
    <row r="294" spans="2:15" ht="15" customHeight="1" x14ac:dyDescent="0.25">
      <c r="B294" s="447"/>
      <c r="K294" s="448"/>
    </row>
    <row r="295" spans="2:15" ht="15" customHeight="1" x14ac:dyDescent="0.25">
      <c r="B295" s="447"/>
      <c r="C295" s="660" t="str">
        <f>IF(Configuration!Y4="EN","Checks for anchors loaded in shear and tension","Vérifications pour les tiges sollicitées en cisaillement et traction")</f>
        <v>Vérifications pour les tiges sollicitées en cisaillement et traction</v>
      </c>
      <c r="K295" s="448"/>
    </row>
    <row r="296" spans="2:15" ht="15" customHeight="1" x14ac:dyDescent="0.25">
      <c r="B296" s="447"/>
      <c r="C296" s="661" t="str">
        <f>IF(Configuration!Y4="EN","Fastener steel failure","Rupture de l'acier de la fixation")</f>
        <v>Rupture de l'acier de la fixation</v>
      </c>
      <c r="I296" s="645" t="s">
        <v>1223</v>
      </c>
      <c r="J296" s="435">
        <f>F298</f>
        <v>5.951597975433813E-2</v>
      </c>
      <c r="K296" s="448"/>
    </row>
    <row r="297" spans="2:15" ht="15" customHeight="1" x14ac:dyDescent="0.25">
      <c r="B297" s="447"/>
      <c r="K297" s="448"/>
    </row>
    <row r="298" spans="2:15" ht="15" customHeight="1" x14ac:dyDescent="0.25">
      <c r="B298" s="447"/>
      <c r="E298" s="288" t="s">
        <v>666</v>
      </c>
      <c r="F298" s="435">
        <f>MAX(J83)^2+MAX(J230,J239)^2</f>
        <v>5.951597975433813E-2</v>
      </c>
      <c r="K298" s="448"/>
    </row>
    <row r="299" spans="2:15" ht="15" customHeight="1" x14ac:dyDescent="0.25">
      <c r="B299" s="447"/>
      <c r="K299" s="448"/>
    </row>
    <row r="300" spans="2:15" ht="15" customHeight="1" x14ac:dyDescent="0.25">
      <c r="B300" s="447"/>
      <c r="K300" s="448"/>
    </row>
    <row r="301" spans="2:15" ht="15" customHeight="1" x14ac:dyDescent="0.25">
      <c r="B301" s="447"/>
      <c r="C301" s="661" t="str">
        <f>IF(Configuration!Y4="EN","Concrete failure modes","Modes de rupture du béton")</f>
        <v>Modes de rupture du béton</v>
      </c>
      <c r="I301" s="645" t="s">
        <v>1224</v>
      </c>
      <c r="J301" s="435">
        <f>F303</f>
        <v>0.99600454359272594</v>
      </c>
      <c r="K301" s="448"/>
    </row>
    <row r="302" spans="2:15" ht="15" customHeight="1" x14ac:dyDescent="0.25">
      <c r="B302" s="447"/>
      <c r="K302" s="448"/>
    </row>
    <row r="303" spans="2:15" ht="15" customHeight="1" x14ac:dyDescent="0.25">
      <c r="B303" s="447"/>
      <c r="E303" s="288" t="s">
        <v>666</v>
      </c>
      <c r="F303" s="435">
        <f>MAX(J201,J175,J128,J121,J89)^1.5+MAX(J239,J252,J259)^1.5</f>
        <v>0.99600454359272594</v>
      </c>
      <c r="K303" s="448"/>
    </row>
    <row r="304" spans="2:15" ht="15" customHeight="1" x14ac:dyDescent="0.25">
      <c r="B304" s="447"/>
      <c r="K304" s="448"/>
    </row>
    <row r="305" spans="2:11" ht="15" customHeight="1" x14ac:dyDescent="0.25">
      <c r="B305" s="449"/>
      <c r="C305" s="378"/>
      <c r="D305" s="378"/>
      <c r="E305" s="378"/>
      <c r="F305" s="378"/>
      <c r="G305" s="378"/>
      <c r="H305" s="378"/>
      <c r="I305" s="378"/>
      <c r="J305" s="378"/>
      <c r="K305" s="450"/>
    </row>
  </sheetData>
  <sheetProtection algorithmName="SHA-512" hashValue="o9s2pnKAmU9rY5rnrEOi46C62VXVee/6d9iVrjLeCiG2AFSPcFkWsc6tkSIz81TVvWF/dlVmM1UiJVvNe3WFsQ==" saltValue="cTqmIijKveNl8bm+89Zplg==" spinCount="100000" sheet="1" objects="1" scenarios="1"/>
  <mergeCells count="3">
    <mergeCell ref="C31:D31"/>
    <mergeCell ref="E65:F65"/>
    <mergeCell ref="C79:F80"/>
  </mergeCells>
  <conditionalFormatting sqref="C21:H21 C22:D22 F22:H22">
    <cfRule type="expression" dxfId="22" priority="25">
      <formula>$D$13="Droite"</formula>
    </cfRule>
  </conditionalFormatting>
  <conditionalFormatting sqref="C261:J261">
    <cfRule type="expression" dxfId="21" priority="1">
      <formula>$M$260="Avec Levier"</formula>
    </cfRule>
  </conditionalFormatting>
  <conditionalFormatting sqref="J3">
    <cfRule type="cellIs" dxfId="20" priority="5" operator="lessThanOrEqual">
      <formula>1</formula>
    </cfRule>
    <cfRule type="cellIs" dxfId="19" priority="6" operator="greaterThan">
      <formula>1</formula>
    </cfRule>
  </conditionalFormatting>
  <conditionalFormatting sqref="J83 J89 J121 J128 J175 J201 J230 J239:J240 J252 J259 J296 J301">
    <cfRule type="cellIs" dxfId="18" priority="7" operator="greaterThan">
      <formula>1</formula>
    </cfRule>
    <cfRule type="cellIs" dxfId="17" priority="9" operator="lessThanOrEqual">
      <formula>1</formula>
    </cfRule>
  </conditionalFormatting>
  <conditionalFormatting sqref="N25:N30 N32:N35 N37:N38">
    <cfRule type="cellIs" dxfId="16" priority="2" operator="greaterThan">
      <formula>1</formula>
    </cfRule>
    <cfRule type="cellIs" dxfId="15" priority="3" operator="lessThanOrEqual">
      <formula>1</formula>
    </cfRule>
  </conditionalFormatting>
  <dataValidations count="6">
    <dataValidation type="list" allowBlank="1" showInputMessage="1" showErrorMessage="1" sqref="D8" xr:uid="{17904C57-F856-4FFC-B807-E0B00A8BD772}">
      <formula1>"Fissuré,NON fissuré"</formula1>
    </dataValidation>
    <dataValidation type="list" allowBlank="1" showInputMessage="1" showErrorMessage="1" sqref="J40" xr:uid="{41144763-38E3-4C33-84FB-5627057187E3}">
      <formula1>"1,2,4"</formula1>
    </dataValidation>
    <dataValidation type="list" allowBlank="1" showInputMessage="1" showErrorMessage="1" sqref="J18 H9:H10 F25" xr:uid="{B2499663-1FA3-4285-BFE1-BDB24F6C39CB}">
      <formula1>"OUI,NON"</formula1>
    </dataValidation>
    <dataValidation type="list" allowBlank="1" showInputMessage="1" showErrorMessage="1" sqref="D13" xr:uid="{A905B220-1CBC-46E3-95D2-91AD3B632EF6}">
      <formula1>"Droite,Plaquette"</formula1>
    </dataValidation>
    <dataValidation type="list" allowBlank="1" showInputMessage="1" showErrorMessage="1" sqref="E65" xr:uid="{F4367767-660C-46F4-991C-0F2D62553CED}">
      <formula1>"permante et transitoire,accidentelle,sismique"</formula1>
    </dataValidation>
    <dataValidation type="list" allowBlank="1" showInputMessage="1" showErrorMessage="1" sqref="O10:V10" xr:uid="{102B405F-232D-44DF-9CD6-EF79016C5557}">
      <formula1>"Connu,Non Connu"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scale="97" orientation="portrait" horizontalDpi="4294967293" r:id="rId1"/>
  <rowBreaks count="6" manualBreakCount="6">
    <brk id="41" min="1" max="10" man="1"/>
    <brk id="81" min="1" max="10" man="1"/>
    <brk id="120" min="1" max="10" man="1"/>
    <brk id="174" min="1" max="10" man="1"/>
    <brk id="228" min="1" max="10" man="1"/>
    <brk id="258" min="1" max="10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BE27163-1146-45E7-AF62-7B457230E177}">
          <x14:formula1>
            <xm:f>Data!$K$3:$K$20</xm:f>
          </x14:formula1>
          <xm:sqref>D14</xm:sqref>
        </x14:dataValidation>
        <x14:dataValidation type="list" allowBlank="1" showInputMessage="1" showErrorMessage="1" xr:uid="{B6BA313B-5DB4-49F1-9648-EA59892EFE00}">
          <x14:formula1>
            <xm:f>Data!$A$3:$A$33</xm:f>
          </x14:formula1>
          <xm:sqref>D22</xm:sqref>
        </x14:dataValidation>
        <x14:dataValidation type="list" allowBlank="1" showInputMessage="1" showErrorMessage="1" xr:uid="{1D13E44C-B58C-42F9-92A7-CF399856699C}">
          <x14:formula1>
            <xm:f>Data!$A$40:$A$128</xm:f>
          </x14:formula1>
          <xm:sqref>D7</xm:sqref>
        </x14:dataValidation>
        <x14:dataValidation type="list" allowBlank="1" showInputMessage="1" showErrorMessage="1" xr:uid="{AFB65852-11F1-435D-B575-DB0562A3B448}">
          <x14:formula1>
            <xm:f>Data!$F$3:$F$12</xm:f>
          </x14:formula1>
          <xm:sqref>D15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B8E33-E981-4668-BD1B-DA79CB2C3A8C}">
  <sheetPr codeName="Feuil11">
    <tabColor rgb="FF0070C0"/>
  </sheetPr>
  <dimension ref="B2:AV260"/>
  <sheetViews>
    <sheetView zoomScaleNormal="100" zoomScaleSheetLayoutView="85" workbookViewId="0">
      <selection activeCell="H5" sqref="H5:I5"/>
    </sheetView>
  </sheetViews>
  <sheetFormatPr baseColWidth="10" defaultColWidth="4.28515625" defaultRowHeight="15" x14ac:dyDescent="0.25"/>
  <cols>
    <col min="1" max="1" width="4.28515625" style="359" customWidth="1"/>
    <col min="2" max="2" width="1.7109375" style="359" customWidth="1"/>
    <col min="3" max="3" width="4.28515625" style="359" customWidth="1"/>
    <col min="4" max="13" width="4.28515625" style="359"/>
    <col min="14" max="14" width="4.7109375" style="359" bestFit="1" customWidth="1"/>
    <col min="15" max="23" width="4.28515625" style="359"/>
    <col min="24" max="24" width="4.28515625" style="359" customWidth="1"/>
    <col min="25" max="25" width="4.28515625" style="359"/>
    <col min="26" max="26" width="4.28515625" style="359" customWidth="1"/>
    <col min="27" max="28" width="4.28515625" style="359"/>
    <col min="29" max="29" width="1.7109375" style="359" customWidth="1"/>
    <col min="30" max="31" width="4.28515625" style="359"/>
    <col min="32" max="36" width="8.5703125" style="359" customWidth="1"/>
    <col min="37" max="37" width="9.42578125" style="359" bestFit="1" customWidth="1"/>
    <col min="38" max="40" width="8.5703125" style="359" customWidth="1"/>
    <col min="41" max="41" width="9.42578125" style="359" bestFit="1" customWidth="1"/>
    <col min="42" max="49" width="8.5703125" style="359" customWidth="1"/>
    <col min="50" max="16384" width="4.28515625" style="359"/>
  </cols>
  <sheetData>
    <row r="2" spans="2:42" x14ac:dyDescent="0.25">
      <c r="B2" s="451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  <c r="T2" s="452"/>
      <c r="U2" s="452"/>
      <c r="V2" s="452"/>
      <c r="W2" s="452"/>
      <c r="X2" s="452"/>
      <c r="Y2" s="452"/>
      <c r="Z2" s="452"/>
      <c r="AA2" s="452"/>
      <c r="AB2" s="452"/>
      <c r="AC2" s="453"/>
    </row>
    <row r="3" spans="2:42" ht="18.75" x14ac:dyDescent="0.25">
      <c r="B3" s="369"/>
      <c r="C3" s="1046" t="str">
        <f>IF(Configuration!Y4="EN","General Data","Données Générales")</f>
        <v>Données Générales</v>
      </c>
      <c r="D3" s="1047"/>
      <c r="E3" s="1047"/>
      <c r="F3" s="1047"/>
      <c r="G3" s="1047"/>
      <c r="H3" s="1047"/>
      <c r="I3" s="1047"/>
      <c r="J3" s="1047"/>
      <c r="K3" s="1047"/>
      <c r="L3" s="1047"/>
      <c r="M3" s="1047"/>
      <c r="N3" s="1047"/>
      <c r="O3" s="1047"/>
      <c r="P3" s="1047"/>
      <c r="Q3" s="1047"/>
      <c r="R3" s="1047"/>
      <c r="S3" s="1047"/>
      <c r="T3" s="1047"/>
      <c r="U3" s="1047"/>
      <c r="V3" s="1047"/>
      <c r="W3" s="1047"/>
      <c r="X3" s="1047"/>
      <c r="Y3" s="1047"/>
      <c r="Z3" s="1047"/>
      <c r="AA3" s="1047"/>
      <c r="AB3" s="1048"/>
      <c r="AC3" s="455"/>
      <c r="AH3" s="1046" t="str">
        <f>IF(Configuration!Y4="EN","Calculation of distances m","Calcul des distances m")</f>
        <v>Calcul des distances m</v>
      </c>
      <c r="AI3" s="1047"/>
      <c r="AJ3" s="1047"/>
      <c r="AK3" s="1047"/>
      <c r="AL3" s="1047"/>
      <c r="AM3" s="1047"/>
      <c r="AN3" s="1047"/>
      <c r="AO3" s="1047"/>
      <c r="AP3" s="1048"/>
    </row>
    <row r="4" spans="2:42" ht="15.75" x14ac:dyDescent="0.25">
      <c r="B4" s="369"/>
      <c r="C4" s="517"/>
      <c r="D4" s="517"/>
      <c r="E4" s="517"/>
      <c r="F4" s="517"/>
      <c r="G4" s="517"/>
      <c r="H4" s="517"/>
      <c r="I4" s="517"/>
      <c r="J4" s="517"/>
      <c r="K4" s="517"/>
      <c r="L4" s="517"/>
      <c r="M4" s="517"/>
      <c r="N4" s="517"/>
      <c r="O4" s="517"/>
      <c r="P4" s="517"/>
      <c r="Q4" s="517"/>
      <c r="R4" s="517"/>
      <c r="S4" s="517"/>
      <c r="T4" s="517"/>
      <c r="U4" s="517"/>
      <c r="V4" s="517"/>
      <c r="W4" s="517"/>
      <c r="X4" s="517"/>
      <c r="Y4" s="517"/>
      <c r="Z4" s="517"/>
      <c r="AA4" s="517"/>
      <c r="AB4" s="517"/>
      <c r="AC4" s="455"/>
      <c r="AI4" s="1045" t="str">
        <f>IF(Configuration!Y4="EN","Weld","Soudure")</f>
        <v>Soudure</v>
      </c>
      <c r="AJ4" s="1045"/>
      <c r="AK4" s="1045"/>
      <c r="AM4" s="1045" t="str">
        <f>IF(Configuration!Y4="EN","Fillet radius","Rayon de congés")</f>
        <v>Rayon de congés</v>
      </c>
      <c r="AN4" s="1045"/>
      <c r="AO4" s="1045"/>
    </row>
    <row r="5" spans="2:42" x14ac:dyDescent="0.25">
      <c r="B5" s="369"/>
      <c r="G5" s="288" t="str">
        <f>IF(Configuration!Y4="EN","End plate thickness t =","Epaisseur de platine t =")</f>
        <v>Epaisseur de platine t =</v>
      </c>
      <c r="H5" s="1054">
        <v>15</v>
      </c>
      <c r="I5" s="1054"/>
      <c r="J5" s="359" t="s">
        <v>240</v>
      </c>
      <c r="M5" s="288" t="str">
        <f>IF(Configuration!Y4="EN","Grade:","Nuance :")</f>
        <v>Nuance :</v>
      </c>
      <c r="N5" s="1054" t="s">
        <v>439</v>
      </c>
      <c r="O5" s="1054"/>
      <c r="R5" s="288" t="str">
        <f>IF(Configuration!Y4="EN","Bolts:","Boulons :")</f>
        <v>Boulons :</v>
      </c>
      <c r="S5" s="1059">
        <v>30</v>
      </c>
      <c r="T5" s="1059"/>
      <c r="V5" s="288" t="str">
        <f>IF(Configuration!Y4="EN","Class:","Classe :")</f>
        <v>Classe :</v>
      </c>
      <c r="W5" s="1054" t="s">
        <v>439</v>
      </c>
      <c r="X5" s="1054"/>
      <c r="AC5" s="455"/>
      <c r="AJ5" s="288" t="str">
        <f>IF(Configuration!Y4="EN","Fillet weld a =","Cordon de soudure a =")</f>
        <v>Cordon de soudure a =</v>
      </c>
      <c r="AK5" s="945">
        <v>5</v>
      </c>
      <c r="AN5" s="288" t="str">
        <f>IF(Configuration!Y4="EN","fillet radius r =","rayon de congé r =")</f>
        <v>rayon de congé r =</v>
      </c>
      <c r="AO5" s="945">
        <v>5</v>
      </c>
    </row>
    <row r="6" spans="2:42" ht="18" x14ac:dyDescent="0.25">
      <c r="B6" s="369"/>
      <c r="M6" s="359" t="s">
        <v>644</v>
      </c>
      <c r="N6" s="669">
        <f>VLOOKUP(N5,Data!$A$3:$B$34,2,FALSE)</f>
        <v>35.5</v>
      </c>
      <c r="O6" s="310" t="s">
        <v>631</v>
      </c>
      <c r="R6" s="359" t="s">
        <v>646</v>
      </c>
      <c r="S6" s="1051">
        <f>VLOOKUP(S5,Data!K3:O20,5,FALSE)</f>
        <v>561</v>
      </c>
      <c r="T6" s="1051"/>
      <c r="U6" s="359" t="s">
        <v>531</v>
      </c>
      <c r="W6" s="288" t="s">
        <v>645</v>
      </c>
      <c r="X6" s="648">
        <f>VLOOKUP(W5,Data!$F$3:$H$16,3,FALSE)</f>
        <v>49</v>
      </c>
      <c r="Y6" s="310" t="s">
        <v>631</v>
      </c>
      <c r="AC6" s="455"/>
      <c r="AJ6" s="288" t="s">
        <v>714</v>
      </c>
      <c r="AK6" s="945">
        <v>30</v>
      </c>
      <c r="AN6" s="288" t="s">
        <v>714</v>
      </c>
      <c r="AO6" s="945">
        <v>30</v>
      </c>
    </row>
    <row r="7" spans="2:42" x14ac:dyDescent="0.25">
      <c r="B7" s="369"/>
      <c r="AC7" s="455"/>
      <c r="AJ7" s="288" t="s">
        <v>1956</v>
      </c>
      <c r="AK7" s="940">
        <f>AK6-SQRT(2)*0.8*AK5</f>
        <v>24.343145750507617</v>
      </c>
      <c r="AN7" s="288" t="s">
        <v>1956</v>
      </c>
      <c r="AO7" s="940">
        <f>AO6-0.8*AO5</f>
        <v>26</v>
      </c>
    </row>
    <row r="8" spans="2:42" ht="18.75" x14ac:dyDescent="0.25">
      <c r="B8" s="369"/>
      <c r="C8" s="1057" t="s">
        <v>717</v>
      </c>
      <c r="D8" s="1058"/>
      <c r="E8" s="1058"/>
      <c r="F8" s="1058"/>
      <c r="G8" s="1058"/>
      <c r="H8" s="1058"/>
      <c r="I8" s="1058"/>
      <c r="J8" s="1058"/>
      <c r="K8" s="1058"/>
      <c r="L8" s="1058"/>
      <c r="M8" s="1058"/>
      <c r="N8" s="1058"/>
      <c r="O8" s="1058"/>
      <c r="P8" s="1058"/>
      <c r="Q8" s="1058"/>
      <c r="R8" s="1058"/>
      <c r="S8" s="1058"/>
      <c r="T8" s="1058"/>
      <c r="U8" s="1058"/>
      <c r="V8" s="1058"/>
      <c r="W8" s="1058"/>
      <c r="X8" s="1058"/>
      <c r="Y8" s="1058"/>
      <c r="Z8" s="1058"/>
      <c r="AA8" s="1058"/>
      <c r="AB8" s="1058"/>
      <c r="AC8" s="455"/>
    </row>
    <row r="9" spans="2:42" ht="18.75" x14ac:dyDescent="0.25">
      <c r="B9" s="369"/>
      <c r="C9" s="1046" t="str">
        <f>IF(Configuration!Y4="EN","Single Bolt Pair Working Alone","Paire de Boulons Travaillant Seuls")</f>
        <v>Paire de Boulons Travaillant Seuls</v>
      </c>
      <c r="D9" s="1047"/>
      <c r="E9" s="1047"/>
      <c r="F9" s="1047"/>
      <c r="G9" s="1047"/>
      <c r="H9" s="1047"/>
      <c r="I9" s="1047"/>
      <c r="J9" s="1047"/>
      <c r="K9" s="1047"/>
      <c r="L9" s="1047"/>
      <c r="M9" s="1047"/>
      <c r="N9" s="1047"/>
      <c r="O9" s="1047"/>
      <c r="P9" s="1047"/>
      <c r="Q9" s="1047"/>
      <c r="R9" s="1047"/>
      <c r="S9" s="1047"/>
      <c r="T9" s="1047"/>
      <c r="U9" s="1047"/>
      <c r="V9" s="1047"/>
      <c r="W9" s="1047"/>
      <c r="X9" s="1047"/>
      <c r="Y9" s="1047"/>
      <c r="Z9" s="1047"/>
      <c r="AA9" s="1047"/>
      <c r="AB9" s="1048"/>
      <c r="AC9" s="455"/>
    </row>
    <row r="10" spans="2:42" x14ac:dyDescent="0.25">
      <c r="B10" s="369"/>
      <c r="C10" s="516"/>
      <c r="D10" s="516"/>
      <c r="E10" s="516"/>
      <c r="F10" s="516"/>
      <c r="G10" s="516"/>
      <c r="H10" s="516"/>
      <c r="I10" s="516"/>
      <c r="J10" s="516"/>
      <c r="K10" s="516"/>
      <c r="L10" s="516"/>
      <c r="M10" s="516"/>
      <c r="N10" s="516"/>
      <c r="O10" s="516"/>
      <c r="P10" s="516"/>
      <c r="Q10" s="516"/>
      <c r="R10" s="516"/>
      <c r="S10" s="516"/>
      <c r="T10" s="516"/>
      <c r="U10" s="516"/>
      <c r="V10" s="516"/>
      <c r="W10" s="516"/>
      <c r="X10" s="516"/>
      <c r="Y10" s="516"/>
      <c r="Z10" s="516"/>
      <c r="AA10" s="516"/>
      <c r="AB10" s="516"/>
      <c r="AC10" s="455"/>
    </row>
    <row r="11" spans="2:42" ht="18" x14ac:dyDescent="0.25">
      <c r="B11" s="369"/>
      <c r="C11" s="454" t="str">
        <f>IF(Configuration!Y4="EN","Unstiffened outer bolt pair","Paire de boulons extérieurs non raidis")</f>
        <v>Paire de boulons extérieurs non raidis</v>
      </c>
      <c r="U11" s="645"/>
      <c r="V11" s="760" t="s">
        <v>1843</v>
      </c>
      <c r="X11" s="462" t="s">
        <v>643</v>
      </c>
      <c r="Y11" s="1052">
        <f>MIN(T14:U16)</f>
        <v>18432.692307692309</v>
      </c>
      <c r="Z11" s="1053"/>
      <c r="AA11" s="463" t="s">
        <v>632</v>
      </c>
      <c r="AC11" s="455"/>
    </row>
    <row r="12" spans="2:42" ht="18" x14ac:dyDescent="0.25">
      <c r="B12" s="369"/>
      <c r="C12" s="288" t="s">
        <v>622</v>
      </c>
      <c r="D12" s="1054">
        <v>45</v>
      </c>
      <c r="E12" s="1054"/>
      <c r="F12" s="359" t="s">
        <v>240</v>
      </c>
      <c r="G12" s="288" t="s">
        <v>623</v>
      </c>
      <c r="H12" s="1054">
        <v>90</v>
      </c>
      <c r="I12" s="1054"/>
      <c r="J12" s="359" t="s">
        <v>240</v>
      </c>
      <c r="K12" s="288" t="s">
        <v>625</v>
      </c>
      <c r="L12" s="1054">
        <v>39</v>
      </c>
      <c r="M12" s="1054"/>
      <c r="N12" s="359" t="s">
        <v>240</v>
      </c>
      <c r="O12" s="288" t="s">
        <v>624</v>
      </c>
      <c r="P12" s="1054">
        <v>45</v>
      </c>
      <c r="Q12" s="1054"/>
      <c r="R12" s="359" t="s">
        <v>240</v>
      </c>
      <c r="S12" s="288" t="s">
        <v>760</v>
      </c>
      <c r="T12" s="1055">
        <f>IF(MIN(D12,P12)&gt;1.25*H12,1.25*H12,MIN(D12,P12))</f>
        <v>45</v>
      </c>
      <c r="U12" s="1055"/>
      <c r="V12" s="359" t="s">
        <v>240</v>
      </c>
      <c r="AC12" s="455"/>
    </row>
    <row r="13" spans="2:42" x14ac:dyDescent="0.25">
      <c r="B13" s="369"/>
      <c r="AC13" s="455"/>
    </row>
    <row r="14" spans="2:42" ht="18" x14ac:dyDescent="0.25">
      <c r="B14" s="369"/>
      <c r="F14" s="456" t="str">
        <f>IF(Configuration!Y4="EN","Failure mode 1:","Mode de ruine 1 :")</f>
        <v>Mode de ruine 1 :</v>
      </c>
      <c r="H14" s="288" t="s">
        <v>633</v>
      </c>
      <c r="I14" s="1051">
        <f>MIN(L19,L22,L25,Z19,Z22,Z25,Z28)</f>
        <v>90</v>
      </c>
      <c r="J14" s="1051"/>
      <c r="K14" s="359" t="s">
        <v>240</v>
      </c>
      <c r="M14" s="288" t="s">
        <v>634</v>
      </c>
      <c r="N14" s="1051">
        <f>0.25*(I14*0.001)*H5^2*N6/G_M0</f>
        <v>179.71875</v>
      </c>
      <c r="O14" s="1051"/>
      <c r="P14" s="359" t="s">
        <v>629</v>
      </c>
      <c r="S14" s="288" t="s">
        <v>635</v>
      </c>
      <c r="T14" s="1051">
        <f>4*N14/(0.001*L12)</f>
        <v>18432.692307692309</v>
      </c>
      <c r="U14" s="1051"/>
      <c r="V14" s="359" t="s">
        <v>632</v>
      </c>
      <c r="AC14" s="455"/>
    </row>
    <row r="15" spans="2:42" ht="18" x14ac:dyDescent="0.25">
      <c r="B15" s="369"/>
      <c r="F15" s="456" t="str">
        <f>IF(Configuration!Y4="EN","Failure mode 2:","Mode de ruine 2 :")</f>
        <v>Mode de ruine 2 :</v>
      </c>
      <c r="H15" s="288" t="s">
        <v>638</v>
      </c>
      <c r="I15" s="1051">
        <f>MIN(Z19,Z22,Z25,Z28)</f>
        <v>90</v>
      </c>
      <c r="J15" s="1051"/>
      <c r="K15" s="359" t="s">
        <v>240</v>
      </c>
      <c r="M15" s="288" t="s">
        <v>637</v>
      </c>
      <c r="N15" s="1051">
        <f>0.25*(I15*0.001)*H5^2*N6/G_M0</f>
        <v>179.71875</v>
      </c>
      <c r="O15" s="1051"/>
      <c r="P15" s="359" t="s">
        <v>629</v>
      </c>
      <c r="S15" s="288" t="s">
        <v>636</v>
      </c>
      <c r="T15" s="1051">
        <f>(2*N15+0.001*T12*T16)/(0.001*(T12+L12))</f>
        <v>25484.817857142854</v>
      </c>
      <c r="U15" s="1051"/>
      <c r="V15" s="359" t="s">
        <v>632</v>
      </c>
      <c r="AC15" s="455"/>
    </row>
    <row r="16" spans="2:42" ht="18" x14ac:dyDescent="0.25">
      <c r="B16" s="369"/>
      <c r="F16" s="456" t="str">
        <f>IF(Configuration!Y4="EN","Failure mode 3:","Mode de ruine 3 :")</f>
        <v>Mode de ruine 3 :</v>
      </c>
      <c r="M16" s="288" t="s">
        <v>647</v>
      </c>
      <c r="N16" s="1051">
        <f>0.9*S6*X6/1.25</f>
        <v>19792.080000000002</v>
      </c>
      <c r="O16" s="1051"/>
      <c r="P16" s="359" t="s">
        <v>632</v>
      </c>
      <c r="S16" s="288" t="s">
        <v>642</v>
      </c>
      <c r="T16" s="1051">
        <f>2*N16</f>
        <v>39584.160000000003</v>
      </c>
      <c r="U16" s="1051"/>
      <c r="V16" s="359" t="s">
        <v>632</v>
      </c>
      <c r="AC16" s="455"/>
    </row>
    <row r="17" spans="2:29" x14ac:dyDescent="0.25">
      <c r="B17" s="369"/>
      <c r="C17" s="1049" t="str">
        <f>IF(Configuration!Y4="EN","Circular Pattern","Mode Circulaire")</f>
        <v>Mode Circulaire</v>
      </c>
      <c r="D17" s="1049"/>
      <c r="E17" s="1049"/>
      <c r="F17" s="1049"/>
      <c r="G17" s="1049"/>
      <c r="H17" s="1049"/>
      <c r="I17" s="1049"/>
      <c r="J17" s="1049"/>
      <c r="K17" s="1049"/>
      <c r="L17" s="1049"/>
      <c r="M17" s="1049"/>
      <c r="N17" s="1049"/>
      <c r="O17" s="457"/>
      <c r="Q17" s="1049" t="str">
        <f>IF(Configuration!Y4="EN","Non-Circular Pattern","Mode non Circulaire")</f>
        <v>Mode non Circulaire</v>
      </c>
      <c r="R17" s="1049"/>
      <c r="S17" s="1049"/>
      <c r="T17" s="1049"/>
      <c r="U17" s="1049"/>
      <c r="V17" s="1049"/>
      <c r="W17" s="1049"/>
      <c r="X17" s="1049"/>
      <c r="Y17" s="1049"/>
      <c r="Z17" s="1049"/>
      <c r="AA17" s="1049"/>
      <c r="AB17" s="1049"/>
      <c r="AC17" s="455"/>
    </row>
    <row r="18" spans="2:29" x14ac:dyDescent="0.25">
      <c r="B18" s="369"/>
      <c r="P18" s="369"/>
      <c r="AC18" s="455"/>
    </row>
    <row r="19" spans="2:29" x14ac:dyDescent="0.25">
      <c r="B19" s="369"/>
      <c r="L19" s="1050">
        <f>2*PI()*L12</f>
        <v>245.04422698000386</v>
      </c>
      <c r="M19" s="1050"/>
      <c r="N19" s="359" t="s">
        <v>240</v>
      </c>
      <c r="P19" s="369"/>
      <c r="Z19" s="1050">
        <f>0.5*H12+D12</f>
        <v>90</v>
      </c>
      <c r="AA19" s="1050"/>
      <c r="AB19" s="359" t="s">
        <v>240</v>
      </c>
      <c r="AC19" s="455"/>
    </row>
    <row r="20" spans="2:29" x14ac:dyDescent="0.25">
      <c r="B20" s="369"/>
      <c r="C20" s="370"/>
      <c r="D20" s="370"/>
      <c r="E20" s="370"/>
      <c r="F20" s="370"/>
      <c r="G20" s="370"/>
      <c r="H20" s="370"/>
      <c r="I20" s="370"/>
      <c r="J20" s="370"/>
      <c r="K20" s="370"/>
      <c r="L20" s="370"/>
      <c r="M20" s="370"/>
      <c r="N20" s="370"/>
      <c r="P20" s="369"/>
      <c r="Q20" s="370"/>
      <c r="R20" s="370"/>
      <c r="S20" s="370"/>
      <c r="T20" s="370"/>
      <c r="U20" s="370"/>
      <c r="V20" s="370"/>
      <c r="W20" s="370"/>
      <c r="X20" s="370"/>
      <c r="Y20" s="370"/>
      <c r="Z20" s="370"/>
      <c r="AA20" s="370"/>
      <c r="AB20" s="370"/>
      <c r="AC20" s="455"/>
    </row>
    <row r="21" spans="2:29" x14ac:dyDescent="0.25">
      <c r="B21" s="369"/>
      <c r="P21" s="369"/>
      <c r="AC21" s="455"/>
    </row>
    <row r="22" spans="2:29" x14ac:dyDescent="0.25">
      <c r="B22" s="369"/>
      <c r="L22" s="1050">
        <f>PI()*L12+2*P12</f>
        <v>212.52211349000191</v>
      </c>
      <c r="M22" s="1050"/>
      <c r="N22" s="359" t="s">
        <v>240</v>
      </c>
      <c r="P22" s="369"/>
      <c r="Z22" s="1050">
        <f>4*L12+1.25*P12</f>
        <v>212.25</v>
      </c>
      <c r="AA22" s="1050"/>
      <c r="AB22" s="359" t="s">
        <v>240</v>
      </c>
      <c r="AC22" s="455"/>
    </row>
    <row r="23" spans="2:29" x14ac:dyDescent="0.25">
      <c r="B23" s="369"/>
      <c r="C23" s="370"/>
      <c r="D23" s="370"/>
      <c r="E23" s="370"/>
      <c r="F23" s="370"/>
      <c r="G23" s="370"/>
      <c r="H23" s="370"/>
      <c r="I23" s="370"/>
      <c r="J23" s="370"/>
      <c r="K23" s="370"/>
      <c r="L23" s="370"/>
      <c r="M23" s="370"/>
      <c r="N23" s="370"/>
      <c r="P23" s="369"/>
      <c r="Q23" s="370"/>
      <c r="R23" s="370"/>
      <c r="S23" s="370"/>
      <c r="T23" s="370"/>
      <c r="U23" s="370"/>
      <c r="V23" s="370"/>
      <c r="W23" s="370"/>
      <c r="X23" s="370"/>
      <c r="Y23" s="370"/>
      <c r="Z23" s="370"/>
      <c r="AA23" s="370"/>
      <c r="AB23" s="370"/>
      <c r="AC23" s="455"/>
    </row>
    <row r="24" spans="2:29" x14ac:dyDescent="0.25">
      <c r="B24" s="369"/>
      <c r="P24" s="369"/>
      <c r="AC24" s="455"/>
    </row>
    <row r="25" spans="2:29" x14ac:dyDescent="0.25">
      <c r="B25" s="369"/>
      <c r="L25" s="1050">
        <f>PI()*L12+H12</f>
        <v>212.52211349000191</v>
      </c>
      <c r="M25" s="1050"/>
      <c r="N25" s="359" t="s">
        <v>240</v>
      </c>
      <c r="P25" s="369"/>
      <c r="Z25" s="1050">
        <f>2*L12+0.625*P12+D12</f>
        <v>151.125</v>
      </c>
      <c r="AA25" s="1050"/>
      <c r="AB25" s="359" t="s">
        <v>240</v>
      </c>
      <c r="AC25" s="455"/>
    </row>
    <row r="26" spans="2:29" x14ac:dyDescent="0.25">
      <c r="B26" s="369"/>
      <c r="C26" s="370"/>
      <c r="D26" s="370"/>
      <c r="E26" s="370"/>
      <c r="F26" s="370"/>
      <c r="G26" s="370"/>
      <c r="H26" s="370"/>
      <c r="I26" s="370"/>
      <c r="J26" s="370"/>
      <c r="K26" s="370"/>
      <c r="L26" s="370"/>
      <c r="M26" s="370"/>
      <c r="N26" s="370"/>
      <c r="P26" s="369"/>
      <c r="Q26" s="370"/>
      <c r="R26" s="370"/>
      <c r="S26" s="370"/>
      <c r="T26" s="370"/>
      <c r="U26" s="370"/>
      <c r="V26" s="370"/>
      <c r="W26" s="370"/>
      <c r="X26" s="370"/>
      <c r="Y26" s="370"/>
      <c r="Z26" s="370"/>
      <c r="AA26" s="370"/>
      <c r="AB26" s="370"/>
      <c r="AC26" s="455"/>
    </row>
    <row r="27" spans="2:29" x14ac:dyDescent="0.25">
      <c r="B27" s="369"/>
      <c r="P27" s="369"/>
      <c r="AC27" s="455"/>
    </row>
    <row r="28" spans="2:29" x14ac:dyDescent="0.25">
      <c r="B28" s="369"/>
      <c r="P28" s="369"/>
      <c r="Z28" s="1050">
        <f>2*L12+0.625*P12+0.5*H12</f>
        <v>151.125</v>
      </c>
      <c r="AA28" s="1050"/>
      <c r="AB28" s="359" t="s">
        <v>240</v>
      </c>
      <c r="AC28" s="455"/>
    </row>
    <row r="29" spans="2:29" x14ac:dyDescent="0.25">
      <c r="B29" s="369"/>
      <c r="P29" s="369"/>
      <c r="AC29" s="455"/>
    </row>
    <row r="30" spans="2:29" x14ac:dyDescent="0.25">
      <c r="B30" s="369"/>
      <c r="AC30" s="455"/>
    </row>
    <row r="31" spans="2:29" x14ac:dyDescent="0.25">
      <c r="B31" s="369"/>
      <c r="C31" s="1019" t="s">
        <v>648</v>
      </c>
      <c r="D31" s="1020"/>
      <c r="E31" s="1020"/>
      <c r="F31" s="1020"/>
      <c r="G31" s="1020"/>
      <c r="H31" s="1020"/>
      <c r="I31" s="1020"/>
      <c r="J31" s="1020"/>
      <c r="K31" s="1020"/>
      <c r="L31" s="1020"/>
      <c r="M31" s="1020"/>
      <c r="N31" s="1020"/>
      <c r="O31" s="1020"/>
      <c r="P31" s="1020"/>
      <c r="Q31" s="1020"/>
      <c r="R31" s="1020"/>
      <c r="S31" s="1020"/>
      <c r="T31" s="1020"/>
      <c r="U31" s="1020"/>
      <c r="V31" s="1020"/>
      <c r="W31" s="1020"/>
      <c r="X31" s="1020"/>
      <c r="Y31" s="1020"/>
      <c r="Z31" s="1020"/>
      <c r="AA31" s="1020"/>
      <c r="AB31" s="1020"/>
      <c r="AC31" s="455"/>
    </row>
    <row r="32" spans="2:29" x14ac:dyDescent="0.25">
      <c r="B32" s="369"/>
      <c r="AC32" s="455"/>
    </row>
    <row r="33" spans="2:48" ht="18" x14ac:dyDescent="0.25">
      <c r="B33" s="369"/>
      <c r="C33" s="454" t="str">
        <f>IF(Configuration!Y4="EN","Stiffened outer bolt pair","Paire de boulons extérieurs raidis")</f>
        <v>Paire de boulons extérieurs raidis</v>
      </c>
      <c r="V33" s="760" t="s">
        <v>1843</v>
      </c>
      <c r="X33" s="462" t="s">
        <v>643</v>
      </c>
      <c r="Y33" s="1052">
        <f>MIN(T36:U38)</f>
        <v>28868.258634868424</v>
      </c>
      <c r="Z33" s="1053"/>
      <c r="AA33" s="463" t="s">
        <v>632</v>
      </c>
      <c r="AC33" s="455"/>
    </row>
    <row r="34" spans="2:48" ht="18" x14ac:dyDescent="0.25">
      <c r="B34" s="369"/>
      <c r="C34" s="288" t="s">
        <v>622</v>
      </c>
      <c r="D34" s="1054">
        <v>75</v>
      </c>
      <c r="E34" s="1054"/>
      <c r="F34" s="359" t="s">
        <v>240</v>
      </c>
      <c r="G34" s="288" t="s">
        <v>714</v>
      </c>
      <c r="H34" s="1054">
        <v>61.8</v>
      </c>
      <c r="I34" s="1054"/>
      <c r="J34" s="359" t="s">
        <v>240</v>
      </c>
      <c r="K34" s="288" t="s">
        <v>625</v>
      </c>
      <c r="L34" s="1054">
        <v>61.8</v>
      </c>
      <c r="M34" s="1054"/>
      <c r="N34" s="359" t="s">
        <v>240</v>
      </c>
      <c r="O34" s="288" t="s">
        <v>624</v>
      </c>
      <c r="P34" s="1054">
        <v>75</v>
      </c>
      <c r="Q34" s="1054"/>
      <c r="R34" s="359" t="s">
        <v>240</v>
      </c>
      <c r="S34" s="288" t="s">
        <v>760</v>
      </c>
      <c r="T34" s="1055">
        <f>IF(MIN(D34,P34)&gt;1.25*H34,1.25*H34,MIN(D34,P34))</f>
        <v>75</v>
      </c>
      <c r="U34" s="1055"/>
      <c r="V34" s="359" t="s">
        <v>240</v>
      </c>
      <c r="AC34" s="455"/>
    </row>
    <row r="35" spans="2:48" x14ac:dyDescent="0.25">
      <c r="B35" s="369"/>
      <c r="AC35" s="455"/>
    </row>
    <row r="36" spans="2:48" ht="18" x14ac:dyDescent="0.25">
      <c r="B36" s="369"/>
      <c r="F36" s="456" t="str">
        <f>IF(Configuration!Y4="EN","Failure mode 1:","Mode de ruine 1 :")</f>
        <v>Mode de ruine 1 :</v>
      </c>
      <c r="H36" s="288" t="s">
        <v>633</v>
      </c>
      <c r="I36" s="1051">
        <f>MIN(L41,L44,Z41,Z44,Z47)</f>
        <v>245.47499999999999</v>
      </c>
      <c r="J36" s="1051"/>
      <c r="K36" s="359" t="s">
        <v>240</v>
      </c>
      <c r="M36" s="288" t="s">
        <v>634</v>
      </c>
      <c r="N36" s="1051">
        <f>0.25*(I36*0.001)*H5^2*N6/G_M0</f>
        <v>490.18289062500003</v>
      </c>
      <c r="O36" s="1051"/>
      <c r="P36" s="359" t="s">
        <v>629</v>
      </c>
      <c r="S36" s="288" t="s">
        <v>635</v>
      </c>
      <c r="T36" s="1051">
        <f>4*N36/(0.001*H34)</f>
        <v>31727.047936893206</v>
      </c>
      <c r="U36" s="1051"/>
      <c r="V36" s="359" t="s">
        <v>632</v>
      </c>
      <c r="AC36" s="455"/>
    </row>
    <row r="37" spans="2:48" ht="18.75" thickBot="1" x14ac:dyDescent="0.3">
      <c r="B37" s="369"/>
      <c r="F37" s="456" t="str">
        <f>IF(Configuration!Y4="EN","Failure mode 2:","Mode de ruine 2 :")</f>
        <v>Mode de ruine 2 :</v>
      </c>
      <c r="H37" s="288" t="s">
        <v>638</v>
      </c>
      <c r="I37" s="1051">
        <f>MIN(Z41,Z44,Z47)</f>
        <v>245.47499999999999</v>
      </c>
      <c r="J37" s="1051"/>
      <c r="K37" s="359" t="s">
        <v>240</v>
      </c>
      <c r="M37" s="288" t="s">
        <v>637</v>
      </c>
      <c r="N37" s="1051">
        <f>0.25*(I37*0.001)*H5^2*N6/G_M0</f>
        <v>490.18289062500003</v>
      </c>
      <c r="O37" s="1051"/>
      <c r="P37" s="359" t="s">
        <v>629</v>
      </c>
      <c r="S37" s="288" t="s">
        <v>636</v>
      </c>
      <c r="T37" s="1051">
        <f>(2*N37+0.001*T34*T38)/(0.001*(T34+H34))</f>
        <v>28868.258634868424</v>
      </c>
      <c r="U37" s="1051"/>
      <c r="V37" s="359" t="s">
        <v>632</v>
      </c>
      <c r="AC37" s="455"/>
    </row>
    <row r="38" spans="2:48" ht="18.75" thickBot="1" x14ac:dyDescent="0.3">
      <c r="B38" s="369"/>
      <c r="F38" s="456" t="str">
        <f>IF(Configuration!Y4="EN","Failure mode 3:","Mode de ruine 3 :")</f>
        <v>Mode de ruine 3 :</v>
      </c>
      <c r="M38" s="288" t="s">
        <v>647</v>
      </c>
      <c r="N38" s="1051">
        <f>0.9*S6*X6/1.25</f>
        <v>19792.080000000002</v>
      </c>
      <c r="O38" s="1051"/>
      <c r="P38" s="359" t="s">
        <v>632</v>
      </c>
      <c r="S38" s="288" t="s">
        <v>642</v>
      </c>
      <c r="T38" s="1051">
        <f>2*N38</f>
        <v>39584.160000000003</v>
      </c>
      <c r="U38" s="1051"/>
      <c r="V38" s="359" t="s">
        <v>632</v>
      </c>
      <c r="AC38" s="455"/>
      <c r="AF38" s="494" t="s">
        <v>756</v>
      </c>
      <c r="AG38" s="495">
        <f>INDEX(AL40:AV40,MATCH(AG39,AL41:AV41,0))</f>
        <v>6.2830000000000004</v>
      </c>
      <c r="AH38" s="496">
        <f>(AG38*(AI39-AH39)+AI38*(AH39-AG39))/(AI39-AG39)</f>
        <v>6.1516859011582863</v>
      </c>
      <c r="AI38" s="497">
        <f>INDEX(AL40:AV40,MATCH(AI39,AL41:AV41,0))</f>
        <v>6</v>
      </c>
    </row>
    <row r="39" spans="2:48" ht="15.75" thickBot="1" x14ac:dyDescent="0.25">
      <c r="B39" s="369"/>
      <c r="C39" s="1049" t="str">
        <f>IF(Configuration!Y4="EN","Circular Pattern","Mode Circulaire")</f>
        <v>Mode Circulaire</v>
      </c>
      <c r="D39" s="1049"/>
      <c r="E39" s="1049"/>
      <c r="F39" s="1049"/>
      <c r="G39" s="1049"/>
      <c r="H39" s="1049"/>
      <c r="I39" s="1049"/>
      <c r="J39" s="1049"/>
      <c r="K39" s="1049"/>
      <c r="L39" s="1049"/>
      <c r="M39" s="1049"/>
      <c r="N39" s="1049"/>
      <c r="O39" s="457"/>
      <c r="Q39" s="1049" t="str">
        <f>IF(Configuration!Y4="EN","Non-Circular Pattern","Mode non Circulaire")</f>
        <v>Mode non Circulaire</v>
      </c>
      <c r="R39" s="1049"/>
      <c r="S39" s="1049"/>
      <c r="T39" s="1049"/>
      <c r="U39" s="1049"/>
      <c r="V39" s="1049"/>
      <c r="W39" s="1049"/>
      <c r="X39" s="1049"/>
      <c r="Y39" s="1049"/>
      <c r="Z39" s="1049"/>
      <c r="AA39" s="1049"/>
      <c r="AB39" s="1049"/>
      <c r="AC39" s="455"/>
      <c r="AE39" s="383"/>
      <c r="AF39" s="498">
        <f>AK41</f>
        <v>0.45</v>
      </c>
      <c r="AG39" s="499">
        <f>INDEX(AL41:AV41,MATCH(T42,AL41:AV41,1))</f>
        <v>0.41951095262353549</v>
      </c>
      <c r="AH39" s="500">
        <f>T42</f>
        <v>0.45175438596491224</v>
      </c>
      <c r="AI39" s="501" cm="1">
        <f t="array" ref="AI39">INDEX(AL41:AV41,MATCH(T42,AL41:AV41,1)+1)</f>
        <v>0.48899999999999999</v>
      </c>
      <c r="AJ39" s="484"/>
      <c r="AK39" s="484"/>
      <c r="AL39" s="484"/>
      <c r="AM39" s="484"/>
      <c r="AN39" s="484"/>
      <c r="AO39" s="484"/>
      <c r="AP39" s="484"/>
      <c r="AQ39" s="484"/>
    </row>
    <row r="40" spans="2:48" ht="18.75" thickBot="1" x14ac:dyDescent="0.3">
      <c r="B40" s="369"/>
      <c r="P40" s="369"/>
      <c r="AC40" s="455"/>
      <c r="AF40" s="502">
        <f>V42</f>
        <v>0.45175438596491224</v>
      </c>
      <c r="AG40" s="503"/>
      <c r="AH40" s="504">
        <f>(AH38*(AF42-AF40)+AH41*(AF40-AF39))/(AF42-AF39)</f>
        <v>6.1483122417074716</v>
      </c>
      <c r="AI40" s="505"/>
      <c r="AK40" s="494" t="s">
        <v>756</v>
      </c>
      <c r="AL40" s="491">
        <v>8</v>
      </c>
      <c r="AM40" s="489">
        <v>8</v>
      </c>
      <c r="AN40" s="489">
        <v>7</v>
      </c>
      <c r="AO40" s="489">
        <v>6.2830000000000004</v>
      </c>
      <c r="AP40" s="489">
        <v>6</v>
      </c>
      <c r="AQ40" s="489">
        <v>5.5</v>
      </c>
      <c r="AR40" s="489">
        <v>5</v>
      </c>
      <c r="AS40" s="489">
        <v>4.75</v>
      </c>
      <c r="AT40" s="489">
        <v>4.5</v>
      </c>
      <c r="AU40" s="489">
        <v>4.45</v>
      </c>
      <c r="AV40" s="490">
        <v>4.45</v>
      </c>
    </row>
    <row r="41" spans="2:48" ht="18.75" thickBot="1" x14ac:dyDescent="0.25">
      <c r="B41" s="369"/>
      <c r="L41" s="1050">
        <f>2*PI()*H34</f>
        <v>388.30085198369841</v>
      </c>
      <c r="M41" s="1050"/>
      <c r="N41" s="359" t="s">
        <v>240</v>
      </c>
      <c r="P41" s="369"/>
      <c r="Z41" s="1050">
        <f>X42*H34-(2*H34+0.625*D34)+P34</f>
        <v>284.49069653752179</v>
      </c>
      <c r="AA41" s="1050"/>
      <c r="AB41" s="359" t="s">
        <v>240</v>
      </c>
      <c r="AC41" s="455"/>
      <c r="AF41" s="494" t="s">
        <v>756</v>
      </c>
      <c r="AG41" s="495">
        <f>INDEX(AL40:AV40,MATCH(AG42,AL42:AV42,0))</f>
        <v>6.2830000000000004</v>
      </c>
      <c r="AH41" s="496">
        <f>(AG41*(AI42-AH42)+AI41*(AH42-AG42))/(AI42-AG42)</f>
        <v>6.0555366068100556</v>
      </c>
      <c r="AI41" s="497">
        <f>INDEX(AL40:AV40,MATCH(AI42,AL42:AV42,0))</f>
        <v>6</v>
      </c>
      <c r="AK41" s="506">
        <f>INDEX(Data!$Y$4:$Y$33,MATCH(V42,Data!$Y$4:$Y$33,1))</f>
        <v>0.45</v>
      </c>
      <c r="AL41" s="492">
        <f>VLOOKUP($AK41,Data!$Y$4:$AJ$33,2,FALSE)</f>
        <v>0</v>
      </c>
      <c r="AM41" s="487">
        <f>VLOOKUP($AK41,Data!$Y$4:$AJ$33,3,FALSE)</f>
        <v>0.23400000000000001</v>
      </c>
      <c r="AN41" s="487">
        <f>VLOOKUP($AK41,Data!$Y$4:$AJ$33,4,FALSE)</f>
        <v>0.314</v>
      </c>
      <c r="AO41" s="487">
        <f>VLOOKUP($AK41,Data!$Y$4:$AJ$33,5,FALSE)</f>
        <v>0.41951095262353549</v>
      </c>
      <c r="AP41" s="487">
        <f>VLOOKUP($AK41,Data!$Y$4:$AJ$33,6,FALSE)</f>
        <v>0.48899999999999999</v>
      </c>
      <c r="AQ41" s="487">
        <f>VLOOKUP($AK41,Data!$Y$4:$AJ$33,7,FALSE)</f>
        <v>0.56484971981660737</v>
      </c>
      <c r="AR41" s="487">
        <f>VLOOKUP($AK41,Data!$Y$4:$AJ$33,8,FALSE)</f>
        <v>0.66434029546612339</v>
      </c>
      <c r="AS41" s="487">
        <f>VLOOKUP($AK41,Data!$Y$4:$AJ$33,9,FALSE)</f>
        <v>0.73586347427407039</v>
      </c>
      <c r="AT41" s="487">
        <f>VLOOKUP($AK41,Data!$Y$4:$AJ$33,10,FALSE)</f>
        <v>0.80830361691288843</v>
      </c>
      <c r="AU41" s="487">
        <f>VLOOKUP($AK41,Data!$Y$4:$AJ$33,11,FALSE)</f>
        <v>0.8238920020376973</v>
      </c>
      <c r="AV41" s="488">
        <f>VLOOKUP($AK41,Data!$Y$4:$AJ$33,12,FALSE)</f>
        <v>1</v>
      </c>
    </row>
    <row r="42" spans="2:48" ht="18.75" thickBot="1" x14ac:dyDescent="0.25">
      <c r="B42" s="369"/>
      <c r="C42" s="370"/>
      <c r="D42" s="370"/>
      <c r="E42" s="370"/>
      <c r="F42" s="370"/>
      <c r="G42" s="370"/>
      <c r="H42" s="370"/>
      <c r="I42" s="370"/>
      <c r="J42" s="370"/>
      <c r="K42" s="370"/>
      <c r="L42" s="370"/>
      <c r="M42" s="370"/>
      <c r="N42" s="370"/>
      <c r="P42" s="369"/>
      <c r="Q42" s="370"/>
      <c r="R42" s="370"/>
      <c r="S42" s="381" t="s">
        <v>753</v>
      </c>
      <c r="T42" s="670">
        <f>H34/(H34+D34)</f>
        <v>0.45175438596491224</v>
      </c>
      <c r="U42" s="381" t="s">
        <v>752</v>
      </c>
      <c r="V42" s="670">
        <f>L34/(H34+D34)</f>
        <v>0.45175438596491224</v>
      </c>
      <c r="W42" s="381" t="s">
        <v>718</v>
      </c>
      <c r="X42" s="671">
        <f>AH40</f>
        <v>6.1483122417074716</v>
      </c>
      <c r="Y42" s="370"/>
      <c r="Z42" s="370"/>
      <c r="AA42" s="370"/>
      <c r="AB42" s="370"/>
      <c r="AC42" s="455"/>
      <c r="AF42" s="498">
        <f>AK42</f>
        <v>0.5</v>
      </c>
      <c r="AG42" s="499">
        <f>INDEX(AL42:AV42,MATCH(T42,AL42:AV42,1))</f>
        <v>0.39750382068262863</v>
      </c>
      <c r="AH42" s="500">
        <f>T42</f>
        <v>0.45175438596491224</v>
      </c>
      <c r="AI42" s="501" cm="1">
        <f t="array" ref="AI42">INDEX($AL42:$AV42,MATCH(T42,$AL42:$AV42,1)+1)</f>
        <v>0.46500000000000002</v>
      </c>
      <c r="AK42" s="507" cm="1">
        <f t="array" ref="AK42">INDEX(Data!$Y$4:$Y$33,MATCH(V42,Data!$Y$4:$Y$33,1)+1)</f>
        <v>0.5</v>
      </c>
      <c r="AL42" s="493">
        <f>VLOOKUP($AK42,Data!$Y$5:$AJ$34,2,FALSE)</f>
        <v>0</v>
      </c>
      <c r="AM42" s="485">
        <f>VLOOKUP($AK42,Data!$Y$5:$AJ$34,3,FALSE)</f>
        <v>0.23400000000000001</v>
      </c>
      <c r="AN42" s="485">
        <f>VLOOKUP($AK42,Data!$Y$5:$AJ$34,4,FALSE)</f>
        <v>0.29799999999999999</v>
      </c>
      <c r="AO42" s="485">
        <f>VLOOKUP($AK42,Data!$Y$5:$AJ$34,5,FALSE)</f>
        <v>0.39750382068262863</v>
      </c>
      <c r="AP42" s="485">
        <f>VLOOKUP($AK42,Data!$Y$5:$AJ$34,6,FALSE)</f>
        <v>0.46500000000000002</v>
      </c>
      <c r="AQ42" s="485">
        <f>VLOOKUP($AK42,Data!$Y$5:$AJ$34,7,FALSE)</f>
        <v>0.54330106979113602</v>
      </c>
      <c r="AR42" s="485">
        <f>VLOOKUP($AK42,Data!$Y$5:$AJ$34,8,FALSE)</f>
        <v>0.64462557310239432</v>
      </c>
      <c r="AS42" s="485">
        <f>VLOOKUP($AK42,Data!$Y$5:$AJ$34,9,FALSE)</f>
        <v>0.72027508914926142</v>
      </c>
      <c r="AT42" s="485">
        <f>VLOOKUP($AK42,Data!$Y$5:$AJ$34,10,FALSE)</f>
        <v>0.79775853285787057</v>
      </c>
      <c r="AU42" s="485">
        <f>VLOOKUP($AK42,Data!$Y$5:$AJ$34,11,FALSE)</f>
        <v>0.8142638818135508</v>
      </c>
      <c r="AV42" s="486">
        <f>VLOOKUP($AK42,Data!$Y$5:$AJ$34,12,FALSE)</f>
        <v>1</v>
      </c>
    </row>
    <row r="43" spans="2:48" x14ac:dyDescent="0.25">
      <c r="B43" s="369"/>
      <c r="P43" s="369"/>
      <c r="AC43" s="455"/>
    </row>
    <row r="44" spans="2:48" x14ac:dyDescent="0.25">
      <c r="B44" s="369"/>
      <c r="L44" s="1050">
        <f>PI()*H34+2*P34</f>
        <v>344.1504259918492</v>
      </c>
      <c r="M44" s="1050"/>
      <c r="N44" s="359" t="s">
        <v>240</v>
      </c>
      <c r="P44" s="369"/>
      <c r="Z44" s="1050">
        <f>2*H34+0.625*D34+P34</f>
        <v>245.47499999999999</v>
      </c>
      <c r="AA44" s="1050"/>
      <c r="AB44" s="359" t="s">
        <v>240</v>
      </c>
      <c r="AC44" s="455"/>
    </row>
    <row r="45" spans="2:48" x14ac:dyDescent="0.25">
      <c r="B45" s="369"/>
      <c r="C45" s="370"/>
      <c r="D45" s="370"/>
      <c r="E45" s="370"/>
      <c r="F45" s="370"/>
      <c r="G45" s="370"/>
      <c r="H45" s="370"/>
      <c r="I45" s="370"/>
      <c r="J45" s="370"/>
      <c r="K45" s="370"/>
      <c r="L45" s="370"/>
      <c r="M45" s="370"/>
      <c r="N45" s="370"/>
      <c r="P45" s="369"/>
      <c r="Q45" s="370"/>
      <c r="R45" s="370"/>
      <c r="S45" s="370"/>
      <c r="T45" s="370"/>
      <c r="U45" s="370"/>
      <c r="V45" s="370"/>
      <c r="W45" s="370"/>
      <c r="X45" s="370"/>
      <c r="Y45" s="370"/>
      <c r="Z45" s="370"/>
      <c r="AA45" s="370"/>
      <c r="AB45" s="370"/>
      <c r="AC45" s="455"/>
    </row>
    <row r="46" spans="2:48" x14ac:dyDescent="0.25">
      <c r="B46" s="369"/>
      <c r="P46" s="369"/>
      <c r="AC46" s="455"/>
    </row>
    <row r="47" spans="2:48" x14ac:dyDescent="0.25">
      <c r="B47" s="369"/>
      <c r="P47" s="369"/>
      <c r="Z47" s="1050">
        <f>4*H34+1.25*D34</f>
        <v>340.95</v>
      </c>
      <c r="AA47" s="1050"/>
      <c r="AB47" s="359" t="s">
        <v>240</v>
      </c>
      <c r="AC47" s="455"/>
    </row>
    <row r="48" spans="2:48" x14ac:dyDescent="0.25">
      <c r="B48" s="369"/>
      <c r="P48" s="369"/>
      <c r="AC48" s="455"/>
    </row>
    <row r="49" spans="2:48" x14ac:dyDescent="0.25">
      <c r="B49" s="369"/>
      <c r="AC49" s="455"/>
    </row>
    <row r="50" spans="2:48" x14ac:dyDescent="0.25">
      <c r="B50" s="369"/>
      <c r="C50" s="1019" t="s">
        <v>648</v>
      </c>
      <c r="D50" s="1020"/>
      <c r="E50" s="1020"/>
      <c r="F50" s="1020"/>
      <c r="G50" s="1020"/>
      <c r="H50" s="1020"/>
      <c r="I50" s="1020"/>
      <c r="J50" s="1020"/>
      <c r="K50" s="1020"/>
      <c r="L50" s="1020"/>
      <c r="M50" s="1020"/>
      <c r="N50" s="1020"/>
      <c r="O50" s="1020"/>
      <c r="P50" s="1020"/>
      <c r="Q50" s="1020"/>
      <c r="R50" s="1020"/>
      <c r="S50" s="1020"/>
      <c r="T50" s="1020"/>
      <c r="U50" s="1020"/>
      <c r="V50" s="1020"/>
      <c r="W50" s="1020"/>
      <c r="X50" s="1020"/>
      <c r="Y50" s="1020"/>
      <c r="Z50" s="1020"/>
      <c r="AA50" s="1020"/>
      <c r="AB50" s="1020"/>
      <c r="AC50" s="455"/>
    </row>
    <row r="51" spans="2:48" x14ac:dyDescent="0.25">
      <c r="B51" s="369"/>
      <c r="AC51" s="455"/>
    </row>
    <row r="52" spans="2:48" ht="18" x14ac:dyDescent="0.25">
      <c r="B52" s="369"/>
      <c r="C52" s="454" t="s">
        <v>716</v>
      </c>
      <c r="V52" s="760" t="s">
        <v>1843</v>
      </c>
      <c r="X52" s="462" t="s">
        <v>643</v>
      </c>
      <c r="Y52" s="1052">
        <f>MIN(T55:U57)</f>
        <v>25486.556287215903</v>
      </c>
      <c r="Z52" s="1053"/>
      <c r="AA52" s="463" t="s">
        <v>632</v>
      </c>
      <c r="AC52" s="455"/>
    </row>
    <row r="53" spans="2:48" ht="18" x14ac:dyDescent="0.25">
      <c r="B53" s="369"/>
      <c r="C53" s="288" t="s">
        <v>622</v>
      </c>
      <c r="D53" s="1054">
        <v>75</v>
      </c>
      <c r="E53" s="1054"/>
      <c r="F53" s="359" t="s">
        <v>240</v>
      </c>
      <c r="G53" s="288" t="s">
        <v>714</v>
      </c>
      <c r="H53" s="1054">
        <v>204</v>
      </c>
      <c r="I53" s="1054"/>
      <c r="J53" s="359" t="s">
        <v>240</v>
      </c>
      <c r="K53" s="288" t="s">
        <v>715</v>
      </c>
      <c r="L53" s="1054">
        <v>82</v>
      </c>
      <c r="M53" s="1054"/>
      <c r="N53" s="359" t="s">
        <v>240</v>
      </c>
      <c r="O53" s="288"/>
      <c r="P53" s="1020"/>
      <c r="Q53" s="1020"/>
      <c r="S53" s="288" t="s">
        <v>760</v>
      </c>
      <c r="T53" s="1055">
        <f>IF(D53&gt;1.25*H53,1.25*H53,D53)</f>
        <v>75</v>
      </c>
      <c r="U53" s="1055"/>
      <c r="V53" s="359" t="s">
        <v>240</v>
      </c>
      <c r="AC53" s="455"/>
    </row>
    <row r="54" spans="2:48" x14ac:dyDescent="0.25">
      <c r="B54" s="369"/>
      <c r="AC54" s="455"/>
    </row>
    <row r="55" spans="2:48" ht="18" x14ac:dyDescent="0.25">
      <c r="B55" s="369"/>
      <c r="F55" s="456" t="s">
        <v>626</v>
      </c>
      <c r="H55" s="288" t="s">
        <v>633</v>
      </c>
      <c r="I55" s="1051">
        <f>MIN(L60,Z60)</f>
        <v>1037.1047772477586</v>
      </c>
      <c r="J55" s="1051"/>
      <c r="K55" s="359" t="s">
        <v>240</v>
      </c>
      <c r="M55" s="288" t="s">
        <v>634</v>
      </c>
      <c r="N55" s="1051">
        <f>0.25*(I55*0.001)*H5^2*N6/G_M0</f>
        <v>2070.9686020666181</v>
      </c>
      <c r="O55" s="1051"/>
      <c r="P55" s="359" t="s">
        <v>629</v>
      </c>
      <c r="S55" s="288" t="s">
        <v>635</v>
      </c>
      <c r="T55" s="1051">
        <f>4*N55/(0.001*H53)</f>
        <v>40607.227491502315</v>
      </c>
      <c r="U55" s="1051"/>
      <c r="V55" s="359" t="s">
        <v>632</v>
      </c>
      <c r="AC55" s="455"/>
    </row>
    <row r="56" spans="2:48" ht="18.75" thickBot="1" x14ac:dyDescent="0.3">
      <c r="B56" s="369"/>
      <c r="F56" s="456" t="s">
        <v>627</v>
      </c>
      <c r="H56" s="288" t="s">
        <v>638</v>
      </c>
      <c r="I56" s="1051">
        <f>MIN(Z60)</f>
        <v>1037.1047772477586</v>
      </c>
      <c r="J56" s="1051"/>
      <c r="K56" s="359" t="s">
        <v>240</v>
      </c>
      <c r="M56" s="288" t="s">
        <v>637</v>
      </c>
      <c r="N56" s="1051">
        <f>0.25*(I56*0.001)*H5^2*N6/G_M0</f>
        <v>2070.9686020666181</v>
      </c>
      <c r="O56" s="1051"/>
      <c r="P56" s="359" t="s">
        <v>629</v>
      </c>
      <c r="S56" s="288" t="s">
        <v>636</v>
      </c>
      <c r="T56" s="1051">
        <f>(2*N56+0.001*T53*T57)/(0.001*(T53+H53))</f>
        <v>25486.556287215903</v>
      </c>
      <c r="U56" s="1051"/>
      <c r="V56" s="359" t="s">
        <v>632</v>
      </c>
      <c r="AC56" s="455"/>
    </row>
    <row r="57" spans="2:48" ht="18.75" thickBot="1" x14ac:dyDescent="0.3">
      <c r="B57" s="369"/>
      <c r="F57" s="456" t="s">
        <v>641</v>
      </c>
      <c r="M57" s="288" t="s">
        <v>647</v>
      </c>
      <c r="N57" s="1051">
        <f>0.9*S6*X6/1.25</f>
        <v>19792.080000000002</v>
      </c>
      <c r="O57" s="1051"/>
      <c r="P57" s="359" t="s">
        <v>632</v>
      </c>
      <c r="S57" s="288" t="s">
        <v>642</v>
      </c>
      <c r="T57" s="1051">
        <f>2*N57</f>
        <v>39584.160000000003</v>
      </c>
      <c r="U57" s="1051"/>
      <c r="V57" s="359" t="s">
        <v>632</v>
      </c>
      <c r="AC57" s="455"/>
      <c r="AF57" s="494" t="s">
        <v>756</v>
      </c>
      <c r="AG57" s="495">
        <f>INDEX(AL59:AV59,MATCH(AG58,AL60:AV60,0))</f>
        <v>5.5</v>
      </c>
      <c r="AH57" s="496">
        <f>(AG57*(AI58-AH58)+AI57*(AH58-AG58))/(AI58-AG58)</f>
        <v>5.2668907693721589</v>
      </c>
      <c r="AI57" s="497">
        <f>INDEX(AL59:AV59,MATCH(AI58,AL60:AV60,0))</f>
        <v>5</v>
      </c>
    </row>
    <row r="58" spans="2:48" ht="15.75" thickBot="1" x14ac:dyDescent="0.25">
      <c r="B58" s="369"/>
      <c r="C58" s="1049" t="s">
        <v>639</v>
      </c>
      <c r="D58" s="1049"/>
      <c r="E58" s="1049"/>
      <c r="F58" s="1049"/>
      <c r="G58" s="1049"/>
      <c r="H58" s="1049"/>
      <c r="I58" s="1049"/>
      <c r="J58" s="1049"/>
      <c r="K58" s="1049"/>
      <c r="L58" s="1049"/>
      <c r="M58" s="1049"/>
      <c r="N58" s="1049"/>
      <c r="O58" s="457"/>
      <c r="Q58" s="1049" t="s">
        <v>640</v>
      </c>
      <c r="R58" s="1049"/>
      <c r="S58" s="1049"/>
      <c r="T58" s="1049"/>
      <c r="U58" s="1049"/>
      <c r="V58" s="1049"/>
      <c r="W58" s="1049"/>
      <c r="X58" s="1049"/>
      <c r="Y58" s="1049"/>
      <c r="Z58" s="1049"/>
      <c r="AA58" s="1049"/>
      <c r="AB58" s="1049"/>
      <c r="AC58" s="455"/>
      <c r="AE58" s="509"/>
      <c r="AF58" s="498">
        <f>AK60</f>
        <v>0.25</v>
      </c>
      <c r="AG58" s="499">
        <f>INDEX(AL60:AV60,MATCH(T61,AL60:AV60,1))</f>
        <v>0.69505858380030572</v>
      </c>
      <c r="AH58" s="500">
        <f>T61</f>
        <v>0.73118279569892475</v>
      </c>
      <c r="AI58" s="501" cm="1">
        <f t="array" ref="AI58">INDEX(AL60:AV60,MATCH(T61,AL60:AV60,1)+1)</f>
        <v>0.77254202750891499</v>
      </c>
      <c r="AJ58" s="484"/>
      <c r="AK58" s="484"/>
      <c r="AL58" s="484"/>
      <c r="AM58" s="484"/>
      <c r="AN58" s="484"/>
      <c r="AO58" s="484"/>
      <c r="AP58" s="484"/>
      <c r="AQ58" s="484"/>
    </row>
    <row r="59" spans="2:48" ht="18.75" thickBot="1" x14ac:dyDescent="0.3">
      <c r="B59" s="369"/>
      <c r="P59" s="369"/>
      <c r="AC59" s="455"/>
      <c r="AF59" s="502">
        <f>V61</f>
        <v>0.29390681003584229</v>
      </c>
      <c r="AG59" s="503"/>
      <c r="AH59" s="504">
        <f>(AH57*(AF61-AF59)+AH60*(AF59-AF58))/(AF61-AF58)</f>
        <v>5.0838469472929342</v>
      </c>
      <c r="AI59" s="505"/>
      <c r="AK59" s="494" t="s">
        <v>756</v>
      </c>
      <c r="AL59" s="491">
        <v>8</v>
      </c>
      <c r="AM59" s="489">
        <v>8</v>
      </c>
      <c r="AN59" s="489">
        <v>7</v>
      </c>
      <c r="AO59" s="489">
        <v>6.2830000000000004</v>
      </c>
      <c r="AP59" s="489">
        <v>6</v>
      </c>
      <c r="AQ59" s="489">
        <v>5.5</v>
      </c>
      <c r="AR59" s="489">
        <v>5</v>
      </c>
      <c r="AS59" s="489">
        <v>4.75</v>
      </c>
      <c r="AT59" s="489">
        <v>4.5</v>
      </c>
      <c r="AU59" s="489">
        <v>4.45</v>
      </c>
      <c r="AV59" s="490">
        <v>4.45</v>
      </c>
    </row>
    <row r="60" spans="2:48" ht="18.75" thickBot="1" x14ac:dyDescent="0.25">
      <c r="B60" s="369"/>
      <c r="L60" s="1050">
        <f>2*PI()*H53</f>
        <v>1281.7698026646356</v>
      </c>
      <c r="M60" s="1050"/>
      <c r="N60" s="359" t="s">
        <v>240</v>
      </c>
      <c r="P60" s="369"/>
      <c r="Z60" s="1050">
        <f>X61*H53</f>
        <v>1037.1047772477586</v>
      </c>
      <c r="AA60" s="1050"/>
      <c r="AB60" s="359" t="s">
        <v>240</v>
      </c>
      <c r="AC60" s="455"/>
      <c r="AF60" s="494" t="s">
        <v>756</v>
      </c>
      <c r="AG60" s="495">
        <f>INDEX(AL59:AV59,MATCH(AG61,AL61:AV61,0))</f>
        <v>5.5</v>
      </c>
      <c r="AH60" s="496">
        <f>(AG60*(AI61-AH61)+AI60*(AH61-AG61))/(AI61-AG61)</f>
        <v>5.0584449474941842</v>
      </c>
      <c r="AI60" s="497">
        <f>INDEX(AL59:AV59,MATCH(AI61,AL61:AV61,0))</f>
        <v>5</v>
      </c>
      <c r="AK60" s="506">
        <f>INDEX(Data!$Y$4:$Y$33,MATCH(V61,Data!$Y$4:$Y$33,1))</f>
        <v>0.25</v>
      </c>
      <c r="AL60" s="492">
        <f>VLOOKUP($AK60,Data!$Y$4:$AJ$33,2,FALSE)</f>
        <v>0</v>
      </c>
      <c r="AM60" s="487">
        <f>VLOOKUP($AK60,Data!$Y$4:$AJ$33,3,FALSE)</f>
        <v>0.33200000000000002</v>
      </c>
      <c r="AN60" s="487">
        <f>VLOOKUP($AK60,Data!$Y$4:$AJ$33,4,FALSE)</f>
        <v>0.44750000000000001</v>
      </c>
      <c r="AO60" s="487">
        <f>VLOOKUP($AK60,Data!$Y$4:$AJ$33,5,FALSE)</f>
        <v>0.55659704533876719</v>
      </c>
      <c r="AP60" s="487">
        <f>VLOOKUP($AK60,Data!$Y$4:$AJ$33,6,FALSE)</f>
        <v>0.63</v>
      </c>
      <c r="AQ60" s="487">
        <f>VLOOKUP($AK60,Data!$Y$4:$AJ$33,7,FALSE)</f>
        <v>0.69505858380030572</v>
      </c>
      <c r="AR60" s="487">
        <f>VLOOKUP($AK60,Data!$Y$4:$AJ$33,8,FALSE)</f>
        <v>0.77254202750891499</v>
      </c>
      <c r="AS60" s="487">
        <f>VLOOKUP($AK60,Data!$Y$4:$AJ$33,9,FALSE)</f>
        <v>0.81930718288334192</v>
      </c>
      <c r="AT60" s="487">
        <f>VLOOKUP($AK60,Data!$Y$4:$AJ$33,10,FALSE)</f>
        <v>0.87019867549668883</v>
      </c>
      <c r="AU60" s="487">
        <f>VLOOKUP($AK60,Data!$Y$4:$AJ$33,11,FALSE)</f>
        <v>0.89312277126846673</v>
      </c>
      <c r="AV60" s="488">
        <f>VLOOKUP($AK60,Data!$Y$4:$AJ$33,12,FALSE)</f>
        <v>1</v>
      </c>
    </row>
    <row r="61" spans="2:48" ht="18.75" thickBot="1" x14ac:dyDescent="0.25">
      <c r="B61" s="369"/>
      <c r="P61" s="369"/>
      <c r="S61" s="483" t="s">
        <v>753</v>
      </c>
      <c r="T61" s="672">
        <f>H53/(H53+D53)</f>
        <v>0.73118279569892475</v>
      </c>
      <c r="U61" s="483" t="s">
        <v>752</v>
      </c>
      <c r="V61" s="672">
        <f>L53/(H53+D53)</f>
        <v>0.29390681003584229</v>
      </c>
      <c r="W61" s="382" t="s">
        <v>718</v>
      </c>
      <c r="X61" s="203">
        <f>AH59</f>
        <v>5.0838469472929342</v>
      </c>
      <c r="AC61" s="455"/>
      <c r="AF61" s="498">
        <f>AK61</f>
        <v>0.3</v>
      </c>
      <c r="AG61" s="499">
        <f>INDEX(AL61:AV61,MATCH(T61,AL61:AV61,1))</f>
        <v>0.65425369332654104</v>
      </c>
      <c r="AH61" s="500">
        <f>T61</f>
        <v>0.73118279569892475</v>
      </c>
      <c r="AI61" s="501" cm="1">
        <f t="array" ref="AI61">INDEX($AL61:$AV61,MATCH(T61,$AL61:$AV61,1)+1)</f>
        <v>0.74136525725929714</v>
      </c>
      <c r="AK61" s="507" cm="1">
        <f t="array" ref="AK61">INDEX(Data!$Y$4:$Y$33,MATCH(V61,Data!$Y$4:$Y$33,1)+1)</f>
        <v>0.3</v>
      </c>
      <c r="AL61" s="493">
        <f>VLOOKUP($AK61,Data!$Y$5:$AJ$34,2,FALSE)</f>
        <v>0</v>
      </c>
      <c r="AM61" s="485">
        <f>VLOOKUP($AK61,Data!$Y$5:$AJ$34,3,FALSE)</f>
        <v>0.28899999999999998</v>
      </c>
      <c r="AN61" s="485">
        <f>VLOOKUP($AK61,Data!$Y$5:$AJ$34,4,FALSE)</f>
        <v>0.39900000000000002</v>
      </c>
      <c r="AO61" s="485">
        <f>VLOOKUP($AK61,Data!$Y$5:$AJ$34,5,FALSE)</f>
        <v>0.51258278145695368</v>
      </c>
      <c r="AP61" s="485">
        <f>VLOOKUP($AK61,Data!$Y$5:$AJ$34,6,FALSE)</f>
        <v>0.58499999999999996</v>
      </c>
      <c r="AQ61" s="485">
        <f>VLOOKUP($AK61,Data!$Y$5:$AJ$34,7,FALSE)</f>
        <v>0.65425369332654104</v>
      </c>
      <c r="AR61" s="485">
        <f>VLOOKUP($AK61,Data!$Y$5:$AJ$34,8,FALSE)</f>
        <v>0.74136525725929714</v>
      </c>
      <c r="AS61" s="485">
        <f>VLOOKUP($AK61,Data!$Y$5:$AJ$34,9,FALSE)</f>
        <v>0.79317371370351508</v>
      </c>
      <c r="AT61" s="485">
        <f>VLOOKUP($AK61,Data!$Y$5:$AJ$34,10,FALSE)</f>
        <v>0.85048395313295977</v>
      </c>
      <c r="AU61" s="485">
        <f>VLOOKUP($AK61,Data!$Y$5:$AJ$34,11,FALSE)</f>
        <v>0.86836474783494666</v>
      </c>
      <c r="AV61" s="486">
        <f>VLOOKUP($AK61,Data!$Y$5:$AJ$34,12,FALSE)</f>
        <v>1</v>
      </c>
    </row>
    <row r="62" spans="2:48" x14ac:dyDescent="0.25">
      <c r="B62" s="369"/>
      <c r="AC62" s="455"/>
    </row>
    <row r="63" spans="2:48" x14ac:dyDescent="0.25">
      <c r="B63" s="369"/>
      <c r="C63" s="1019" t="s">
        <v>648</v>
      </c>
      <c r="D63" s="1020"/>
      <c r="E63" s="1020"/>
      <c r="F63" s="1020"/>
      <c r="G63" s="1020"/>
      <c r="H63" s="1020"/>
      <c r="I63" s="1020"/>
      <c r="J63" s="1020"/>
      <c r="K63" s="1020"/>
      <c r="L63" s="1020"/>
      <c r="M63" s="1020"/>
      <c r="N63" s="1020"/>
      <c r="O63" s="1020"/>
      <c r="P63" s="1020"/>
      <c r="Q63" s="1020"/>
      <c r="R63" s="1020"/>
      <c r="S63" s="1020"/>
      <c r="T63" s="1020"/>
      <c r="U63" s="1020"/>
      <c r="V63" s="1020"/>
      <c r="W63" s="1020"/>
      <c r="X63" s="1020"/>
      <c r="Y63" s="1020"/>
      <c r="Z63" s="1020"/>
      <c r="AA63" s="1020"/>
      <c r="AB63" s="1020"/>
      <c r="AC63" s="455"/>
    </row>
    <row r="64" spans="2:48" ht="15.75" thickBot="1" x14ac:dyDescent="0.3">
      <c r="B64" s="369"/>
      <c r="AC64" s="455"/>
    </row>
    <row r="65" spans="2:48" ht="18.75" thickBot="1" x14ac:dyDescent="0.3">
      <c r="B65" s="369"/>
      <c r="C65" s="454" t="str">
        <f>IF(Configuration!Y4="EN","Double-stiffened inner bolt pair","Paire de boulons intérieurs doublement raidis")</f>
        <v>Paire de boulons intérieurs doublement raidis</v>
      </c>
      <c r="V65" s="760" t="s">
        <v>1843</v>
      </c>
      <c r="X65" s="462" t="s">
        <v>643</v>
      </c>
      <c r="Y65" s="1052">
        <f>MIN(T68:U70)</f>
        <v>26006.372114345086</v>
      </c>
      <c r="Z65" s="1053"/>
      <c r="AA65" s="463" t="s">
        <v>632</v>
      </c>
      <c r="AC65" s="455"/>
      <c r="AF65" s="494" t="s">
        <v>756</v>
      </c>
      <c r="AG65" s="495">
        <f>INDEX(AL67:AV67,MATCH(AG66,AL68:AV68,0))</f>
        <v>5.5</v>
      </c>
      <c r="AH65" s="496">
        <f>(AG65*(AI66-AH66)+AI65*(AH66-AG66))/(AI66-AG66)</f>
        <v>5.2668907693721589</v>
      </c>
      <c r="AI65" s="497">
        <f>INDEX(AL67:AV67,MATCH(AI66,AL68:AV68,0))</f>
        <v>5</v>
      </c>
      <c r="AK65" s="508"/>
    </row>
    <row r="66" spans="2:48" ht="15.75" thickBot="1" x14ac:dyDescent="0.25">
      <c r="B66" s="369"/>
      <c r="C66" s="288" t="s">
        <v>622</v>
      </c>
      <c r="D66" s="1054">
        <v>75</v>
      </c>
      <c r="E66" s="1054"/>
      <c r="F66" s="359" t="s">
        <v>240</v>
      </c>
      <c r="G66" s="288" t="s">
        <v>714</v>
      </c>
      <c r="H66" s="1054">
        <v>204</v>
      </c>
      <c r="I66" s="1054"/>
      <c r="J66" s="359" t="s">
        <v>240</v>
      </c>
      <c r="K66" s="438" t="s">
        <v>761</v>
      </c>
      <c r="L66" s="1054">
        <v>82</v>
      </c>
      <c r="M66" s="1054"/>
      <c r="N66" s="359" t="s">
        <v>240</v>
      </c>
      <c r="O66" s="438" t="s">
        <v>762</v>
      </c>
      <c r="P66" s="1054">
        <v>170</v>
      </c>
      <c r="Q66" s="1054"/>
      <c r="R66" s="359" t="s">
        <v>240</v>
      </c>
      <c r="S66" s="288" t="s">
        <v>760</v>
      </c>
      <c r="T66" s="1055">
        <f>IF(D66&gt;1.25*H66,1.25*H66,D66)</f>
        <v>75</v>
      </c>
      <c r="U66" s="1055"/>
      <c r="V66" s="359" t="s">
        <v>240</v>
      </c>
      <c r="AC66" s="455"/>
      <c r="AF66" s="498">
        <f>AK68</f>
        <v>0.25</v>
      </c>
      <c r="AG66" s="499">
        <f>INDEX(AL68:AV68,MATCH(T73,AL68:AV68,1))</f>
        <v>0.69505858380030572</v>
      </c>
      <c r="AH66" s="500">
        <f>T73</f>
        <v>0.73118279569892475</v>
      </c>
      <c r="AI66" s="501" cm="1">
        <f t="array" ref="AI66">INDEX(AL68:AV68,MATCH(T73,AL68:AV68,1)+1)</f>
        <v>0.77254202750891499</v>
      </c>
      <c r="AJ66" s="484"/>
      <c r="AK66" s="484"/>
      <c r="AL66" s="484"/>
      <c r="AM66" s="484"/>
      <c r="AN66" s="484"/>
      <c r="AO66" s="484"/>
      <c r="AP66" s="484"/>
      <c r="AQ66" s="484"/>
    </row>
    <row r="67" spans="2:48" ht="18.75" thickBot="1" x14ac:dyDescent="0.3">
      <c r="B67" s="369"/>
      <c r="AC67" s="455"/>
      <c r="AF67" s="502">
        <f>V73</f>
        <v>0.29390681003584229</v>
      </c>
      <c r="AG67" s="503"/>
      <c r="AH67" s="504">
        <f>(AH65*(AF69-AF67)+AH68*(AF67-AF66))/(AF69-AF66)</f>
        <v>5.0838469472929342</v>
      </c>
      <c r="AI67" s="505"/>
      <c r="AK67" s="494" t="s">
        <v>756</v>
      </c>
      <c r="AL67" s="491">
        <v>8</v>
      </c>
      <c r="AM67" s="489">
        <v>8</v>
      </c>
      <c r="AN67" s="489">
        <v>7</v>
      </c>
      <c r="AO67" s="489">
        <v>6.2830000000000004</v>
      </c>
      <c r="AP67" s="489">
        <v>6</v>
      </c>
      <c r="AQ67" s="489">
        <v>5.5</v>
      </c>
      <c r="AR67" s="489">
        <v>5</v>
      </c>
      <c r="AS67" s="489">
        <v>4.75</v>
      </c>
      <c r="AT67" s="489">
        <v>4.5</v>
      </c>
      <c r="AU67" s="489">
        <v>4.45</v>
      </c>
      <c r="AV67" s="490">
        <v>4.45</v>
      </c>
    </row>
    <row r="68" spans="2:48" ht="18.75" thickBot="1" x14ac:dyDescent="0.25">
      <c r="B68" s="369"/>
      <c r="F68" s="456" t="str">
        <f>IF(Configuration!Y4="EN","Failure mode 1:","Mode de ruine 1 :")</f>
        <v>Mode de ruine 1 :</v>
      </c>
      <c r="H68" s="288" t="s">
        <v>633</v>
      </c>
      <c r="I68" s="1051">
        <f>MIN(L73,Z73)</f>
        <v>1073.418671650023</v>
      </c>
      <c r="J68" s="1051"/>
      <c r="K68" s="359" t="s">
        <v>240</v>
      </c>
      <c r="M68" s="288" t="s">
        <v>634</v>
      </c>
      <c r="N68" s="1051">
        <f>0.25*(I68*0.001)*H5^2*N6/G_M0</f>
        <v>2143.4829099511398</v>
      </c>
      <c r="O68" s="1051"/>
      <c r="P68" s="359" t="s">
        <v>629</v>
      </c>
      <c r="S68" s="288" t="s">
        <v>635</v>
      </c>
      <c r="T68" s="1051">
        <f>4*N68/(0.001*H66)</f>
        <v>42029.076665708621</v>
      </c>
      <c r="U68" s="1051"/>
      <c r="V68" s="359" t="s">
        <v>632</v>
      </c>
      <c r="AC68" s="455"/>
      <c r="AF68" s="494" t="s">
        <v>756</v>
      </c>
      <c r="AG68" s="495">
        <f>INDEX(AL67:AV67,MATCH(AG69,AL69:AV69,0))</f>
        <v>5.5</v>
      </c>
      <c r="AH68" s="496">
        <f>(AG68*(AI69-AH69)+AI68*(AH69-AG69))/(AI69-AG69)</f>
        <v>5.0584449474941842</v>
      </c>
      <c r="AI68" s="497">
        <f>INDEX(AL67:AV67,MATCH(AI69,AL69:AV69,0))</f>
        <v>5</v>
      </c>
      <c r="AK68" s="506">
        <f>INDEX(Data!$Y$4:$Y$33,MATCH(V73,Data!$Y$4:$Y$33,1))</f>
        <v>0.25</v>
      </c>
      <c r="AL68" s="492">
        <f>VLOOKUP($AK68,Data!$Y$4:$AJ$33,2,FALSE)</f>
        <v>0</v>
      </c>
      <c r="AM68" s="487">
        <f>VLOOKUP($AK68,Data!$Y$4:$AJ$33,3,FALSE)</f>
        <v>0.33200000000000002</v>
      </c>
      <c r="AN68" s="487">
        <f>VLOOKUP($AK68,Data!$Y$4:$AJ$33,4,FALSE)</f>
        <v>0.44750000000000001</v>
      </c>
      <c r="AO68" s="487">
        <f>VLOOKUP($AK68,Data!$Y$4:$AJ$33,5,FALSE)</f>
        <v>0.55659704533876719</v>
      </c>
      <c r="AP68" s="487">
        <f>VLOOKUP($AK68,Data!$Y$4:$AJ$33,6,FALSE)</f>
        <v>0.63</v>
      </c>
      <c r="AQ68" s="487">
        <f>VLOOKUP($AK68,Data!$Y$4:$AJ$33,7,FALSE)</f>
        <v>0.69505858380030572</v>
      </c>
      <c r="AR68" s="487">
        <f>VLOOKUP($AK68,Data!$Y$4:$AJ$33,8,FALSE)</f>
        <v>0.77254202750891499</v>
      </c>
      <c r="AS68" s="487">
        <f>VLOOKUP($AK68,Data!$Y$4:$AJ$33,9,FALSE)</f>
        <v>0.81930718288334192</v>
      </c>
      <c r="AT68" s="487">
        <f>VLOOKUP($AK68,Data!$Y$4:$AJ$33,10,FALSE)</f>
        <v>0.87019867549668883</v>
      </c>
      <c r="AU68" s="487">
        <f>VLOOKUP($AK68,Data!$Y$4:$AJ$33,11,FALSE)</f>
        <v>0.89312277126846673</v>
      </c>
      <c r="AV68" s="488">
        <f>VLOOKUP($AK68,Data!$Y$4:$AJ$33,12,FALSE)</f>
        <v>1</v>
      </c>
    </row>
    <row r="69" spans="2:48" ht="18.75" thickBot="1" x14ac:dyDescent="0.25">
      <c r="B69" s="369"/>
      <c r="F69" s="456" t="str">
        <f>IF(Configuration!Y4="EN","Failure mode 2:","Mode de ruine 2 :")</f>
        <v>Mode de ruine 2 :</v>
      </c>
      <c r="H69" s="288" t="s">
        <v>638</v>
      </c>
      <c r="I69" s="1051">
        <f>MIN(Z73)</f>
        <v>1073.418671650023</v>
      </c>
      <c r="J69" s="1051"/>
      <c r="K69" s="359" t="s">
        <v>240</v>
      </c>
      <c r="M69" s="288" t="s">
        <v>637</v>
      </c>
      <c r="N69" s="1051">
        <f>0.25*(I69*0.001)*H5^2*N6/G_M0</f>
        <v>2143.4829099511398</v>
      </c>
      <c r="O69" s="1051"/>
      <c r="P69" s="359" t="s">
        <v>629</v>
      </c>
      <c r="S69" s="288" t="s">
        <v>636</v>
      </c>
      <c r="T69" s="1051">
        <f>(2*N69+0.001*T66*T70)/(0.001*(T66+H66))</f>
        <v>26006.372114345086</v>
      </c>
      <c r="U69" s="1051"/>
      <c r="V69" s="359" t="s">
        <v>632</v>
      </c>
      <c r="AC69" s="455"/>
      <c r="AF69" s="498">
        <f>AK69</f>
        <v>0.3</v>
      </c>
      <c r="AG69" s="499">
        <f>INDEX(AL69:AV69,MATCH(T73,AL69:AV69,1))</f>
        <v>0.65425369332654104</v>
      </c>
      <c r="AH69" s="500">
        <f>T73</f>
        <v>0.73118279569892475</v>
      </c>
      <c r="AI69" s="501" cm="1">
        <f t="array" ref="AI69">INDEX($AL69:$AV69,MATCH(T73,$AL69:$AV69,1)+1)</f>
        <v>0.74136525725929714</v>
      </c>
      <c r="AK69" s="507" cm="1">
        <f t="array" ref="AK69">INDEX(Data!$Y$4:$Y$33,MATCH(V73,Data!$Y$4:$Y$33,1)+1)</f>
        <v>0.3</v>
      </c>
      <c r="AL69" s="493">
        <f>VLOOKUP($AK69,Data!$Y$5:$AJ$34,2,FALSE)</f>
        <v>0</v>
      </c>
      <c r="AM69" s="485">
        <f>VLOOKUP($AK69,Data!$Y$5:$AJ$34,3,FALSE)</f>
        <v>0.28899999999999998</v>
      </c>
      <c r="AN69" s="485">
        <f>VLOOKUP($AK69,Data!$Y$5:$AJ$34,4,FALSE)</f>
        <v>0.39900000000000002</v>
      </c>
      <c r="AO69" s="485">
        <f>VLOOKUP($AK69,Data!$Y$5:$AJ$34,5,FALSE)</f>
        <v>0.51258278145695368</v>
      </c>
      <c r="AP69" s="485">
        <f>VLOOKUP($AK69,Data!$Y$5:$AJ$34,6,FALSE)</f>
        <v>0.58499999999999996</v>
      </c>
      <c r="AQ69" s="485">
        <f>VLOOKUP($AK69,Data!$Y$5:$AJ$34,7,FALSE)</f>
        <v>0.65425369332654104</v>
      </c>
      <c r="AR69" s="485">
        <f>VLOOKUP($AK69,Data!$Y$5:$AJ$34,8,FALSE)</f>
        <v>0.74136525725929714</v>
      </c>
      <c r="AS69" s="485">
        <f>VLOOKUP($AK69,Data!$Y$5:$AJ$34,9,FALSE)</f>
        <v>0.79317371370351508</v>
      </c>
      <c r="AT69" s="485">
        <f>VLOOKUP($AK69,Data!$Y$5:$AJ$34,10,FALSE)</f>
        <v>0.85048395313295977</v>
      </c>
      <c r="AU69" s="485">
        <f>VLOOKUP($AK69,Data!$Y$5:$AJ$34,11,FALSE)</f>
        <v>0.86836474783494666</v>
      </c>
      <c r="AV69" s="486">
        <f>VLOOKUP($AK69,Data!$Y$5:$AJ$34,12,FALSE)</f>
        <v>1</v>
      </c>
    </row>
    <row r="70" spans="2:48" ht="18.75" thickBot="1" x14ac:dyDescent="0.3">
      <c r="B70" s="369"/>
      <c r="F70" s="456" t="str">
        <f>IF(Configuration!Y4="EN","Failure mode 3:","Mode de ruine 3 :")</f>
        <v>Mode de ruine 3 :</v>
      </c>
      <c r="M70" s="288" t="s">
        <v>647</v>
      </c>
      <c r="N70" s="1051">
        <f>0.9*S6*X6/1.25</f>
        <v>19792.080000000002</v>
      </c>
      <c r="O70" s="1051"/>
      <c r="P70" s="359" t="s">
        <v>632</v>
      </c>
      <c r="S70" s="288" t="s">
        <v>642</v>
      </c>
      <c r="T70" s="1051">
        <f>2*N70</f>
        <v>39584.160000000003</v>
      </c>
      <c r="U70" s="1051"/>
      <c r="V70" s="359" t="s">
        <v>632</v>
      </c>
      <c r="AC70" s="455"/>
    </row>
    <row r="71" spans="2:48" ht="18.75" thickBot="1" x14ac:dyDescent="0.25">
      <c r="B71" s="369"/>
      <c r="C71" s="1049" t="str">
        <f>IF(Configuration!Y4="EN","Circular Pattern","Mode Circulaire")</f>
        <v>Mode Circulaire</v>
      </c>
      <c r="D71" s="1049"/>
      <c r="E71" s="1049"/>
      <c r="F71" s="1049"/>
      <c r="G71" s="1049"/>
      <c r="H71" s="1049"/>
      <c r="I71" s="1049"/>
      <c r="J71" s="1049"/>
      <c r="K71" s="1049"/>
      <c r="L71" s="1049"/>
      <c r="M71" s="1049"/>
      <c r="N71" s="1049"/>
      <c r="O71" s="457"/>
      <c r="Q71" s="1049" t="str">
        <f>IF(Configuration!Y4="EN","Non-Circular Pattern","Mode non Circulaire")</f>
        <v>Mode non Circulaire</v>
      </c>
      <c r="R71" s="1049"/>
      <c r="S71" s="1049"/>
      <c r="T71" s="1049"/>
      <c r="U71" s="1049"/>
      <c r="V71" s="1049"/>
      <c r="W71" s="1049"/>
      <c r="X71" s="1049"/>
      <c r="Y71" s="1049"/>
      <c r="Z71" s="1049"/>
      <c r="AA71" s="1049"/>
      <c r="AB71" s="1049"/>
      <c r="AC71" s="455"/>
      <c r="AE71" s="509"/>
      <c r="AF71" s="494" t="s">
        <v>757</v>
      </c>
      <c r="AG71" s="495">
        <f>INDEX(AL72:AV72,MATCH(AG72,AL73:AV73,0))</f>
        <v>4.75</v>
      </c>
      <c r="AH71" s="496">
        <f>(AG71*(AI72-AH72)+AI71*(AH72-AG72))/(AI72-AG72)</f>
        <v>4.6421744324970131</v>
      </c>
      <c r="AI71" s="497">
        <f>INDEX(AL72:AV72,MATCH(AI72,AL73:AV73,0))</f>
        <v>4.5</v>
      </c>
      <c r="AJ71" s="484"/>
      <c r="AK71" s="484"/>
      <c r="AL71" s="484"/>
      <c r="AM71" s="484"/>
      <c r="AN71" s="484"/>
      <c r="AO71" s="484"/>
      <c r="AP71" s="484"/>
      <c r="AQ71" s="484"/>
    </row>
    <row r="72" spans="2:48" ht="18.75" thickBot="1" x14ac:dyDescent="0.3">
      <c r="B72" s="369"/>
      <c r="P72" s="369"/>
      <c r="AC72" s="455"/>
      <c r="AF72" s="498">
        <f>AK73</f>
        <v>0.6</v>
      </c>
      <c r="AG72" s="499">
        <f>INDEX(AL73:AV73,MATCH(T74,AL73:AV73,1))</f>
        <v>0.69460010188487009</v>
      </c>
      <c r="AH72" s="500">
        <f>T74</f>
        <v>0.73118279569892475</v>
      </c>
      <c r="AI72" s="501" cm="1">
        <f t="array" ref="AI72">INDEX(AL73:AV73,MATCH(T74,AL73:AV73,1)+1)</f>
        <v>0.77941925624044839</v>
      </c>
      <c r="AK72" s="494" t="s">
        <v>757</v>
      </c>
      <c r="AL72" s="491">
        <v>8</v>
      </c>
      <c r="AM72" s="489">
        <v>8</v>
      </c>
      <c r="AN72" s="489">
        <v>7</v>
      </c>
      <c r="AO72" s="489">
        <v>6.2830000000000004</v>
      </c>
      <c r="AP72" s="489">
        <v>6</v>
      </c>
      <c r="AQ72" s="489">
        <v>5.5</v>
      </c>
      <c r="AR72" s="489">
        <v>5</v>
      </c>
      <c r="AS72" s="489">
        <v>4.75</v>
      </c>
      <c r="AT72" s="489">
        <v>4.5</v>
      </c>
      <c r="AU72" s="489">
        <v>4.45</v>
      </c>
      <c r="AV72" s="490">
        <v>4.45</v>
      </c>
    </row>
    <row r="73" spans="2:48" ht="18.75" thickBot="1" x14ac:dyDescent="0.25">
      <c r="B73" s="369"/>
      <c r="L73" s="1050">
        <f>2*PI()*H66</f>
        <v>1281.7698026646356</v>
      </c>
      <c r="M73" s="1050"/>
      <c r="N73" s="359" t="s">
        <v>240</v>
      </c>
      <c r="P73" s="369"/>
      <c r="S73" s="483" t="s">
        <v>753</v>
      </c>
      <c r="T73" s="672">
        <f>H66/(H66+D66)</f>
        <v>0.73118279569892475</v>
      </c>
      <c r="U73" s="483" t="s">
        <v>752</v>
      </c>
      <c r="V73" s="672">
        <f>L66/(H66+D66)</f>
        <v>0.29390681003584229</v>
      </c>
      <c r="W73" s="382" t="s">
        <v>718</v>
      </c>
      <c r="X73" s="203">
        <f>AH67</f>
        <v>5.0838469472929342</v>
      </c>
      <c r="Y73" s="549" t="s">
        <v>793</v>
      </c>
      <c r="Z73" s="1050">
        <f>X73*H66+X74*H66-(4*H66+1.25*D66)</f>
        <v>1073.418671650023</v>
      </c>
      <c r="AA73" s="1050"/>
      <c r="AB73" s="359" t="s">
        <v>240</v>
      </c>
      <c r="AC73" s="455"/>
      <c r="AF73" s="502">
        <f>V74</f>
        <v>0.60931899641577059</v>
      </c>
      <c r="AG73" s="503"/>
      <c r="AH73" s="504">
        <f>(AH71*(AF75-AF73)+AH74*(AF73-AF72))/(AF75-AF72)</f>
        <v>4.6375681098150219</v>
      </c>
      <c r="AI73" s="505"/>
      <c r="AK73" s="506">
        <f>INDEX(Data!$Y$4:$Y$33,MATCH(V74,Data!$Y$4:$Y$33,1))</f>
        <v>0.6</v>
      </c>
      <c r="AL73" s="492">
        <f>VLOOKUP($AK73,Data!$Y$4:$AJ$33,2,FALSE)</f>
        <v>0</v>
      </c>
      <c r="AM73" s="487">
        <f>VLOOKUP($AK73,Data!$Y$4:$AJ$33,3,FALSE)</f>
        <v>0.23400000000000001</v>
      </c>
      <c r="AN73" s="487">
        <f>VLOOKUP($AK73,Data!$Y$4:$AJ$33,4,FALSE)</f>
        <v>0.29099999999999998</v>
      </c>
      <c r="AO73" s="487">
        <f>VLOOKUP($AK73,Data!$Y$4:$AJ$33,5,FALSE)</f>
        <v>0.3690779419256241</v>
      </c>
      <c r="AP73" s="487">
        <f>VLOOKUP($AK73,Data!$Y$4:$AJ$33,6,FALSE)</f>
        <v>0.42899999999999999</v>
      </c>
      <c r="AQ73" s="487">
        <f>VLOOKUP($AK73,Data!$Y$4:$AJ$33,7,FALSE)</f>
        <v>0.50891492613346923</v>
      </c>
      <c r="AR73" s="487">
        <f>VLOOKUP($AK73,Data!$Y$4:$AJ$33,8,FALSE)</f>
        <v>0.61436576668364751</v>
      </c>
      <c r="AS73" s="487">
        <f>VLOOKUP($AK73,Data!$Y$4:$AJ$33,9,FALSE)</f>
        <v>0.69460010188487009</v>
      </c>
      <c r="AT73" s="487">
        <f>VLOOKUP($AK73,Data!$Y$4:$AJ$33,10,FALSE)</f>
        <v>0.77941925624044839</v>
      </c>
      <c r="AU73" s="487">
        <f>VLOOKUP($AK73,Data!$Y$4:$AJ$33,11,FALSE)</f>
        <v>0.79684156902699954</v>
      </c>
      <c r="AV73" s="488">
        <f>VLOOKUP($AK73,Data!$Y$4:$AJ$33,12,FALSE)</f>
        <v>1</v>
      </c>
    </row>
    <row r="74" spans="2:48" ht="18.75" thickBot="1" x14ac:dyDescent="0.25">
      <c r="B74" s="369"/>
      <c r="P74" s="369"/>
      <c r="S74" s="483" t="s">
        <v>754</v>
      </c>
      <c r="T74" s="672">
        <f>H66/(H66+D66)</f>
        <v>0.73118279569892475</v>
      </c>
      <c r="U74" s="483" t="s">
        <v>755</v>
      </c>
      <c r="V74" s="672">
        <f>P66/(H66+D66)</f>
        <v>0.60931899641577059</v>
      </c>
      <c r="W74" s="382" t="s">
        <v>719</v>
      </c>
      <c r="X74" s="203">
        <f>AH73</f>
        <v>4.6375681098150219</v>
      </c>
      <c r="Y74" s="549" t="s">
        <v>794</v>
      </c>
      <c r="AC74" s="455"/>
      <c r="AF74" s="494" t="s">
        <v>757</v>
      </c>
      <c r="AG74" s="495">
        <f>INDEX(AL72:AV72,MATCH(AG75,AL74:AV74,0))</f>
        <v>4.75</v>
      </c>
      <c r="AH74" s="496">
        <f>(AG74*(AI75-AH75)+AI74*(AH75-AG75))/(AI75-AG75)</f>
        <v>4.6174597396455592</v>
      </c>
      <c r="AI74" s="497">
        <f>INDEX(AL72:AV72,MATCH(AI75,AL74:AV74,0))</f>
        <v>4.5</v>
      </c>
      <c r="AK74" s="507" cm="1">
        <f t="array" ref="AK74">INDEX(Data!$Y$4:$Y$33,MATCH(V74,Data!$Y$4:$Y$33,1)+1)</f>
        <v>0.65</v>
      </c>
      <c r="AL74" s="493">
        <f>VLOOKUP($AK74,Data!$Y$5:$AJ$34,2,FALSE)</f>
        <v>0</v>
      </c>
      <c r="AM74" s="485">
        <f>VLOOKUP($AK74,Data!$Y$5:$AJ$34,3,FALSE)</f>
        <v>0.23400000000000001</v>
      </c>
      <c r="AN74" s="485">
        <f>VLOOKUP($AK74,Data!$Y$5:$AJ$34,4,FALSE)</f>
        <v>0.29099999999999998</v>
      </c>
      <c r="AO74" s="485">
        <f>VLOOKUP($AK74,Data!$Y$5:$AJ$34,5,FALSE)</f>
        <v>0.36082526744778404</v>
      </c>
      <c r="AP74" s="485">
        <f>VLOOKUP($AK74,Data!$Y$5:$AJ$34,6,FALSE)</f>
        <v>0.41599999999999998</v>
      </c>
      <c r="AQ74" s="485">
        <f>VLOOKUP($AK74,Data!$Y$5:$AJ$34,7,FALSE)</f>
        <v>0.49699439633214471</v>
      </c>
      <c r="AR74" s="485">
        <f>VLOOKUP($AK74,Data!$Y$5:$AJ$34,8,FALSE)</f>
        <v>0.60290371879775861</v>
      </c>
      <c r="AS74" s="485">
        <f>VLOOKUP($AK74,Data!$Y$5:$AJ$34,9,FALSE)</f>
        <v>0.68451349974528786</v>
      </c>
      <c r="AT74" s="485">
        <f>VLOOKUP($AK74,Data!$Y$5:$AJ$34,10,FALSE)</f>
        <v>0.77254202750891499</v>
      </c>
      <c r="AU74" s="485">
        <f>VLOOKUP($AK74,Data!$Y$5:$AJ$34,11,FALSE)</f>
        <v>0.79042282221090165</v>
      </c>
      <c r="AV74" s="486">
        <f>VLOOKUP($AK74,Data!$Y$5:$AJ$34,12,FALSE)</f>
        <v>1</v>
      </c>
    </row>
    <row r="75" spans="2:48" ht="15.75" thickBot="1" x14ac:dyDescent="0.3">
      <c r="B75" s="369"/>
      <c r="C75" s="380"/>
      <c r="AC75" s="455"/>
      <c r="AF75" s="498">
        <f>AK74</f>
        <v>0.65</v>
      </c>
      <c r="AG75" s="499">
        <f>INDEX(AL74:AV74,MATCH(T74,AL74:AV74,1))</f>
        <v>0.68451349974528786</v>
      </c>
      <c r="AH75" s="500">
        <f>T74</f>
        <v>0.73118279569892475</v>
      </c>
      <c r="AI75" s="501" cm="1">
        <f t="array" ref="AI75">INDEX($AL74:$AV74,MATCH(T74,$AL74:$AV74,1)+1)</f>
        <v>0.77254202750891499</v>
      </c>
    </row>
    <row r="76" spans="2:48" x14ac:dyDescent="0.25">
      <c r="B76" s="369"/>
      <c r="C76" s="1019" t="s">
        <v>648</v>
      </c>
      <c r="D76" s="1020"/>
      <c r="E76" s="1020"/>
      <c r="F76" s="1020"/>
      <c r="G76" s="1020"/>
      <c r="H76" s="1020"/>
      <c r="I76" s="1020"/>
      <c r="J76" s="1020"/>
      <c r="K76" s="1020"/>
      <c r="L76" s="1020"/>
      <c r="M76" s="1020"/>
      <c r="N76" s="1020"/>
      <c r="O76" s="1020"/>
      <c r="P76" s="1020"/>
      <c r="Q76" s="1020"/>
      <c r="R76" s="1020"/>
      <c r="S76" s="1020"/>
      <c r="T76" s="1020"/>
      <c r="U76" s="1020"/>
      <c r="V76" s="1020"/>
      <c r="W76" s="1020"/>
      <c r="X76" s="1020"/>
      <c r="Y76" s="1020"/>
      <c r="Z76" s="1020"/>
      <c r="AA76" s="1020"/>
      <c r="AB76" s="1020"/>
      <c r="AC76" s="455"/>
    </row>
    <row r="77" spans="2:48" x14ac:dyDescent="0.25">
      <c r="B77" s="369"/>
      <c r="AC77" s="455"/>
    </row>
    <row r="78" spans="2:48" ht="18" x14ac:dyDescent="0.25">
      <c r="B78" s="369"/>
      <c r="C78" s="454" t="str">
        <f>IF(Configuration!Y4="EN","Bolt pair far from any stiffener","Paire de boulons loin de tout raidisseurs")</f>
        <v>Paire de boulons loin de tout raidisseurs</v>
      </c>
      <c r="V78" s="760" t="s">
        <v>1843</v>
      </c>
      <c r="X78" s="462" t="s">
        <v>643</v>
      </c>
      <c r="Y78" s="1052">
        <f>MIN(T81:U83)</f>
        <v>33528.700000000004</v>
      </c>
      <c r="Z78" s="1053"/>
      <c r="AA78" s="463" t="s">
        <v>632</v>
      </c>
      <c r="AC78" s="455"/>
    </row>
    <row r="79" spans="2:48" x14ac:dyDescent="0.25">
      <c r="B79" s="369"/>
      <c r="C79" s="288" t="s">
        <v>622</v>
      </c>
      <c r="D79" s="1054">
        <v>80</v>
      </c>
      <c r="E79" s="1054"/>
      <c r="F79" s="359" t="s">
        <v>240</v>
      </c>
      <c r="G79" s="288" t="s">
        <v>714</v>
      </c>
      <c r="H79" s="1054">
        <v>40</v>
      </c>
      <c r="I79" s="1054"/>
      <c r="J79" s="359" t="s">
        <v>240</v>
      </c>
      <c r="S79" s="288" t="s">
        <v>760</v>
      </c>
      <c r="T79" s="1055">
        <f>IF(D79&gt;1.25*H79,1.25*H79,D79)</f>
        <v>50</v>
      </c>
      <c r="U79" s="1055"/>
      <c r="V79" s="359" t="s">
        <v>240</v>
      </c>
      <c r="AC79" s="455"/>
    </row>
    <row r="80" spans="2:48" x14ac:dyDescent="0.25">
      <c r="B80" s="369"/>
      <c r="AC80" s="455"/>
    </row>
    <row r="81" spans="2:31" ht="18" x14ac:dyDescent="0.25">
      <c r="B81" s="369"/>
      <c r="F81" s="456" t="str">
        <f>IF(Configuration!Y4="EN","Failure mode 1:","Mode de ruine 1 :")</f>
        <v>Mode de ruine 1 :</v>
      </c>
      <c r="H81" s="288" t="s">
        <v>633</v>
      </c>
      <c r="I81" s="1051">
        <f>MIN(L86,Z86)</f>
        <v>251.32741228718345</v>
      </c>
      <c r="J81" s="1051"/>
      <c r="K81" s="359" t="s">
        <v>240</v>
      </c>
      <c r="M81" s="288" t="s">
        <v>634</v>
      </c>
      <c r="N81" s="1051">
        <f>0.25*(I81*0.001)*H5^2*N6/G_M0</f>
        <v>501.86942641096954</v>
      </c>
      <c r="O81" s="1051"/>
      <c r="P81" s="359" t="s">
        <v>629</v>
      </c>
      <c r="S81" s="288" t="s">
        <v>635</v>
      </c>
      <c r="T81" s="1051">
        <f>4*N81/(0.001*H79)</f>
        <v>50186.942641096954</v>
      </c>
      <c r="U81" s="1051"/>
      <c r="V81" s="359" t="s">
        <v>632</v>
      </c>
      <c r="AC81" s="455"/>
    </row>
    <row r="82" spans="2:31" ht="18" x14ac:dyDescent="0.25">
      <c r="B82" s="369"/>
      <c r="F82" s="456" t="str">
        <f>IF(Configuration!Y4="EN","Failure mode 2:","Mode de ruine 2 :")</f>
        <v>Mode de ruine 2 :</v>
      </c>
      <c r="H82" s="288" t="s">
        <v>638</v>
      </c>
      <c r="I82" s="1051">
        <f>MIN(Z86)</f>
        <v>260</v>
      </c>
      <c r="J82" s="1051"/>
      <c r="K82" s="359" t="s">
        <v>240</v>
      </c>
      <c r="M82" s="288" t="s">
        <v>637</v>
      </c>
      <c r="N82" s="1051">
        <f>0.25*(I82*0.001)*H5^2*N6/G_M0</f>
        <v>519.1875</v>
      </c>
      <c r="O82" s="1051"/>
      <c r="P82" s="359" t="s">
        <v>629</v>
      </c>
      <c r="S82" s="288" t="s">
        <v>636</v>
      </c>
      <c r="T82" s="1051">
        <f>(2*N82+0.001*T79*T83)/(0.001*(T79+H79))</f>
        <v>33528.700000000004</v>
      </c>
      <c r="U82" s="1051"/>
      <c r="V82" s="359" t="s">
        <v>632</v>
      </c>
      <c r="AC82" s="455"/>
    </row>
    <row r="83" spans="2:31" ht="18" x14ac:dyDescent="0.25">
      <c r="B83" s="369"/>
      <c r="F83" s="456" t="str">
        <f>IF(Configuration!Y4="EN","Failure mode 3:","Mode de ruine 3 :")</f>
        <v>Mode de ruine 3 :</v>
      </c>
      <c r="M83" s="288" t="s">
        <v>647</v>
      </c>
      <c r="N83" s="1051">
        <f>0.9*S6*X6/1.25</f>
        <v>19792.080000000002</v>
      </c>
      <c r="O83" s="1051"/>
      <c r="P83" s="359" t="s">
        <v>632</v>
      </c>
      <c r="S83" s="288" t="s">
        <v>642</v>
      </c>
      <c r="T83" s="1051">
        <f>2*N83</f>
        <v>39584.160000000003</v>
      </c>
      <c r="U83" s="1051"/>
      <c r="V83" s="359" t="s">
        <v>632</v>
      </c>
      <c r="AC83" s="455"/>
    </row>
    <row r="84" spans="2:31" x14ac:dyDescent="0.25">
      <c r="B84" s="369"/>
      <c r="C84" s="1049" t="str">
        <f>IF(Configuration!Y4="EN","Circular Pattern","Mode Circulaire")</f>
        <v>Mode Circulaire</v>
      </c>
      <c r="D84" s="1049"/>
      <c r="E84" s="1049"/>
      <c r="F84" s="1049"/>
      <c r="G84" s="1049"/>
      <c r="H84" s="1049"/>
      <c r="I84" s="1049"/>
      <c r="J84" s="1049"/>
      <c r="K84" s="1049"/>
      <c r="L84" s="1049"/>
      <c r="M84" s="1049"/>
      <c r="N84" s="1049"/>
      <c r="O84" s="457"/>
      <c r="Q84" s="1049" t="str">
        <f>IF(Configuration!Y4="EN","Non-Circular Pattern","Mode non Circulaire")</f>
        <v>Mode non Circulaire</v>
      </c>
      <c r="R84" s="1049"/>
      <c r="S84" s="1049"/>
      <c r="T84" s="1049"/>
      <c r="U84" s="1049"/>
      <c r="V84" s="1049"/>
      <c r="W84" s="1049"/>
      <c r="X84" s="1049"/>
      <c r="Y84" s="1049"/>
      <c r="Z84" s="1049"/>
      <c r="AA84" s="1049"/>
      <c r="AB84" s="1049"/>
      <c r="AC84" s="455"/>
      <c r="AE84" s="383"/>
    </row>
    <row r="85" spans="2:31" x14ac:dyDescent="0.25">
      <c r="B85" s="369"/>
      <c r="P85" s="369"/>
      <c r="AC85" s="455"/>
    </row>
    <row r="86" spans="2:31" x14ac:dyDescent="0.25">
      <c r="B86" s="369"/>
      <c r="L86" s="1050">
        <f>2*PI()*H79</f>
        <v>251.32741228718345</v>
      </c>
      <c r="M86" s="1050"/>
      <c r="N86" s="359" t="s">
        <v>240</v>
      </c>
      <c r="P86" s="369"/>
      <c r="Z86" s="1050">
        <f>4*H79+1.25*D79</f>
        <v>260</v>
      </c>
      <c r="AA86" s="1050"/>
      <c r="AB86" s="359" t="s">
        <v>240</v>
      </c>
      <c r="AC86" s="455"/>
    </row>
    <row r="87" spans="2:31" x14ac:dyDescent="0.25">
      <c r="B87" s="369"/>
      <c r="P87" s="369"/>
      <c r="AC87" s="455"/>
    </row>
    <row r="88" spans="2:31" x14ac:dyDescent="0.25">
      <c r="B88" s="369"/>
      <c r="AC88" s="455"/>
    </row>
    <row r="89" spans="2:31" x14ac:dyDescent="0.25">
      <c r="B89" s="369"/>
      <c r="C89" s="1019" t="s">
        <v>648</v>
      </c>
      <c r="D89" s="1020"/>
      <c r="E89" s="1020"/>
      <c r="F89" s="1020"/>
      <c r="G89" s="1020"/>
      <c r="H89" s="1020"/>
      <c r="I89" s="1020"/>
      <c r="J89" s="1020"/>
      <c r="K89" s="1020"/>
      <c r="L89" s="1020"/>
      <c r="M89" s="1020"/>
      <c r="N89" s="1020"/>
      <c r="O89" s="1020"/>
      <c r="P89" s="1020"/>
      <c r="Q89" s="1020"/>
      <c r="R89" s="1020"/>
      <c r="S89" s="1020"/>
      <c r="T89" s="1020"/>
      <c r="U89" s="1020"/>
      <c r="V89" s="1020"/>
      <c r="W89" s="1020"/>
      <c r="X89" s="1020"/>
      <c r="Y89" s="1020"/>
      <c r="Z89" s="1020"/>
      <c r="AA89" s="1020"/>
      <c r="AB89" s="1020"/>
      <c r="AC89" s="455"/>
    </row>
    <row r="90" spans="2:31" x14ac:dyDescent="0.25">
      <c r="B90" s="369"/>
      <c r="AC90" s="455"/>
    </row>
    <row r="91" spans="2:31" ht="18" x14ac:dyDescent="0.25">
      <c r="B91" s="369"/>
      <c r="C91" s="454" t="str">
        <f>IF(Configuration!Y4="EN","Unstiffened outer double bolt pair","Double paire de boulons extérieurs non raidis")</f>
        <v>Double paire de boulons extérieurs non raidis</v>
      </c>
      <c r="V91" s="645"/>
      <c r="X91" s="462" t="s">
        <v>643</v>
      </c>
      <c r="Y91" s="1052">
        <f>MIN(T94:U95,T96)</f>
        <v>31661.15716878403</v>
      </c>
      <c r="Z91" s="1053"/>
      <c r="AA91" s="463" t="s">
        <v>632</v>
      </c>
      <c r="AC91" s="455"/>
    </row>
    <row r="92" spans="2:31" ht="18" x14ac:dyDescent="0.25">
      <c r="B92" s="369"/>
      <c r="C92" s="288" t="s">
        <v>759</v>
      </c>
      <c r="D92" s="1054">
        <v>80</v>
      </c>
      <c r="E92" s="1054"/>
      <c r="F92" s="359" t="s">
        <v>240</v>
      </c>
      <c r="G92" s="288" t="s">
        <v>623</v>
      </c>
      <c r="H92" s="1054">
        <v>90</v>
      </c>
      <c r="I92" s="1054"/>
      <c r="J92" s="359" t="s">
        <v>240</v>
      </c>
      <c r="K92" s="288" t="s">
        <v>625</v>
      </c>
      <c r="L92" s="1054">
        <v>30.2</v>
      </c>
      <c r="M92" s="1054"/>
      <c r="N92" s="359" t="s">
        <v>240</v>
      </c>
      <c r="O92" s="288" t="s">
        <v>624</v>
      </c>
      <c r="P92" s="1054">
        <v>35</v>
      </c>
      <c r="Q92" s="1054"/>
      <c r="R92" s="359" t="s">
        <v>240</v>
      </c>
      <c r="S92" s="288" t="s">
        <v>807</v>
      </c>
      <c r="T92" s="1055">
        <f>D92</f>
        <v>80</v>
      </c>
      <c r="U92" s="1055"/>
      <c r="V92" s="359" t="s">
        <v>240</v>
      </c>
      <c r="AA92" s="645" t="s">
        <v>1842</v>
      </c>
      <c r="AC92" s="455"/>
    </row>
    <row r="93" spans="2:31" ht="18" x14ac:dyDescent="0.25">
      <c r="B93" s="369"/>
      <c r="C93" s="288" t="s">
        <v>803</v>
      </c>
      <c r="D93" s="1054">
        <v>35</v>
      </c>
      <c r="E93" s="1054"/>
      <c r="F93" s="359" t="s">
        <v>240</v>
      </c>
      <c r="S93" s="359" t="s">
        <v>806</v>
      </c>
      <c r="T93" s="1056">
        <f>MIN(D93,1.25*L92+T92)</f>
        <v>35</v>
      </c>
      <c r="U93" s="1056"/>
      <c r="V93" s="359" t="s">
        <v>240</v>
      </c>
      <c r="AC93" s="455"/>
    </row>
    <row r="94" spans="2:31" ht="18" x14ac:dyDescent="0.25">
      <c r="B94" s="369"/>
      <c r="F94" s="456" t="str">
        <f>IF(Configuration!Y4="EN","Failure mode 1:","Mode de ruine 1 :")</f>
        <v>Mode de ruine 1 :</v>
      </c>
      <c r="H94" s="288" t="s">
        <v>633</v>
      </c>
      <c r="I94" s="1051">
        <f>MIN(L99,L102,L105,L108,Z99,Z102,Z105,Z108,Z111)</f>
        <v>160</v>
      </c>
      <c r="J94" s="1051"/>
      <c r="K94" s="359" t="s">
        <v>240</v>
      </c>
      <c r="M94" s="288" t="s">
        <v>634</v>
      </c>
      <c r="N94" s="1051">
        <f>0.25*(I94*0.001)*$H$5^2*$N$6/G_M0</f>
        <v>319.5</v>
      </c>
      <c r="O94" s="1051"/>
      <c r="P94" s="359" t="s">
        <v>629</v>
      </c>
      <c r="S94" s="288" t="s">
        <v>635</v>
      </c>
      <c r="T94" s="1051">
        <f>4*N94/(0.001*L92)</f>
        <v>42317.880794701989</v>
      </c>
      <c r="U94" s="1051"/>
      <c r="V94" s="359" t="s">
        <v>632</v>
      </c>
      <c r="AC94" s="455"/>
    </row>
    <row r="95" spans="2:31" ht="18" x14ac:dyDescent="0.25">
      <c r="B95" s="369"/>
      <c r="F95" s="456" t="str">
        <f>IF(Configuration!Y4="EN","Failure mode 2:","Mode de ruine 2 :")</f>
        <v>Mode de ruine 2 :</v>
      </c>
      <c r="H95" s="288" t="s">
        <v>638</v>
      </c>
      <c r="I95" s="1051">
        <f>MIN(Z99,Z102,Z105,Z108,Z111)</f>
        <v>160</v>
      </c>
      <c r="J95" s="1051"/>
      <c r="K95" s="359" t="s">
        <v>240</v>
      </c>
      <c r="M95" s="288" t="s">
        <v>637</v>
      </c>
      <c r="N95" s="1051">
        <f>0.25*(I95*0.001)*$H$5^2*$N$6/G_M0</f>
        <v>319.5</v>
      </c>
      <c r="O95" s="1051"/>
      <c r="P95" s="359" t="s">
        <v>629</v>
      </c>
      <c r="S95" s="288" t="s">
        <v>636</v>
      </c>
      <c r="T95" s="1051">
        <f>MIN((2*N95+0.5*T96*((0.001*(T92^2+2*T93^2+2*T92*T93))/(T92+T93)))/(0.001*(L92+T92+T93)),(2*N94+0.5*T96*0.001*T92)/(0.001*(L92+T92)))</f>
        <v>31661.15716878403</v>
      </c>
      <c r="U95" s="1051"/>
      <c r="V95" s="359" t="s">
        <v>632</v>
      </c>
      <c r="AC95" s="455"/>
    </row>
    <row r="96" spans="2:31" ht="18" x14ac:dyDescent="0.25">
      <c r="B96" s="369"/>
      <c r="F96" s="456" t="str">
        <f>IF(Configuration!Y4="EN","Failure mode 3:","Mode de ruine 3 :")</f>
        <v>Mode de ruine 3 :</v>
      </c>
      <c r="M96" s="288" t="s">
        <v>647</v>
      </c>
      <c r="N96" s="1051">
        <f>0.9*$S$6*$X$6/1.25</f>
        <v>19792.080000000002</v>
      </c>
      <c r="O96" s="1051"/>
      <c r="P96" s="359" t="s">
        <v>632</v>
      </c>
      <c r="S96" s="288" t="s">
        <v>642</v>
      </c>
      <c r="T96" s="1051">
        <f>0.9*4*N96</f>
        <v>71251.488000000012</v>
      </c>
      <c r="U96" s="1051"/>
      <c r="V96" s="359" t="s">
        <v>632</v>
      </c>
      <c r="AC96" s="455"/>
    </row>
    <row r="97" spans="2:29" x14ac:dyDescent="0.25">
      <c r="B97" s="369"/>
      <c r="C97" s="1049" t="str">
        <f>IF(Configuration!Y4="EN","Circular Pattern","Mode Circulaire")</f>
        <v>Mode Circulaire</v>
      </c>
      <c r="D97" s="1049"/>
      <c r="E97" s="1049"/>
      <c r="F97" s="1049"/>
      <c r="G97" s="1049"/>
      <c r="H97" s="1049"/>
      <c r="I97" s="1049"/>
      <c r="J97" s="1049"/>
      <c r="K97" s="1049"/>
      <c r="L97" s="1049"/>
      <c r="M97" s="1049"/>
      <c r="N97" s="1049"/>
      <c r="O97" s="457"/>
      <c r="Q97" s="1049" t="str">
        <f>IF(Configuration!Y4="EN","Non-Circular Pattern","Mode non Circulaire")</f>
        <v>Mode non Circulaire</v>
      </c>
      <c r="R97" s="1049"/>
      <c r="S97" s="1049"/>
      <c r="T97" s="1049"/>
      <c r="U97" s="1049"/>
      <c r="V97" s="1049"/>
      <c r="W97" s="1049"/>
      <c r="X97" s="1049"/>
      <c r="Y97" s="1049"/>
      <c r="Z97" s="1049"/>
      <c r="AA97" s="1049"/>
      <c r="AB97" s="1049"/>
      <c r="AC97" s="455"/>
    </row>
    <row r="98" spans="2:29" x14ac:dyDescent="0.25">
      <c r="B98" s="369"/>
      <c r="P98" s="369"/>
      <c r="AC98" s="455"/>
    </row>
    <row r="99" spans="2:29" x14ac:dyDescent="0.25">
      <c r="B99" s="369"/>
      <c r="L99" s="1050">
        <f>4*PI()*L92</f>
        <v>379.50439255364699</v>
      </c>
      <c r="M99" s="1050"/>
      <c r="N99" s="359" t="s">
        <v>240</v>
      </c>
      <c r="P99" s="369"/>
      <c r="Z99" s="1050">
        <f>0.5*(H92+2*D92+2*D93)</f>
        <v>160</v>
      </c>
      <c r="AA99" s="1050"/>
      <c r="AB99" s="359" t="s">
        <v>240</v>
      </c>
      <c r="AC99" s="455"/>
    </row>
    <row r="100" spans="2:29" x14ac:dyDescent="0.25">
      <c r="B100" s="369"/>
      <c r="C100" s="370"/>
      <c r="D100" s="370"/>
      <c r="E100" s="370"/>
      <c r="F100" s="370"/>
      <c r="G100" s="370"/>
      <c r="H100" s="370"/>
      <c r="I100" s="370"/>
      <c r="J100" s="370"/>
      <c r="K100" s="370"/>
      <c r="L100" s="370"/>
      <c r="M100" s="370"/>
      <c r="N100" s="370"/>
      <c r="P100" s="369"/>
      <c r="Q100" s="370"/>
      <c r="R100" s="370"/>
      <c r="S100" s="370"/>
      <c r="T100" s="370"/>
      <c r="U100" s="370"/>
      <c r="V100" s="370"/>
      <c r="W100" s="370"/>
      <c r="X100" s="370"/>
      <c r="Y100" s="370"/>
      <c r="Z100" s="370"/>
      <c r="AA100" s="370"/>
      <c r="AB100" s="370"/>
      <c r="AC100" s="455"/>
    </row>
    <row r="101" spans="2:29" x14ac:dyDescent="0.25">
      <c r="B101" s="369"/>
      <c r="P101" s="369"/>
      <c r="AC101" s="455"/>
    </row>
    <row r="102" spans="2:29" x14ac:dyDescent="0.25">
      <c r="B102" s="369"/>
      <c r="L102" s="1050">
        <f>PI()*L92+H92+2*D92</f>
        <v>344.87609813841175</v>
      </c>
      <c r="M102" s="1050"/>
      <c r="N102" s="359" t="s">
        <v>240</v>
      </c>
      <c r="P102" s="369"/>
      <c r="Z102" s="1050">
        <f>4*L92+1.25*P92+D92</f>
        <v>244.55</v>
      </c>
      <c r="AA102" s="1050"/>
      <c r="AB102" s="359" t="s">
        <v>240</v>
      </c>
      <c r="AC102" s="455"/>
    </row>
    <row r="103" spans="2:29" x14ac:dyDescent="0.25">
      <c r="B103" s="369"/>
      <c r="C103" s="370"/>
      <c r="D103" s="370"/>
      <c r="E103" s="370"/>
      <c r="F103" s="370"/>
      <c r="G103" s="370"/>
      <c r="H103" s="370"/>
      <c r="I103" s="370"/>
      <c r="J103" s="370"/>
      <c r="K103" s="370"/>
      <c r="L103" s="370"/>
      <c r="M103" s="370"/>
      <c r="N103" s="370"/>
      <c r="P103" s="369"/>
      <c r="Q103" s="370"/>
      <c r="R103" s="370"/>
      <c r="S103" s="370"/>
      <c r="T103" s="370"/>
      <c r="U103" s="370"/>
      <c r="V103" s="370"/>
      <c r="W103" s="370"/>
      <c r="X103" s="370"/>
      <c r="Y103" s="370"/>
      <c r="Z103" s="370"/>
      <c r="AA103" s="370"/>
      <c r="AB103" s="370"/>
      <c r="AC103" s="455"/>
    </row>
    <row r="104" spans="2:29" x14ac:dyDescent="0.25">
      <c r="B104" s="369"/>
      <c r="P104" s="369"/>
      <c r="AC104" s="455"/>
    </row>
    <row r="105" spans="2:29" x14ac:dyDescent="0.25">
      <c r="B105" s="369"/>
      <c r="L105" s="1050">
        <f>2*PI()*L92+2*D92</f>
        <v>349.7521962768235</v>
      </c>
      <c r="M105" s="1050"/>
      <c r="N105" s="359" t="s">
        <v>240</v>
      </c>
      <c r="P105" s="369"/>
      <c r="Z105" s="1050">
        <f>2*L92+0.625*P92+D92+D93</f>
        <v>197.27500000000001</v>
      </c>
      <c r="AA105" s="1050"/>
      <c r="AB105" s="359" t="s">
        <v>240</v>
      </c>
      <c r="AC105" s="455"/>
    </row>
    <row r="106" spans="2:29" x14ac:dyDescent="0.25">
      <c r="B106" s="369"/>
      <c r="C106" s="370"/>
      <c r="D106" s="370"/>
      <c r="E106" s="370"/>
      <c r="F106" s="370"/>
      <c r="G106" s="370"/>
      <c r="H106" s="370"/>
      <c r="I106" s="370"/>
      <c r="J106" s="370"/>
      <c r="K106" s="370"/>
      <c r="L106" s="370"/>
      <c r="M106" s="370"/>
      <c r="N106" s="370"/>
      <c r="P106" s="369"/>
      <c r="Q106" s="370"/>
      <c r="R106" s="370"/>
      <c r="S106" s="370"/>
      <c r="T106" s="370"/>
      <c r="U106" s="370"/>
      <c r="V106" s="370"/>
      <c r="W106" s="370"/>
      <c r="X106" s="370"/>
      <c r="Y106" s="370"/>
      <c r="Z106" s="370"/>
      <c r="AA106" s="370"/>
      <c r="AB106" s="370"/>
      <c r="AC106" s="455"/>
    </row>
    <row r="107" spans="2:29" x14ac:dyDescent="0.25">
      <c r="B107" s="369"/>
      <c r="P107" s="369"/>
      <c r="AC107" s="455"/>
    </row>
    <row r="108" spans="2:29" x14ac:dyDescent="0.25">
      <c r="B108" s="369"/>
      <c r="L108" s="1050">
        <f>PI()*L92+2*D92+2*D93</f>
        <v>324.87609813841175</v>
      </c>
      <c r="M108" s="1050"/>
      <c r="N108" s="359" t="s">
        <v>240</v>
      </c>
      <c r="P108" s="369"/>
      <c r="Z108" s="1050">
        <f>2*L92+0.625*P92+D92+0.5*H92</f>
        <v>207.27500000000001</v>
      </c>
      <c r="AA108" s="1050"/>
      <c r="AB108" s="359" t="s">
        <v>240</v>
      </c>
      <c r="AC108" s="455"/>
    </row>
    <row r="109" spans="2:29" x14ac:dyDescent="0.25">
      <c r="B109" s="369"/>
      <c r="C109" s="370"/>
      <c r="D109" s="370"/>
      <c r="E109" s="370"/>
      <c r="F109" s="370"/>
      <c r="G109" s="370"/>
      <c r="H109" s="370"/>
      <c r="I109" s="370"/>
      <c r="J109" s="370"/>
      <c r="K109" s="370"/>
      <c r="L109" s="370"/>
      <c r="M109" s="370"/>
      <c r="N109" s="370"/>
      <c r="P109" s="369"/>
      <c r="Q109" s="370"/>
      <c r="R109" s="370"/>
      <c r="S109" s="370"/>
      <c r="T109" s="370"/>
      <c r="U109" s="370"/>
      <c r="V109" s="370"/>
      <c r="W109" s="370"/>
      <c r="X109" s="370"/>
      <c r="Y109" s="370"/>
      <c r="Z109" s="370"/>
      <c r="AA109" s="370"/>
      <c r="AB109" s="370"/>
      <c r="AC109" s="455"/>
    </row>
    <row r="110" spans="2:29" x14ac:dyDescent="0.25">
      <c r="B110" s="369"/>
      <c r="P110" s="369"/>
      <c r="AC110" s="455"/>
    </row>
    <row r="111" spans="2:29" x14ac:dyDescent="0.25">
      <c r="B111" s="369"/>
      <c r="P111" s="369"/>
      <c r="Z111" s="1050">
        <f>8*L92+2.5*P92</f>
        <v>329.1</v>
      </c>
      <c r="AA111" s="1050"/>
      <c r="AB111" s="359" t="s">
        <v>240</v>
      </c>
      <c r="AC111" s="455"/>
    </row>
    <row r="112" spans="2:29" x14ac:dyDescent="0.25">
      <c r="B112" s="369"/>
      <c r="P112" s="369"/>
      <c r="AC112" s="455"/>
    </row>
    <row r="113" spans="2:48" x14ac:dyDescent="0.25">
      <c r="B113" s="369"/>
      <c r="C113" s="1019" t="s">
        <v>648</v>
      </c>
      <c r="D113" s="1020"/>
      <c r="E113" s="1020"/>
      <c r="F113" s="1020"/>
      <c r="G113" s="1020"/>
      <c r="H113" s="1020"/>
      <c r="I113" s="1020"/>
      <c r="J113" s="1020"/>
      <c r="K113" s="1020"/>
      <c r="L113" s="1020"/>
      <c r="M113" s="1020"/>
      <c r="N113" s="1020"/>
      <c r="O113" s="1020"/>
      <c r="P113" s="1020"/>
      <c r="Q113" s="1020"/>
      <c r="R113" s="1020"/>
      <c r="S113" s="1020"/>
      <c r="T113" s="1020"/>
      <c r="U113" s="1020"/>
      <c r="V113" s="1020"/>
      <c r="W113" s="1020"/>
      <c r="X113" s="1020"/>
      <c r="Y113" s="1020"/>
      <c r="Z113" s="1020"/>
      <c r="AA113" s="1020"/>
      <c r="AB113" s="1020"/>
      <c r="AC113" s="455"/>
    </row>
    <row r="114" spans="2:48" x14ac:dyDescent="0.25">
      <c r="B114" s="369"/>
      <c r="AC114" s="455"/>
    </row>
    <row r="115" spans="2:48" ht="18" x14ac:dyDescent="0.25">
      <c r="B115" s="369"/>
      <c r="C115" s="454" t="str">
        <f>IF(Configuration!Y4="EN","Inner double bolt pair","Double paire de boulons intérieurs")</f>
        <v>Double paire de boulons intérieurs</v>
      </c>
      <c r="U115" s="645"/>
      <c r="X115" s="462" t="s">
        <v>643</v>
      </c>
      <c r="Y115" s="1052">
        <f>MIN(T118:U119,T120)</f>
        <v>34618.416696914697</v>
      </c>
      <c r="Z115" s="1053"/>
      <c r="AA115" s="463" t="s">
        <v>632</v>
      </c>
      <c r="AC115" s="455"/>
    </row>
    <row r="116" spans="2:48" ht="18" x14ac:dyDescent="0.25">
      <c r="B116" s="369"/>
      <c r="C116" s="288" t="s">
        <v>759</v>
      </c>
      <c r="D116" s="1054">
        <v>80</v>
      </c>
      <c r="E116" s="1054"/>
      <c r="F116" s="359" t="s">
        <v>240</v>
      </c>
      <c r="G116" s="288" t="s">
        <v>803</v>
      </c>
      <c r="H116" s="1054">
        <v>35</v>
      </c>
      <c r="I116" s="1054"/>
      <c r="J116" s="359" t="s">
        <v>240</v>
      </c>
      <c r="K116" s="288" t="s">
        <v>714</v>
      </c>
      <c r="L116" s="1054">
        <v>30.2</v>
      </c>
      <c r="M116" s="1054"/>
      <c r="N116" s="359" t="s">
        <v>240</v>
      </c>
      <c r="O116" s="288" t="s">
        <v>715</v>
      </c>
      <c r="P116" s="1054">
        <v>35</v>
      </c>
      <c r="Q116" s="1054"/>
      <c r="R116" s="359" t="s">
        <v>240</v>
      </c>
      <c r="S116" s="288" t="s">
        <v>807</v>
      </c>
      <c r="T116" s="1055">
        <f>D116</f>
        <v>80</v>
      </c>
      <c r="U116" s="1055"/>
      <c r="V116" s="359" t="s">
        <v>240</v>
      </c>
      <c r="AA116" s="645" t="s">
        <v>1842</v>
      </c>
      <c r="AC116" s="455"/>
    </row>
    <row r="117" spans="2:48" ht="18" x14ac:dyDescent="0.25">
      <c r="B117" s="369"/>
      <c r="S117" s="359" t="s">
        <v>806</v>
      </c>
      <c r="T117" s="1056">
        <f>MIN(H116,1.25*L116+T116)</f>
        <v>35</v>
      </c>
      <c r="U117" s="1056"/>
      <c r="V117" s="359" t="s">
        <v>240</v>
      </c>
      <c r="AC117" s="455"/>
    </row>
    <row r="118" spans="2:48" ht="18" x14ac:dyDescent="0.25">
      <c r="B118" s="369"/>
      <c r="F118" s="456" t="str">
        <f>IF(Configuration!Y4="EN","Failure mode 1:","Mode de ruine 1 :")</f>
        <v>Mode de ruine 1 :</v>
      </c>
      <c r="H118" s="288" t="s">
        <v>633</v>
      </c>
      <c r="I118" s="1051">
        <f>MIN(L123,Z123)</f>
        <v>241.6</v>
      </c>
      <c r="J118" s="1051"/>
      <c r="K118" s="359" t="s">
        <v>240</v>
      </c>
      <c r="M118" s="288" t="s">
        <v>634</v>
      </c>
      <c r="N118" s="1051">
        <f>0.25*(I118*0.001)*$H$5^2*$N$6/G_M0</f>
        <v>482.44499999999999</v>
      </c>
      <c r="O118" s="1051"/>
      <c r="P118" s="359" t="s">
        <v>629</v>
      </c>
      <c r="S118" s="288" t="s">
        <v>635</v>
      </c>
      <c r="T118" s="1051">
        <f>4*N118/(0.001*L116)</f>
        <v>63900</v>
      </c>
      <c r="U118" s="1051"/>
      <c r="V118" s="359" t="s">
        <v>632</v>
      </c>
      <c r="AC118" s="455"/>
    </row>
    <row r="119" spans="2:48" ht="18.75" thickBot="1" x14ac:dyDescent="0.3">
      <c r="B119" s="369"/>
      <c r="F119" s="456" t="str">
        <f>IF(Configuration!Y4="EN","Failure mode 2:","Mode de ruine 2 :")</f>
        <v>Mode de ruine 2 :</v>
      </c>
      <c r="H119" s="288" t="s">
        <v>638</v>
      </c>
      <c r="I119" s="1051">
        <f>MIN(Z123)</f>
        <v>241.6</v>
      </c>
      <c r="J119" s="1051"/>
      <c r="K119" s="359" t="s">
        <v>240</v>
      </c>
      <c r="M119" s="288" t="s">
        <v>637</v>
      </c>
      <c r="N119" s="1051">
        <f>0.25*(I119*0.001)*$H$5^2*$N$6/G_M0</f>
        <v>482.44499999999999</v>
      </c>
      <c r="O119" s="1051"/>
      <c r="P119" s="359" t="s">
        <v>629</v>
      </c>
      <c r="S119" s="288" t="s">
        <v>636</v>
      </c>
      <c r="T119" s="1051">
        <f>MIN((2*N119+0.5*T120*((0.001*(T116^2+2*T117^2+2*T116*T117))/(T116+T117)))/(0.001*(L116+T116+T117)),(2*N118+0.5*T120*0.001*T116)/(0.001*(L116+T116)))</f>
        <v>34618.416696914697</v>
      </c>
      <c r="U119" s="1051"/>
      <c r="V119" s="359" t="s">
        <v>632</v>
      </c>
      <c r="AC119" s="455"/>
    </row>
    <row r="120" spans="2:48" ht="18.75" thickBot="1" x14ac:dyDescent="0.3">
      <c r="B120" s="369"/>
      <c r="F120" s="456" t="str">
        <f>IF(Configuration!Y4="EN","Failure mode 3:","Mode de ruine 3 :")</f>
        <v>Mode de ruine 3 :</v>
      </c>
      <c r="M120" s="288" t="s">
        <v>647</v>
      </c>
      <c r="N120" s="1051">
        <f>0.9*$S$6*$X$6/1.25</f>
        <v>19792.080000000002</v>
      </c>
      <c r="O120" s="1051"/>
      <c r="P120" s="359" t="s">
        <v>632</v>
      </c>
      <c r="S120" s="288" t="s">
        <v>642</v>
      </c>
      <c r="T120" s="1051">
        <f>0.9*4*N120</f>
        <v>71251.488000000012</v>
      </c>
      <c r="U120" s="1051"/>
      <c r="V120" s="359" t="s">
        <v>632</v>
      </c>
      <c r="AC120" s="455"/>
      <c r="AF120" s="494" t="s">
        <v>756</v>
      </c>
      <c r="AG120" s="495">
        <f>INDEX(AL122:AV122,MATCH(AG121,AL123:AV123,0))</f>
        <v>8</v>
      </c>
      <c r="AH120" s="496">
        <f>(AG120*(AI121-AH121)+AI120*(AH121-AG121))/(AI121-AG121)</f>
        <v>8</v>
      </c>
      <c r="AI120" s="497">
        <f>INDEX(AL122:AV122,MATCH(AI121,AL123:AV123,0))</f>
        <v>8</v>
      </c>
    </row>
    <row r="121" spans="2:48" ht="15.75" thickBot="1" x14ac:dyDescent="0.25">
      <c r="B121" s="369"/>
      <c r="C121" s="1049" t="str">
        <f>IF(Configuration!Y4="EN","Circular Pattern","Mode Circulaire")</f>
        <v>Mode Circulaire</v>
      </c>
      <c r="D121" s="1049"/>
      <c r="E121" s="1049"/>
      <c r="F121" s="1049"/>
      <c r="G121" s="1049"/>
      <c r="H121" s="1049"/>
      <c r="I121" s="1049"/>
      <c r="J121" s="1049"/>
      <c r="K121" s="1049"/>
      <c r="L121" s="1049"/>
      <c r="M121" s="1049"/>
      <c r="N121" s="1049"/>
      <c r="O121" s="457"/>
      <c r="Q121" s="1049" t="str">
        <f>IF(Configuration!Y4="EN","Non-Circular Pattern","Mode non Circulaire")</f>
        <v>Mode non Circulaire</v>
      </c>
      <c r="R121" s="1049"/>
      <c r="S121" s="1049"/>
      <c r="T121" s="1049"/>
      <c r="U121" s="1049"/>
      <c r="V121" s="1049"/>
      <c r="W121" s="1049"/>
      <c r="X121" s="1049"/>
      <c r="Y121" s="1049"/>
      <c r="Z121" s="1049"/>
      <c r="AA121" s="1049"/>
      <c r="AB121" s="1049"/>
      <c r="AC121" s="455"/>
      <c r="AF121" s="498">
        <f>AK123</f>
        <v>0.2</v>
      </c>
      <c r="AG121" s="499">
        <f>INDEX(AL123:AV123,MATCH(T124,AL123:AV123,1))</f>
        <v>0</v>
      </c>
      <c r="AH121" s="500">
        <f>T124</f>
        <v>0.20798898071625346</v>
      </c>
      <c r="AI121" s="501" cm="1">
        <f t="array" ref="AI121">INDEX(AL123:AV123,MATCH(T124,AL123:AV123,1)+1)</f>
        <v>0.39</v>
      </c>
      <c r="AJ121" s="484"/>
      <c r="AK121" s="484"/>
      <c r="AL121" s="484"/>
      <c r="AM121" s="484"/>
      <c r="AN121" s="484"/>
      <c r="AO121" s="484"/>
      <c r="AP121" s="484"/>
      <c r="AQ121" s="484"/>
    </row>
    <row r="122" spans="2:48" ht="18.75" thickBot="1" x14ac:dyDescent="0.3">
      <c r="B122" s="369"/>
      <c r="P122" s="369"/>
      <c r="AC122" s="455"/>
      <c r="AF122" s="502">
        <f>V124</f>
        <v>0.24104683195592289</v>
      </c>
      <c r="AG122" s="503"/>
      <c r="AH122" s="504">
        <f>(AH120*(AF124-AF122)+AH123*(AF122-AF121))/(AF124-AF121)</f>
        <v>8</v>
      </c>
      <c r="AI122" s="505"/>
      <c r="AK122" s="494" t="s">
        <v>756</v>
      </c>
      <c r="AL122" s="491">
        <v>8</v>
      </c>
      <c r="AM122" s="489">
        <v>8</v>
      </c>
      <c r="AN122" s="489">
        <v>7</v>
      </c>
      <c r="AO122" s="489">
        <v>6.2830000000000004</v>
      </c>
      <c r="AP122" s="489">
        <v>6</v>
      </c>
      <c r="AQ122" s="489">
        <v>5.5</v>
      </c>
      <c r="AR122" s="489">
        <v>5</v>
      </c>
      <c r="AS122" s="489">
        <v>4.75</v>
      </c>
      <c r="AT122" s="489">
        <v>4.5</v>
      </c>
      <c r="AU122" s="489">
        <v>4.45</v>
      </c>
      <c r="AV122" s="490">
        <v>4.45</v>
      </c>
    </row>
    <row r="123" spans="2:48" ht="18.75" thickBot="1" x14ac:dyDescent="0.25">
      <c r="B123" s="369"/>
      <c r="L123" s="1050">
        <f>4*PI()*L116</f>
        <v>379.50439255364699</v>
      </c>
      <c r="M123" s="1050"/>
      <c r="N123" s="359" t="s">
        <v>240</v>
      </c>
      <c r="P123" s="369"/>
      <c r="Z123" s="1050">
        <f>X124*L116</f>
        <v>241.6</v>
      </c>
      <c r="AA123" s="1050"/>
      <c r="AB123" s="359" t="s">
        <v>240</v>
      </c>
      <c r="AC123" s="455"/>
      <c r="AF123" s="494" t="s">
        <v>756</v>
      </c>
      <c r="AG123" s="495">
        <f>INDEX(AL122:AV122,MATCH(AG124,AL124:AV124,0))</f>
        <v>8</v>
      </c>
      <c r="AH123" s="496">
        <f>(AG123*(AI124-AH124)+AI123*(AH124-AG124))/(AI124-AG124)</f>
        <v>8</v>
      </c>
      <c r="AI123" s="497">
        <f>INDEX(AL122:AV122,MATCH(AI124,AL124:AV124,0))</f>
        <v>8</v>
      </c>
      <c r="AK123" s="506">
        <f>INDEX(Data!$Y$4:$Y$33,MATCH(V124,Data!$Y$4:$Y$33,1))</f>
        <v>0.2</v>
      </c>
      <c r="AL123" s="492">
        <f>VLOOKUP($AK123,Data!$Y$4:$AJ$33,2,FALSE)</f>
        <v>0</v>
      </c>
      <c r="AM123" s="487">
        <f>VLOOKUP($AK123,Data!$Y$4:$AJ$33,3,FALSE)</f>
        <v>0.39</v>
      </c>
      <c r="AN123" s="487">
        <f>VLOOKUP($AK123,Data!$Y$4:$AJ$33,4,FALSE)</f>
        <v>0.504</v>
      </c>
      <c r="AO123" s="487">
        <f>VLOOKUP($AK123,Data!$Y$4:$AJ$33,5,FALSE)</f>
        <v>0.60978094752929202</v>
      </c>
      <c r="AP123" s="487">
        <f>VLOOKUP($AK123,Data!$Y$4:$AJ$33,6,FALSE)</f>
        <v>0.68</v>
      </c>
      <c r="AQ123" s="487">
        <f>VLOOKUP($AK123,Data!$Y$4:$AJ$33,7,FALSE)</f>
        <v>0.73953132959755474</v>
      </c>
      <c r="AR123" s="487">
        <f>VLOOKUP($AK123,Data!$Y$4:$AJ$33,8,FALSE)</f>
        <v>0.80555272542027512</v>
      </c>
      <c r="AS123" s="487">
        <f>VLOOKUP($AK123,Data!$Y$4:$AJ$33,9,FALSE)</f>
        <v>0.84635761589403979</v>
      </c>
      <c r="AT123" s="487">
        <f>VLOOKUP($AK123,Data!$Y$4:$AJ$33,10,FALSE)</f>
        <v>0.9</v>
      </c>
      <c r="AU123" s="487">
        <f>VLOOKUP($AK123,Data!$Y$4:$AJ$33,11,FALSE)</f>
        <v>0.89312277126846673</v>
      </c>
      <c r="AV123" s="488">
        <f>VLOOKUP($AK123,Data!$Y$4:$AJ$33,12,FALSE)</f>
        <v>1</v>
      </c>
    </row>
    <row r="124" spans="2:48" ht="18.75" thickBot="1" x14ac:dyDescent="0.25">
      <c r="B124" s="369"/>
      <c r="P124" s="369"/>
      <c r="S124" s="483" t="s">
        <v>753</v>
      </c>
      <c r="T124" s="672">
        <f>L116/(L116+H116+D116)</f>
        <v>0.20798898071625346</v>
      </c>
      <c r="U124" s="483" t="s">
        <v>752</v>
      </c>
      <c r="V124" s="672">
        <f>P116/(L116+H116+D116)</f>
        <v>0.24104683195592289</v>
      </c>
      <c r="W124" s="483" t="s">
        <v>718</v>
      </c>
      <c r="X124" s="203">
        <f>AH122</f>
        <v>8</v>
      </c>
      <c r="AC124" s="455"/>
      <c r="AF124" s="498">
        <f>AK124</f>
        <v>0.25</v>
      </c>
      <c r="AG124" s="499">
        <f>INDEX(AL124:AV124,MATCH(T124,AL124:AV124,1))</f>
        <v>0</v>
      </c>
      <c r="AH124" s="500">
        <f>T124</f>
        <v>0.20798898071625346</v>
      </c>
      <c r="AI124" s="501" cm="1">
        <f t="array" ref="AI124">INDEX($AL124:$AV124,MATCH(T124,$AL124:$AV124,1)+1)</f>
        <v>0.33200000000000002</v>
      </c>
      <c r="AK124" s="507" cm="1">
        <f t="array" ref="AK124">INDEX(Data!$Y$4:$Y$33,MATCH(V124,Data!$Y$4:$Y$33,1)+1)</f>
        <v>0.25</v>
      </c>
      <c r="AL124" s="493">
        <f>VLOOKUP($AK124,Data!$Y$5:$AJ$34,2,FALSE)</f>
        <v>0</v>
      </c>
      <c r="AM124" s="485">
        <f>VLOOKUP($AK124,Data!$Y$5:$AJ$34,3,FALSE)</f>
        <v>0.33200000000000002</v>
      </c>
      <c r="AN124" s="485">
        <f>VLOOKUP($AK124,Data!$Y$5:$AJ$34,4,FALSE)</f>
        <v>0.44750000000000001</v>
      </c>
      <c r="AO124" s="485">
        <f>VLOOKUP($AK124,Data!$Y$5:$AJ$34,5,FALSE)</f>
        <v>0.55659704533876719</v>
      </c>
      <c r="AP124" s="485">
        <f>VLOOKUP($AK124,Data!$Y$5:$AJ$34,6,FALSE)</f>
        <v>0.63</v>
      </c>
      <c r="AQ124" s="485">
        <f>VLOOKUP($AK124,Data!$Y$5:$AJ$34,7,FALSE)</f>
        <v>0.69505858380030572</v>
      </c>
      <c r="AR124" s="485">
        <f>VLOOKUP($AK124,Data!$Y$5:$AJ$34,8,FALSE)</f>
        <v>0.77254202750891499</v>
      </c>
      <c r="AS124" s="485">
        <f>VLOOKUP($AK124,Data!$Y$5:$AJ$34,9,FALSE)</f>
        <v>0.81930718288334192</v>
      </c>
      <c r="AT124" s="485">
        <f>VLOOKUP($AK124,Data!$Y$5:$AJ$34,10,FALSE)</f>
        <v>0.87019867549668883</v>
      </c>
      <c r="AU124" s="485">
        <f>VLOOKUP($AK124,Data!$Y$5:$AJ$34,11,FALSE)</f>
        <v>0.89312277126846673</v>
      </c>
      <c r="AV124" s="486">
        <f>VLOOKUP($AK124,Data!$Y$5:$AJ$34,12,FALSE)</f>
        <v>1</v>
      </c>
    </row>
    <row r="125" spans="2:48" x14ac:dyDescent="0.25">
      <c r="B125" s="369"/>
      <c r="C125" s="1019" t="s">
        <v>648</v>
      </c>
      <c r="D125" s="1020"/>
      <c r="E125" s="1020"/>
      <c r="F125" s="1020"/>
      <c r="G125" s="1020"/>
      <c r="H125" s="1020"/>
      <c r="I125" s="1020"/>
      <c r="J125" s="1020"/>
      <c r="K125" s="1020"/>
      <c r="L125" s="1020"/>
      <c r="M125" s="1020"/>
      <c r="N125" s="1020"/>
      <c r="O125" s="1020"/>
      <c r="P125" s="1020"/>
      <c r="Q125" s="1020"/>
      <c r="R125" s="1020"/>
      <c r="S125" s="1020"/>
      <c r="T125" s="1020"/>
      <c r="U125" s="1020"/>
      <c r="V125" s="1020"/>
      <c r="W125" s="1020"/>
      <c r="X125" s="1020"/>
      <c r="Y125" s="1020"/>
      <c r="Z125" s="1020"/>
      <c r="AA125" s="1020"/>
      <c r="AB125" s="1020"/>
      <c r="AC125" s="455"/>
    </row>
    <row r="126" spans="2:48" x14ac:dyDescent="0.25">
      <c r="B126" s="369"/>
      <c r="AC126" s="455"/>
    </row>
    <row r="127" spans="2:48" ht="18" x14ac:dyDescent="0.25">
      <c r="B127" s="369"/>
      <c r="C127" s="454" t="str">
        <f>IF(Configuration!Y4="EN","Central double bolt pair","Double paire de boulons centraux")</f>
        <v>Double paire de boulons centraux</v>
      </c>
      <c r="U127" s="645"/>
      <c r="X127" s="462" t="s">
        <v>643</v>
      </c>
      <c r="Y127" s="1052">
        <f>MIN(T130:U131,T132)</f>
        <v>35450.145939201451</v>
      </c>
      <c r="Z127" s="1053"/>
      <c r="AA127" s="463" t="s">
        <v>632</v>
      </c>
      <c r="AC127" s="455"/>
    </row>
    <row r="128" spans="2:48" ht="18" x14ac:dyDescent="0.25">
      <c r="B128" s="369"/>
      <c r="C128" s="288" t="s">
        <v>759</v>
      </c>
      <c r="D128" s="1054">
        <v>80</v>
      </c>
      <c r="E128" s="1054"/>
      <c r="F128" s="359" t="s">
        <v>240</v>
      </c>
      <c r="G128" s="288" t="s">
        <v>803</v>
      </c>
      <c r="H128" s="1054">
        <v>35</v>
      </c>
      <c r="I128" s="1054"/>
      <c r="J128" s="359" t="s">
        <v>240</v>
      </c>
      <c r="K128" s="288" t="s">
        <v>714</v>
      </c>
      <c r="L128" s="1054">
        <v>30.2</v>
      </c>
      <c r="M128" s="1054"/>
      <c r="N128" s="359" t="s">
        <v>240</v>
      </c>
      <c r="S128" s="288" t="s">
        <v>807</v>
      </c>
      <c r="T128" s="1055">
        <f>D128</f>
        <v>80</v>
      </c>
      <c r="U128" s="1055"/>
      <c r="V128" s="359" t="s">
        <v>240</v>
      </c>
      <c r="AA128" s="645" t="s">
        <v>1842</v>
      </c>
      <c r="AC128" s="455"/>
    </row>
    <row r="129" spans="2:29" ht="18" x14ac:dyDescent="0.25">
      <c r="B129" s="369"/>
      <c r="S129" s="359" t="s">
        <v>806</v>
      </c>
      <c r="T129" s="1056">
        <f>MIN(H128,1.25*L128+T128)</f>
        <v>35</v>
      </c>
      <c r="U129" s="1056"/>
      <c r="V129" s="359" t="s">
        <v>240</v>
      </c>
      <c r="AC129" s="455"/>
    </row>
    <row r="130" spans="2:29" ht="18" x14ac:dyDescent="0.25">
      <c r="B130" s="369"/>
      <c r="F130" s="456" t="str">
        <f>IF(Configuration!Y4="EN","Failure mode 1:","Mode de ruine 1 :")</f>
        <v>Mode de ruine 1 :</v>
      </c>
      <c r="H130" s="288" t="s">
        <v>633</v>
      </c>
      <c r="I130" s="1051">
        <f>MIN(L135,Z135)</f>
        <v>264.55</v>
      </c>
      <c r="J130" s="1051"/>
      <c r="K130" s="359" t="s">
        <v>240</v>
      </c>
      <c r="M130" s="288" t="s">
        <v>634</v>
      </c>
      <c r="N130" s="1051">
        <f>0.25*(I130*0.001)*$H$5^2*$N$6/G_M0</f>
        <v>528.27328124999997</v>
      </c>
      <c r="O130" s="1051"/>
      <c r="P130" s="359" t="s">
        <v>629</v>
      </c>
      <c r="S130" s="288" t="s">
        <v>635</v>
      </c>
      <c r="T130" s="1051">
        <f>4*N130/(0.001*L128)</f>
        <v>69969.971026490064</v>
      </c>
      <c r="U130" s="1051"/>
      <c r="V130" s="359" t="s">
        <v>632</v>
      </c>
      <c r="AC130" s="455"/>
    </row>
    <row r="131" spans="2:29" ht="18" x14ac:dyDescent="0.25">
      <c r="B131" s="369"/>
      <c r="F131" s="456" t="str">
        <f>IF(Configuration!Y4="EN","Failure mode 2:","Mode de ruine 2 :")</f>
        <v>Mode de ruine 2 :</v>
      </c>
      <c r="H131" s="288" t="s">
        <v>638</v>
      </c>
      <c r="I131" s="1051">
        <f>MIN(Z135)</f>
        <v>264.55</v>
      </c>
      <c r="J131" s="1051"/>
      <c r="K131" s="359" t="s">
        <v>240</v>
      </c>
      <c r="M131" s="288" t="s">
        <v>637</v>
      </c>
      <c r="N131" s="1051">
        <f>0.25*(I131*0.001)*$H$5^2*$N$6/G_M0</f>
        <v>528.27328124999997</v>
      </c>
      <c r="O131" s="1051"/>
      <c r="P131" s="359" t="s">
        <v>629</v>
      </c>
      <c r="S131" s="288" t="s">
        <v>636</v>
      </c>
      <c r="T131" s="1051">
        <f>MIN((2*N131+0.5*T132*((0.001*(T128^2+2*T129^2+2*T128*T129))/(T128+T129)))/(0.001*(L128+T128+T129)),(2*N130+0.5*T132*0.001*T128)/(0.001*(L128+T128)))</f>
        <v>35450.145939201451</v>
      </c>
      <c r="U131" s="1051"/>
      <c r="V131" s="359" t="s">
        <v>632</v>
      </c>
      <c r="AC131" s="455"/>
    </row>
    <row r="132" spans="2:29" ht="18" x14ac:dyDescent="0.25">
      <c r="B132" s="369"/>
      <c r="F132" s="456" t="str">
        <f>IF(Configuration!Y4="EN","Failure mode 3:","Mode de ruine 3 :")</f>
        <v>Mode de ruine 3 :</v>
      </c>
      <c r="M132" s="288" t="s">
        <v>647</v>
      </c>
      <c r="N132" s="1051">
        <f>0.9*$S$6*$X$6/1.25</f>
        <v>19792.080000000002</v>
      </c>
      <c r="O132" s="1051"/>
      <c r="P132" s="359" t="s">
        <v>632</v>
      </c>
      <c r="S132" s="288" t="s">
        <v>642</v>
      </c>
      <c r="T132" s="1051">
        <f>0.9*4*N132</f>
        <v>71251.488000000012</v>
      </c>
      <c r="U132" s="1051"/>
      <c r="V132" s="359" t="s">
        <v>632</v>
      </c>
      <c r="AC132" s="455"/>
    </row>
    <row r="133" spans="2:29" x14ac:dyDescent="0.25">
      <c r="B133" s="369"/>
      <c r="C133" s="1049" t="str">
        <f>IF(Configuration!Y4="EN","Circular Pattern","Mode Circulaire")</f>
        <v>Mode Circulaire</v>
      </c>
      <c r="D133" s="1049"/>
      <c r="E133" s="1049"/>
      <c r="F133" s="1049"/>
      <c r="G133" s="1049"/>
      <c r="H133" s="1049"/>
      <c r="I133" s="1049"/>
      <c r="J133" s="1049"/>
      <c r="K133" s="1049"/>
      <c r="L133" s="1049"/>
      <c r="M133" s="1049"/>
      <c r="N133" s="1049"/>
      <c r="O133" s="457"/>
      <c r="Q133" s="1049" t="str">
        <f>IF(Configuration!Y4="EN","Non-Circular Pattern","Mode non Circulaire")</f>
        <v>Mode non Circulaire</v>
      </c>
      <c r="R133" s="1049"/>
      <c r="S133" s="1049"/>
      <c r="T133" s="1049"/>
      <c r="U133" s="1049"/>
      <c r="V133" s="1049"/>
      <c r="W133" s="1049"/>
      <c r="X133" s="1049"/>
      <c r="Y133" s="1049"/>
      <c r="Z133" s="1049"/>
      <c r="AA133" s="1049"/>
      <c r="AB133" s="1049"/>
      <c r="AC133" s="455"/>
    </row>
    <row r="134" spans="2:29" x14ac:dyDescent="0.25">
      <c r="B134" s="369"/>
      <c r="P134" s="369"/>
      <c r="AC134" s="455"/>
    </row>
    <row r="135" spans="2:29" x14ac:dyDescent="0.25">
      <c r="B135" s="369"/>
      <c r="L135" s="1050">
        <f>4*PI()*L128</f>
        <v>379.50439255364699</v>
      </c>
      <c r="M135" s="1050"/>
      <c r="N135" s="359" t="s">
        <v>240</v>
      </c>
      <c r="P135" s="369"/>
      <c r="Z135" s="1050">
        <f>4*L128+1.25*(D128+H128)</f>
        <v>264.55</v>
      </c>
      <c r="AA135" s="1050"/>
      <c r="AB135" s="359" t="s">
        <v>240</v>
      </c>
      <c r="AC135" s="455"/>
    </row>
    <row r="136" spans="2:29" x14ac:dyDescent="0.25">
      <c r="B136" s="369"/>
      <c r="P136" s="369"/>
      <c r="AC136" s="455"/>
    </row>
    <row r="137" spans="2:29" x14ac:dyDescent="0.25">
      <c r="B137" s="369"/>
      <c r="C137" s="380"/>
      <c r="AC137" s="455"/>
    </row>
    <row r="138" spans="2:29" x14ac:dyDescent="0.25">
      <c r="B138" s="451"/>
      <c r="C138" s="452"/>
      <c r="D138" s="452"/>
      <c r="E138" s="452"/>
      <c r="F138" s="452"/>
      <c r="G138" s="452"/>
      <c r="H138" s="452"/>
      <c r="I138" s="452"/>
      <c r="J138" s="452"/>
      <c r="K138" s="452"/>
      <c r="L138" s="452"/>
      <c r="M138" s="452"/>
      <c r="N138" s="452"/>
      <c r="O138" s="452"/>
      <c r="P138" s="452"/>
      <c r="Q138" s="452"/>
      <c r="R138" s="452"/>
      <c r="S138" s="452"/>
      <c r="T138" s="452"/>
      <c r="U138" s="452"/>
      <c r="V138" s="452"/>
      <c r="W138" s="452"/>
      <c r="X138" s="452"/>
      <c r="Y138" s="452"/>
      <c r="Z138" s="452"/>
      <c r="AA138" s="452"/>
      <c r="AB138" s="452"/>
      <c r="AC138" s="453"/>
    </row>
    <row r="139" spans="2:29" ht="18.75" x14ac:dyDescent="0.25">
      <c r="B139" s="369"/>
      <c r="C139" s="1046" t="str">
        <f>IF(Configuration!Y4="EN","Bolts as Part of a Group","Boulons Faisant Parti d'un Groupe")</f>
        <v>Boulons Faisant Parti d'un Groupe</v>
      </c>
      <c r="D139" s="1047"/>
      <c r="E139" s="1047"/>
      <c r="F139" s="1047"/>
      <c r="G139" s="1047"/>
      <c r="H139" s="1047"/>
      <c r="I139" s="1047"/>
      <c r="J139" s="1047"/>
      <c r="K139" s="1047"/>
      <c r="L139" s="1047"/>
      <c r="M139" s="1047"/>
      <c r="N139" s="1047"/>
      <c r="O139" s="1047"/>
      <c r="P139" s="1047"/>
      <c r="Q139" s="1047"/>
      <c r="R139" s="1047"/>
      <c r="S139" s="1047"/>
      <c r="T139" s="1047"/>
      <c r="U139" s="1047"/>
      <c r="V139" s="1047"/>
      <c r="W139" s="1047"/>
      <c r="X139" s="1047"/>
      <c r="Y139" s="1047"/>
      <c r="Z139" s="1047"/>
      <c r="AA139" s="1047"/>
      <c r="AB139" s="1048"/>
      <c r="AC139" s="455"/>
    </row>
    <row r="140" spans="2:29" x14ac:dyDescent="0.25">
      <c r="B140" s="369"/>
      <c r="C140" s="515"/>
      <c r="AC140" s="455"/>
    </row>
    <row r="141" spans="2:29" ht="18" x14ac:dyDescent="0.25">
      <c r="B141" s="369"/>
      <c r="C141" s="454" t="str">
        <f>IF(Configuration!Y4="EN","Bolt pair near an edge - Upper bolts as part of a group","Paire de boulons près d'un bord - Boulons supérieurs faisant parti d'un groupe")</f>
        <v>Paire de boulons près d'un bord - Boulons supérieurs faisant parti d'un groupe</v>
      </c>
      <c r="V141" s="760" t="s">
        <v>1843</v>
      </c>
      <c r="X141" s="462" t="s">
        <v>643</v>
      </c>
      <c r="Y141" s="1052">
        <f>MIN(T144:U146)</f>
        <v>8558.0357142857138</v>
      </c>
      <c r="Z141" s="1053"/>
      <c r="AA141" s="463" t="s">
        <v>632</v>
      </c>
      <c r="AC141" s="455"/>
    </row>
    <row r="142" spans="2:29" ht="18" x14ac:dyDescent="0.25">
      <c r="B142" s="369"/>
      <c r="C142" s="288" t="s">
        <v>622</v>
      </c>
      <c r="D142" s="1054">
        <v>110</v>
      </c>
      <c r="E142" s="1054"/>
      <c r="F142" s="359" t="s">
        <v>240</v>
      </c>
      <c r="G142" s="288" t="s">
        <v>714</v>
      </c>
      <c r="H142" s="1054">
        <v>140</v>
      </c>
      <c r="I142" s="1054"/>
      <c r="J142" s="359" t="s">
        <v>240</v>
      </c>
      <c r="K142" s="288" t="s">
        <v>759</v>
      </c>
      <c r="L142" s="1054">
        <v>75</v>
      </c>
      <c r="M142" s="1054"/>
      <c r="N142" s="359" t="s">
        <v>240</v>
      </c>
      <c r="O142" s="288" t="s">
        <v>758</v>
      </c>
      <c r="P142" s="1054">
        <v>150</v>
      </c>
      <c r="Q142" s="1054"/>
      <c r="R142" s="359" t="s">
        <v>240</v>
      </c>
      <c r="S142" s="288" t="s">
        <v>760</v>
      </c>
      <c r="T142" s="1055">
        <f>IF(MIN(D142,L142)&gt;1.25*H142,1.25*H142,MIN(D142,L142))</f>
        <v>75</v>
      </c>
      <c r="U142" s="1055"/>
      <c r="V142" s="359" t="s">
        <v>240</v>
      </c>
      <c r="AC142" s="455"/>
    </row>
    <row r="143" spans="2:29" x14ac:dyDescent="0.25">
      <c r="B143" s="369"/>
      <c r="AC143" s="455"/>
    </row>
    <row r="144" spans="2:29" ht="18" x14ac:dyDescent="0.25">
      <c r="B144" s="369"/>
      <c r="F144" s="456" t="str">
        <f>IF(Configuration!Y4="EN","Failure mode 1:","Mode de ruine 1 :")</f>
        <v>Mode de ruine 1 :</v>
      </c>
      <c r="H144" s="288" t="s">
        <v>633</v>
      </c>
      <c r="I144" s="1051">
        <f>MIN(L149,Z149)</f>
        <v>150</v>
      </c>
      <c r="J144" s="1051"/>
      <c r="K144" s="359" t="s">
        <v>240</v>
      </c>
      <c r="M144" s="288" t="s">
        <v>634</v>
      </c>
      <c r="N144" s="1051">
        <f>0.25*(I144*0.001)*H5^2*N6/G_M0</f>
        <v>299.53125</v>
      </c>
      <c r="O144" s="1051"/>
      <c r="P144" s="359" t="s">
        <v>629</v>
      </c>
      <c r="S144" s="288" t="s">
        <v>635</v>
      </c>
      <c r="T144" s="1051">
        <f>4*N144/(0.001*H142)</f>
        <v>8558.0357142857138</v>
      </c>
      <c r="U144" s="1051"/>
      <c r="V144" s="359" t="s">
        <v>632</v>
      </c>
      <c r="AC144" s="455"/>
    </row>
    <row r="145" spans="2:29" ht="18" x14ac:dyDescent="0.25">
      <c r="B145" s="369"/>
      <c r="F145" s="456" t="str">
        <f>IF(Configuration!Y4="EN","Failure mode 2:","Mode de ruine 2 :")</f>
        <v>Mode de ruine 2 :</v>
      </c>
      <c r="H145" s="288" t="s">
        <v>638</v>
      </c>
      <c r="I145" s="1051">
        <f>MIN(Z149)</f>
        <v>150</v>
      </c>
      <c r="J145" s="1051"/>
      <c r="K145" s="359" t="s">
        <v>240</v>
      </c>
      <c r="M145" s="288" t="s">
        <v>637</v>
      </c>
      <c r="N145" s="1051">
        <f>0.25*(I145*0.001)*H5^2*N6/G_M0</f>
        <v>299.53125</v>
      </c>
      <c r="O145" s="1051"/>
      <c r="P145" s="359" t="s">
        <v>629</v>
      </c>
      <c r="S145" s="288" t="s">
        <v>636</v>
      </c>
      <c r="T145" s="1051">
        <f>(2*N145+0.001*T142*T146)/(0.001*(T142+H142))</f>
        <v>16594.765116279072</v>
      </c>
      <c r="U145" s="1051"/>
      <c r="V145" s="359" t="s">
        <v>632</v>
      </c>
      <c r="AC145" s="455"/>
    </row>
    <row r="146" spans="2:29" ht="18" x14ac:dyDescent="0.25">
      <c r="B146" s="369"/>
      <c r="F146" s="456" t="str">
        <f>IF(Configuration!Y4="EN","Failure mode 3:","Mode de ruine 3 :")</f>
        <v>Mode de ruine 3 :</v>
      </c>
      <c r="M146" s="288" t="s">
        <v>647</v>
      </c>
      <c r="N146" s="1051">
        <f>0.9*S6*X6/1.25</f>
        <v>19792.080000000002</v>
      </c>
      <c r="O146" s="1051"/>
      <c r="P146" s="359" t="s">
        <v>632</v>
      </c>
      <c r="S146" s="288" t="s">
        <v>642</v>
      </c>
      <c r="T146" s="1051">
        <f>2*N146</f>
        <v>39584.160000000003</v>
      </c>
      <c r="U146" s="1051"/>
      <c r="V146" s="359" t="s">
        <v>632</v>
      </c>
      <c r="AC146" s="455"/>
    </row>
    <row r="147" spans="2:29" x14ac:dyDescent="0.25">
      <c r="B147" s="369"/>
      <c r="C147" s="1049" t="str">
        <f>IF(Configuration!Y4="EN","Circular Pattern","Mode Circulaire")</f>
        <v>Mode Circulaire</v>
      </c>
      <c r="D147" s="1049"/>
      <c r="E147" s="1049"/>
      <c r="F147" s="1049"/>
      <c r="G147" s="1049"/>
      <c r="H147" s="1049"/>
      <c r="I147" s="1049"/>
      <c r="J147" s="1049"/>
      <c r="K147" s="1049"/>
      <c r="L147" s="1049"/>
      <c r="M147" s="1049"/>
      <c r="N147" s="1049"/>
      <c r="O147" s="457"/>
      <c r="Q147" s="1049" t="str">
        <f>IF(Configuration!Y4="EN","Non-Circular Pattern","Mode non Circulaire")</f>
        <v>Mode non Circulaire</v>
      </c>
      <c r="R147" s="1049"/>
      <c r="S147" s="1049"/>
      <c r="T147" s="1049"/>
      <c r="U147" s="1049"/>
      <c r="V147" s="1049"/>
      <c r="W147" s="1049"/>
      <c r="X147" s="1049"/>
      <c r="Y147" s="1049"/>
      <c r="Z147" s="1049"/>
      <c r="AA147" s="1049"/>
      <c r="AB147" s="1049"/>
      <c r="AC147" s="455"/>
    </row>
    <row r="148" spans="2:29" x14ac:dyDescent="0.25">
      <c r="B148" s="369"/>
      <c r="P148" s="369"/>
      <c r="AC148" s="455"/>
    </row>
    <row r="149" spans="2:29" x14ac:dyDescent="0.25">
      <c r="B149" s="369"/>
      <c r="L149" s="1050">
        <f>2*L142+P142</f>
        <v>300</v>
      </c>
      <c r="M149" s="1050"/>
      <c r="N149" s="359" t="s">
        <v>240</v>
      </c>
      <c r="P149" s="369"/>
      <c r="Z149" s="1050">
        <f>L142+0.5*P142</f>
        <v>150</v>
      </c>
      <c r="AA149" s="1050"/>
      <c r="AB149" s="359" t="s">
        <v>240</v>
      </c>
      <c r="AC149" s="455"/>
    </row>
    <row r="150" spans="2:29" x14ac:dyDescent="0.25">
      <c r="B150" s="369"/>
      <c r="P150" s="369"/>
      <c r="AC150" s="455"/>
    </row>
    <row r="151" spans="2:29" x14ac:dyDescent="0.25">
      <c r="B151" s="369"/>
      <c r="C151" s="380"/>
      <c r="AC151" s="455"/>
    </row>
    <row r="152" spans="2:29" x14ac:dyDescent="0.25">
      <c r="B152" s="369"/>
      <c r="C152" s="1019" t="s">
        <v>648</v>
      </c>
      <c r="D152" s="1020"/>
      <c r="E152" s="1020"/>
      <c r="F152" s="1020"/>
      <c r="G152" s="1020"/>
      <c r="H152" s="1020"/>
      <c r="I152" s="1020"/>
      <c r="J152" s="1020"/>
      <c r="K152" s="1020"/>
      <c r="L152" s="1020"/>
      <c r="M152" s="1020"/>
      <c r="N152" s="1020"/>
      <c r="O152" s="1020"/>
      <c r="P152" s="1020"/>
      <c r="Q152" s="1020"/>
      <c r="R152" s="1020"/>
      <c r="S152" s="1020"/>
      <c r="T152" s="1020"/>
      <c r="U152" s="1020"/>
      <c r="V152" s="1020"/>
      <c r="W152" s="1020"/>
      <c r="X152" s="1020"/>
      <c r="Y152" s="1020"/>
      <c r="Z152" s="1020"/>
      <c r="AA152" s="1020"/>
      <c r="AB152" s="1020"/>
      <c r="AC152" s="455"/>
    </row>
    <row r="153" spans="2:29" x14ac:dyDescent="0.25">
      <c r="B153" s="369"/>
      <c r="AC153" s="455"/>
    </row>
    <row r="154" spans="2:29" ht="18" x14ac:dyDescent="0.25">
      <c r="B154" s="369"/>
      <c r="C154" s="454" t="str">
        <f>IF(Configuration!Y4="EN","Bolt pair away from an edge - Upper bolts as part of a group","Paire de boulons éloignés d'un bord - Boulons supérieurs faisant parti d'un groupe")</f>
        <v>Paire de boulons éloignés d'un bord - Boulons supérieurs faisant parti d'un groupe</v>
      </c>
      <c r="V154" s="760" t="s">
        <v>1843</v>
      </c>
      <c r="X154" s="462" t="s">
        <v>643</v>
      </c>
      <c r="Y154" s="1052">
        <f>MIN(T157:U159)</f>
        <v>27547.798295454544</v>
      </c>
      <c r="Z154" s="1053"/>
      <c r="AA154" s="463" t="s">
        <v>632</v>
      </c>
      <c r="AC154" s="455"/>
    </row>
    <row r="155" spans="2:29" x14ac:dyDescent="0.25">
      <c r="B155" s="369"/>
      <c r="C155" s="288" t="s">
        <v>622</v>
      </c>
      <c r="D155" s="1054">
        <v>135</v>
      </c>
      <c r="E155" s="1054"/>
      <c r="F155" s="359" t="s">
        <v>240</v>
      </c>
      <c r="G155" s="288" t="s">
        <v>714</v>
      </c>
      <c r="H155" s="1054">
        <v>110</v>
      </c>
      <c r="I155" s="1054"/>
      <c r="J155" s="359" t="s">
        <v>240</v>
      </c>
      <c r="O155" s="288" t="s">
        <v>758</v>
      </c>
      <c r="P155" s="1054">
        <v>150</v>
      </c>
      <c r="Q155" s="1054"/>
      <c r="R155" s="359" t="s">
        <v>240</v>
      </c>
      <c r="S155" s="288" t="s">
        <v>760</v>
      </c>
      <c r="T155" s="1055">
        <f>IF(D155&gt;1.25*H155,1.25*H155,D155)</f>
        <v>135</v>
      </c>
      <c r="U155" s="1055"/>
      <c r="V155" s="359" t="s">
        <v>240</v>
      </c>
      <c r="AC155" s="455"/>
    </row>
    <row r="156" spans="2:29" x14ac:dyDescent="0.25">
      <c r="B156" s="369"/>
      <c r="AC156" s="455"/>
    </row>
    <row r="157" spans="2:29" ht="18" x14ac:dyDescent="0.25">
      <c r="B157" s="369"/>
      <c r="F157" s="456" t="str">
        <f>IF(Configuration!Y4="EN","Failure mode 1:","Mode de ruine 1 :")</f>
        <v>Mode de ruine 1 :</v>
      </c>
      <c r="H157" s="288" t="s">
        <v>633</v>
      </c>
      <c r="I157" s="1051">
        <f>MIN(L162,Z162)</f>
        <v>379.375</v>
      </c>
      <c r="J157" s="1051"/>
      <c r="K157" s="359" t="s">
        <v>240</v>
      </c>
      <c r="M157" s="288" t="s">
        <v>634</v>
      </c>
      <c r="N157" s="1051">
        <f>0.25*(I157*0.001)*H5^2*N6/G_M0</f>
        <v>757.564453125</v>
      </c>
      <c r="O157" s="1051"/>
      <c r="P157" s="359" t="s">
        <v>629</v>
      </c>
      <c r="S157" s="288" t="s">
        <v>635</v>
      </c>
      <c r="T157" s="1051">
        <f>4*N157/(0.001*H155)</f>
        <v>27547.798295454544</v>
      </c>
      <c r="U157" s="1051"/>
      <c r="V157" s="359" t="s">
        <v>632</v>
      </c>
      <c r="AC157" s="455"/>
    </row>
    <row r="158" spans="2:29" ht="18" x14ac:dyDescent="0.25">
      <c r="B158" s="369"/>
      <c r="F158" s="456" t="str">
        <f>IF(Configuration!Y4="EN","Failure mode 2:","Mode de ruine 2 :")</f>
        <v>Mode de ruine 2 :</v>
      </c>
      <c r="H158" s="288" t="s">
        <v>638</v>
      </c>
      <c r="I158" s="1051">
        <f>MIN(Z162)</f>
        <v>379.375</v>
      </c>
      <c r="J158" s="1051"/>
      <c r="K158" s="359" t="s">
        <v>240</v>
      </c>
      <c r="M158" s="288" t="s">
        <v>637</v>
      </c>
      <c r="N158" s="1051">
        <f>0.25*(I158*0.001)*H5^2*N6/G_M0</f>
        <v>757.564453125</v>
      </c>
      <c r="O158" s="1051"/>
      <c r="P158" s="359" t="s">
        <v>629</v>
      </c>
      <c r="S158" s="288" t="s">
        <v>636</v>
      </c>
      <c r="T158" s="1051">
        <f>(2*N158+0.001*T155*T159)/(0.001*(T155+H155))</f>
        <v>27995.879617346945</v>
      </c>
      <c r="U158" s="1051"/>
      <c r="V158" s="359" t="s">
        <v>632</v>
      </c>
      <c r="AC158" s="455"/>
    </row>
    <row r="159" spans="2:29" ht="18" x14ac:dyDescent="0.25">
      <c r="B159" s="369"/>
      <c r="F159" s="456" t="str">
        <f>IF(Configuration!Y4="EN","Failure mode 3:","Mode de ruine 3 :")</f>
        <v>Mode de ruine 3 :</v>
      </c>
      <c r="M159" s="288" t="s">
        <v>647</v>
      </c>
      <c r="N159" s="1051">
        <f>0.9*S6*X6/1.25</f>
        <v>19792.080000000002</v>
      </c>
      <c r="O159" s="1051"/>
      <c r="P159" s="359" t="s">
        <v>632</v>
      </c>
      <c r="S159" s="288" t="s">
        <v>642</v>
      </c>
      <c r="T159" s="1051">
        <f>2*N159</f>
        <v>39584.160000000003</v>
      </c>
      <c r="U159" s="1051"/>
      <c r="V159" s="359" t="s">
        <v>632</v>
      </c>
      <c r="AC159" s="455"/>
    </row>
    <row r="160" spans="2:29" x14ac:dyDescent="0.25">
      <c r="B160" s="369"/>
      <c r="C160" s="1049" t="str">
        <f>IF(Configuration!Y4="EN","Circular Pattern","Mode Circulaire")</f>
        <v>Mode Circulaire</v>
      </c>
      <c r="D160" s="1049"/>
      <c r="E160" s="1049"/>
      <c r="F160" s="1049"/>
      <c r="G160" s="1049"/>
      <c r="H160" s="1049"/>
      <c r="I160" s="1049"/>
      <c r="J160" s="1049"/>
      <c r="K160" s="1049"/>
      <c r="L160" s="1049"/>
      <c r="M160" s="1049"/>
      <c r="N160" s="1049"/>
      <c r="O160" s="457"/>
      <c r="Q160" s="1049" t="str">
        <f>IF(Configuration!Y4="EN","Non-Circular Pattern","Mode non Circulaire")</f>
        <v>Mode non Circulaire</v>
      </c>
      <c r="R160" s="1049"/>
      <c r="S160" s="1049"/>
      <c r="T160" s="1049"/>
      <c r="U160" s="1049"/>
      <c r="V160" s="1049"/>
      <c r="W160" s="1049"/>
      <c r="X160" s="1049"/>
      <c r="Y160" s="1049"/>
      <c r="Z160" s="1049"/>
      <c r="AA160" s="1049"/>
      <c r="AB160" s="1049"/>
      <c r="AC160" s="455"/>
    </row>
    <row r="161" spans="2:48" x14ac:dyDescent="0.25">
      <c r="B161" s="369"/>
      <c r="P161" s="369"/>
      <c r="AC161" s="455"/>
    </row>
    <row r="162" spans="2:48" x14ac:dyDescent="0.25">
      <c r="B162" s="369"/>
      <c r="L162" s="1050">
        <f>PI()*H155+P155</f>
        <v>495.57519189487726</v>
      </c>
      <c r="M162" s="1050"/>
      <c r="N162" s="359" t="s">
        <v>240</v>
      </c>
      <c r="P162" s="369"/>
      <c r="Z162" s="1050">
        <f>2*H155+0.625*D155+0.5*P155</f>
        <v>379.375</v>
      </c>
      <c r="AA162" s="1050"/>
      <c r="AB162" s="359" t="s">
        <v>240</v>
      </c>
      <c r="AC162" s="455"/>
    </row>
    <row r="163" spans="2:48" x14ac:dyDescent="0.25">
      <c r="B163" s="369"/>
      <c r="P163" s="369"/>
      <c r="AC163" s="455"/>
    </row>
    <row r="164" spans="2:48" x14ac:dyDescent="0.25">
      <c r="B164" s="369"/>
      <c r="C164" s="380"/>
      <c r="AC164" s="455"/>
    </row>
    <row r="165" spans="2:48" x14ac:dyDescent="0.25">
      <c r="B165" s="369"/>
      <c r="C165" s="1019" t="s">
        <v>648</v>
      </c>
      <c r="D165" s="1020"/>
      <c r="E165" s="1020"/>
      <c r="F165" s="1020"/>
      <c r="G165" s="1020"/>
      <c r="H165" s="1020"/>
      <c r="I165" s="1020"/>
      <c r="J165" s="1020"/>
      <c r="K165" s="1020"/>
      <c r="L165" s="1020"/>
      <c r="M165" s="1020"/>
      <c r="N165" s="1020"/>
      <c r="O165" s="1020"/>
      <c r="P165" s="1020"/>
      <c r="Q165" s="1020"/>
      <c r="R165" s="1020"/>
      <c r="S165" s="1020"/>
      <c r="T165" s="1020"/>
      <c r="U165" s="1020"/>
      <c r="V165" s="1020"/>
      <c r="W165" s="1020"/>
      <c r="X165" s="1020"/>
      <c r="Y165" s="1020"/>
      <c r="Z165" s="1020"/>
      <c r="AA165" s="1020"/>
      <c r="AB165" s="1020"/>
      <c r="AC165" s="455"/>
    </row>
    <row r="166" spans="2:48" x14ac:dyDescent="0.25">
      <c r="B166" s="369"/>
      <c r="AC166" s="455"/>
    </row>
    <row r="167" spans="2:48" ht="18" x14ac:dyDescent="0.25">
      <c r="B167" s="369"/>
      <c r="C167" s="454" t="str">
        <f>IF(Configuration!Y4="EN","Bolt pair near a stiffener - Upper bolts as part of a group","Paire de boulons près d'un raidisseur - Boulons supérieurs faisant parti d'un groupe")</f>
        <v>Paire de boulons près d'un raidisseur - Boulons supérieurs faisant parti d'un groupe</v>
      </c>
      <c r="V167" s="760" t="s">
        <v>1843</v>
      </c>
      <c r="X167" s="462" t="s">
        <v>643</v>
      </c>
      <c r="Y167" s="1052">
        <f>MIN(T170:U172)</f>
        <v>19664.056092948722</v>
      </c>
      <c r="Z167" s="1053"/>
      <c r="AA167" s="463" t="s">
        <v>632</v>
      </c>
      <c r="AC167" s="455"/>
    </row>
    <row r="168" spans="2:48" ht="18" x14ac:dyDescent="0.25">
      <c r="B168" s="369"/>
      <c r="C168" s="288" t="s">
        <v>622</v>
      </c>
      <c r="D168" s="1054">
        <v>30</v>
      </c>
      <c r="E168" s="1054"/>
      <c r="F168" s="359" t="s">
        <v>240</v>
      </c>
      <c r="G168" s="288" t="s">
        <v>714</v>
      </c>
      <c r="H168" s="1054">
        <v>70</v>
      </c>
      <c r="I168" s="1054"/>
      <c r="J168" s="359" t="s">
        <v>240</v>
      </c>
      <c r="K168" s="288" t="s">
        <v>715</v>
      </c>
      <c r="L168" s="1054">
        <v>45</v>
      </c>
      <c r="M168" s="1054"/>
      <c r="N168" s="359" t="s">
        <v>240</v>
      </c>
      <c r="O168" s="288" t="s">
        <v>758</v>
      </c>
      <c r="P168" s="1054">
        <v>25</v>
      </c>
      <c r="Q168" s="1054"/>
      <c r="R168" s="359" t="s">
        <v>240</v>
      </c>
      <c r="S168" s="288" t="s">
        <v>760</v>
      </c>
      <c r="T168" s="1055">
        <f>IF(D168&gt;1.25*H168,1.25*H168,D168)</f>
        <v>30</v>
      </c>
      <c r="U168" s="1055"/>
      <c r="V168" s="359" t="s">
        <v>240</v>
      </c>
      <c r="AC168" s="455"/>
    </row>
    <row r="169" spans="2:48" x14ac:dyDescent="0.25">
      <c r="B169" s="369"/>
      <c r="AC169" s="455"/>
    </row>
    <row r="170" spans="2:48" ht="18" x14ac:dyDescent="0.25">
      <c r="B170" s="369"/>
      <c r="F170" s="456" t="str">
        <f>IF(Configuration!Y4="EN","Failure mode 1:","Mode de ruine 1 :")</f>
        <v>Mode de ruine 1 :</v>
      </c>
      <c r="H170" s="288" t="s">
        <v>633</v>
      </c>
      <c r="I170" s="1051">
        <f>MIN(L175,Z175)</f>
        <v>195.02492877492887</v>
      </c>
      <c r="J170" s="1051"/>
      <c r="K170" s="359" t="s">
        <v>240</v>
      </c>
      <c r="M170" s="288" t="s">
        <v>634</v>
      </c>
      <c r="N170" s="1051">
        <f>0.25*(I170*0.001)*H5^2*N6/G_M0</f>
        <v>389.44040464743608</v>
      </c>
      <c r="O170" s="1051"/>
      <c r="P170" s="359" t="s">
        <v>629</v>
      </c>
      <c r="S170" s="288" t="s">
        <v>635</v>
      </c>
      <c r="T170" s="1051">
        <f>4*N170/(0.001*H168)</f>
        <v>22253.737408424917</v>
      </c>
      <c r="U170" s="1051"/>
      <c r="V170" s="359" t="s">
        <v>632</v>
      </c>
      <c r="AC170" s="455"/>
    </row>
    <row r="171" spans="2:48" ht="18.75" thickBot="1" x14ac:dyDescent="0.3">
      <c r="B171" s="369"/>
      <c r="F171" s="456" t="str">
        <f>IF(Configuration!Y4="EN","Failure mode 2:","Mode de ruine 2 :")</f>
        <v>Mode de ruine 2 :</v>
      </c>
      <c r="H171" s="288" t="s">
        <v>638</v>
      </c>
      <c r="I171" s="1051">
        <f>MIN(Z175)</f>
        <v>195.02492877492887</v>
      </c>
      <c r="J171" s="1051"/>
      <c r="K171" s="359" t="s">
        <v>240</v>
      </c>
      <c r="M171" s="288" t="s">
        <v>637</v>
      </c>
      <c r="N171" s="1051">
        <f>0.25*(I171*0.001)*H5^2*N6/G_M0</f>
        <v>389.44040464743608</v>
      </c>
      <c r="O171" s="1051"/>
      <c r="P171" s="359" t="s">
        <v>629</v>
      </c>
      <c r="S171" s="288" t="s">
        <v>636</v>
      </c>
      <c r="T171" s="1051">
        <f>(2*N171+0.001*T168*T172)/(0.001*(T168+H168))</f>
        <v>19664.056092948722</v>
      </c>
      <c r="U171" s="1051"/>
      <c r="V171" s="359" t="s">
        <v>632</v>
      </c>
      <c r="AC171" s="455"/>
    </row>
    <row r="172" spans="2:48" ht="18.75" thickBot="1" x14ac:dyDescent="0.3">
      <c r="B172" s="369"/>
      <c r="F172" s="456" t="str">
        <f>IF(Configuration!Y4="EN","Failure mode 3:","Mode de ruine 3 :")</f>
        <v>Mode de ruine 3 :</v>
      </c>
      <c r="M172" s="288" t="s">
        <v>647</v>
      </c>
      <c r="N172" s="1051">
        <f>0.9*S6*X6/1.25</f>
        <v>19792.080000000002</v>
      </c>
      <c r="O172" s="1051"/>
      <c r="P172" s="359" t="s">
        <v>632</v>
      </c>
      <c r="S172" s="288" t="s">
        <v>642</v>
      </c>
      <c r="T172" s="1051">
        <f>2*N172</f>
        <v>39584.160000000003</v>
      </c>
      <c r="U172" s="1051"/>
      <c r="V172" s="359" t="s">
        <v>632</v>
      </c>
      <c r="AC172" s="455"/>
      <c r="AF172" s="494" t="s">
        <v>756</v>
      </c>
      <c r="AG172" s="495">
        <f>INDEX(AL174:AV174,MATCH(AG173,AL175:AV175,0))</f>
        <v>5</v>
      </c>
      <c r="AH172" s="496">
        <f>(AG172*(AI173-AH173)+AI172*(AH173-AG173))/(AI173-AG173)</f>
        <v>4.8753561253561264</v>
      </c>
      <c r="AI172" s="497">
        <f>INDEX(AL174:AV174,MATCH(AI173,AL175:AV175,0))</f>
        <v>4.75</v>
      </c>
    </row>
    <row r="173" spans="2:48" ht="15.75" thickBot="1" x14ac:dyDescent="0.25">
      <c r="B173" s="369"/>
      <c r="C173" s="1049" t="str">
        <f>IF(Configuration!Y4="EN","Circular Pattern","Mode Circulaire")</f>
        <v>Mode Circulaire</v>
      </c>
      <c r="D173" s="1049"/>
      <c r="E173" s="1049"/>
      <c r="F173" s="1049"/>
      <c r="G173" s="1049"/>
      <c r="H173" s="1049"/>
      <c r="I173" s="1049"/>
      <c r="J173" s="1049"/>
      <c r="K173" s="1049"/>
      <c r="L173" s="1049"/>
      <c r="M173" s="1049"/>
      <c r="N173" s="1049"/>
      <c r="O173" s="457"/>
      <c r="Q173" s="1049" t="str">
        <f>IF(Configuration!Y4="EN","Non-Circular Pattern","Mode non Circulaire")</f>
        <v>Mode non Circulaire</v>
      </c>
      <c r="R173" s="1049"/>
      <c r="S173" s="1049"/>
      <c r="T173" s="1049"/>
      <c r="U173" s="1049"/>
      <c r="V173" s="1049"/>
      <c r="W173" s="1049"/>
      <c r="X173" s="1049"/>
      <c r="Y173" s="1049"/>
      <c r="Z173" s="1049"/>
      <c r="AA173" s="1049"/>
      <c r="AB173" s="1049"/>
      <c r="AC173" s="455"/>
      <c r="AF173" s="498">
        <f>AK175</f>
        <v>0.45</v>
      </c>
      <c r="AG173" s="499">
        <f>INDEX(AL175:AV175,MATCH(T176,AL175:AV175,1))</f>
        <v>0.66434029546612339</v>
      </c>
      <c r="AH173" s="500">
        <f>T176</f>
        <v>0.7</v>
      </c>
      <c r="AI173" s="501" cm="1">
        <f t="array" ref="AI173">INDEX(AL175:AV175,MATCH(T176,AL175:AV175,1)+1)</f>
        <v>0.73586347427407039</v>
      </c>
      <c r="AJ173" s="484"/>
      <c r="AK173" s="484"/>
      <c r="AL173" s="484"/>
      <c r="AM173" s="484"/>
      <c r="AN173" s="484"/>
      <c r="AO173" s="484"/>
      <c r="AP173" s="484"/>
      <c r="AQ173" s="484"/>
    </row>
    <row r="174" spans="2:48" ht="18.75" thickBot="1" x14ac:dyDescent="0.3">
      <c r="B174" s="369"/>
      <c r="P174" s="369"/>
      <c r="AC174" s="455"/>
      <c r="AF174" s="502">
        <f>V176</f>
        <v>0.45</v>
      </c>
      <c r="AG174" s="503"/>
      <c r="AH174" s="504">
        <f>(AH172*(AF176-AF174)+AH175*(AF174-AF173))/(AF176-AF173)</f>
        <v>4.8753561253561264</v>
      </c>
      <c r="AI174" s="505"/>
      <c r="AK174" s="494" t="s">
        <v>756</v>
      </c>
      <c r="AL174" s="491">
        <v>8</v>
      </c>
      <c r="AM174" s="489">
        <v>8</v>
      </c>
      <c r="AN174" s="489">
        <v>7</v>
      </c>
      <c r="AO174" s="489">
        <v>6.2830000000000004</v>
      </c>
      <c r="AP174" s="489">
        <v>6</v>
      </c>
      <c r="AQ174" s="489">
        <v>5.5</v>
      </c>
      <c r="AR174" s="489">
        <v>5</v>
      </c>
      <c r="AS174" s="489">
        <v>4.75</v>
      </c>
      <c r="AT174" s="489">
        <v>4.5</v>
      </c>
      <c r="AU174" s="489">
        <v>4.45</v>
      </c>
      <c r="AV174" s="490">
        <v>4.45</v>
      </c>
    </row>
    <row r="175" spans="2:48" ht="18.75" thickBot="1" x14ac:dyDescent="0.25">
      <c r="B175" s="369"/>
      <c r="L175" s="1050">
        <f>PI()*H168+P168</f>
        <v>244.91148575128551</v>
      </c>
      <c r="M175" s="1050"/>
      <c r="N175" s="359" t="s">
        <v>240</v>
      </c>
      <c r="P175" s="369"/>
      <c r="Z175" s="1050">
        <f>X176*H168-(2*H168+0.625*D168)+0.5*P168</f>
        <v>195.02492877492887</v>
      </c>
      <c r="AA175" s="1050"/>
      <c r="AB175" s="359" t="s">
        <v>240</v>
      </c>
      <c r="AC175" s="455"/>
      <c r="AF175" s="494" t="s">
        <v>756</v>
      </c>
      <c r="AG175" s="495">
        <f>INDEX(AL174:AV174,MATCH(AG176,AL176:AV176,0))</f>
        <v>5</v>
      </c>
      <c r="AH175" s="496">
        <f>(AG175*(AI176-AH176)+AI175*(AH176-AG176))/(AI176-AG176)</f>
        <v>4.817003367003367</v>
      </c>
      <c r="AI175" s="497">
        <f>INDEX(AL174:AV174,MATCH(AI176,AL176:AV176,0))</f>
        <v>4.75</v>
      </c>
      <c r="AK175" s="506">
        <f>INDEX(Data!$Y$4:$Y$33,MATCH(V176,Data!$Y$4:$Y$33,1))</f>
        <v>0.45</v>
      </c>
      <c r="AL175" s="492">
        <f>VLOOKUP($AK175,Data!$Y$4:$AJ$33,2,FALSE)</f>
        <v>0</v>
      </c>
      <c r="AM175" s="487">
        <f>VLOOKUP($AK175,Data!$Y$4:$AJ$33,3,FALSE)</f>
        <v>0.23400000000000001</v>
      </c>
      <c r="AN175" s="487">
        <f>VLOOKUP($AK175,Data!$Y$4:$AJ$33,4,FALSE)</f>
        <v>0.314</v>
      </c>
      <c r="AO175" s="487">
        <f>VLOOKUP($AK175,Data!$Y$4:$AJ$33,5,FALSE)</f>
        <v>0.41951095262353549</v>
      </c>
      <c r="AP175" s="487">
        <f>VLOOKUP($AK175,Data!$Y$4:$AJ$33,6,FALSE)</f>
        <v>0.48899999999999999</v>
      </c>
      <c r="AQ175" s="487">
        <f>VLOOKUP($AK175,Data!$Y$4:$AJ$33,7,FALSE)</f>
        <v>0.56484971981660737</v>
      </c>
      <c r="AR175" s="487">
        <f>VLOOKUP($AK175,Data!$Y$4:$AJ$33,8,FALSE)</f>
        <v>0.66434029546612339</v>
      </c>
      <c r="AS175" s="487">
        <f>VLOOKUP($AK175,Data!$Y$4:$AJ$33,9,FALSE)</f>
        <v>0.73586347427407039</v>
      </c>
      <c r="AT175" s="487">
        <f>VLOOKUP($AK175,Data!$Y$4:$AJ$33,10,FALSE)</f>
        <v>0.80830361691288843</v>
      </c>
      <c r="AU175" s="487">
        <f>VLOOKUP($AK175,Data!$Y$4:$AJ$33,11,FALSE)</f>
        <v>0.8238920020376973</v>
      </c>
      <c r="AV175" s="488">
        <f>VLOOKUP($AK175,Data!$Y$4:$AJ$33,12,FALSE)</f>
        <v>1</v>
      </c>
    </row>
    <row r="176" spans="2:48" ht="18.75" thickBot="1" x14ac:dyDescent="0.25">
      <c r="B176" s="369"/>
      <c r="P176" s="369"/>
      <c r="S176" s="483" t="s">
        <v>753</v>
      </c>
      <c r="T176" s="672">
        <f>H168/(H168+D168)</f>
        <v>0.7</v>
      </c>
      <c r="U176" s="483" t="s">
        <v>752</v>
      </c>
      <c r="V176" s="672">
        <f>L168/(H168+D168)</f>
        <v>0.45</v>
      </c>
      <c r="W176" s="382" t="s">
        <v>718</v>
      </c>
      <c r="X176" s="203">
        <f>AH174</f>
        <v>4.8753561253561264</v>
      </c>
      <c r="AC176" s="455"/>
      <c r="AF176" s="498">
        <f>AK176</f>
        <v>0.5</v>
      </c>
      <c r="AG176" s="499">
        <f>INDEX(AL176:AV176,MATCH(T176,AL176:AV176,1))</f>
        <v>0.64462557310239432</v>
      </c>
      <c r="AH176" s="500">
        <f>T176</f>
        <v>0.7</v>
      </c>
      <c r="AI176" s="501" cm="1">
        <f t="array" ref="AI176">INDEX($AL176:$AV176,MATCH(T176,$AL176:$AV176,1)+1)</f>
        <v>0.72027508914926142</v>
      </c>
      <c r="AK176" s="507" cm="1">
        <f t="array" ref="AK176">INDEX(Data!$Y$4:$Y$33,MATCH(V176,Data!$Y$4:$Y$33,1)+1)</f>
        <v>0.5</v>
      </c>
      <c r="AL176" s="493">
        <f>VLOOKUP($AK176,Data!$Y$5:$AJ$34,2,FALSE)</f>
        <v>0</v>
      </c>
      <c r="AM176" s="485">
        <f>VLOOKUP($AK176,Data!$Y$5:$AJ$34,3,FALSE)</f>
        <v>0.23400000000000001</v>
      </c>
      <c r="AN176" s="485">
        <f>VLOOKUP($AK176,Data!$Y$5:$AJ$34,4,FALSE)</f>
        <v>0.29799999999999999</v>
      </c>
      <c r="AO176" s="485">
        <f>VLOOKUP($AK176,Data!$Y$5:$AJ$34,5,FALSE)</f>
        <v>0.39750382068262863</v>
      </c>
      <c r="AP176" s="485">
        <f>VLOOKUP($AK176,Data!$Y$5:$AJ$34,6,FALSE)</f>
        <v>0.46500000000000002</v>
      </c>
      <c r="AQ176" s="485">
        <f>VLOOKUP($AK176,Data!$Y$5:$AJ$34,7,FALSE)</f>
        <v>0.54330106979113602</v>
      </c>
      <c r="AR176" s="485">
        <f>VLOOKUP($AK176,Data!$Y$5:$AJ$34,8,FALSE)</f>
        <v>0.64462557310239432</v>
      </c>
      <c r="AS176" s="485">
        <f>VLOOKUP($AK176,Data!$Y$5:$AJ$34,9,FALSE)</f>
        <v>0.72027508914926142</v>
      </c>
      <c r="AT176" s="485">
        <f>VLOOKUP($AK176,Data!$Y$5:$AJ$34,10,FALSE)</f>
        <v>0.79775853285787057</v>
      </c>
      <c r="AU176" s="485">
        <f>VLOOKUP($AK176,Data!$Y$5:$AJ$34,11,FALSE)</f>
        <v>0.8142638818135508</v>
      </c>
      <c r="AV176" s="486">
        <f>VLOOKUP($AK176,Data!$Y$5:$AJ$34,12,FALSE)</f>
        <v>1</v>
      </c>
    </row>
    <row r="177" spans="2:29" x14ac:dyDescent="0.25">
      <c r="B177" s="369"/>
      <c r="C177" s="380"/>
      <c r="AC177" s="455"/>
    </row>
    <row r="178" spans="2:29" ht="18.75" x14ac:dyDescent="0.25">
      <c r="B178" s="369"/>
      <c r="C178" s="1057" t="s">
        <v>717</v>
      </c>
      <c r="D178" s="1058"/>
      <c r="E178" s="1058"/>
      <c r="F178" s="1058"/>
      <c r="G178" s="1058"/>
      <c r="H178" s="1058"/>
      <c r="I178" s="1058"/>
      <c r="J178" s="1058"/>
      <c r="K178" s="1058"/>
      <c r="L178" s="1058"/>
      <c r="M178" s="1058"/>
      <c r="N178" s="1058"/>
      <c r="O178" s="1058"/>
      <c r="P178" s="1058"/>
      <c r="Q178" s="1058"/>
      <c r="R178" s="1058"/>
      <c r="S178" s="1058"/>
      <c r="T178" s="1058"/>
      <c r="U178" s="1058"/>
      <c r="V178" s="1058"/>
      <c r="W178" s="1058"/>
      <c r="X178" s="1058"/>
      <c r="Y178" s="1058"/>
      <c r="Z178" s="1058"/>
      <c r="AA178" s="1058"/>
      <c r="AB178" s="1058"/>
      <c r="AC178" s="455"/>
    </row>
    <row r="179" spans="2:29" x14ac:dyDescent="0.25">
      <c r="B179" s="369"/>
      <c r="AC179" s="455"/>
    </row>
    <row r="180" spans="2:29" ht="18" x14ac:dyDescent="0.25">
      <c r="B180" s="369"/>
      <c r="C180" s="454" t="str">
        <f>IF(Configuration!Y4="EN","Intermediate bolt pair - Intermediate bolts as part of a group","Paire de boulons intermédiaires - Boulons intermédiaires faisant parti d'un groupe")</f>
        <v>Paire de boulons intermédiaires - Boulons intermédiaires faisant parti d'un groupe</v>
      </c>
      <c r="V180" s="760" t="s">
        <v>1843</v>
      </c>
      <c r="X180" s="462" t="s">
        <v>643</v>
      </c>
      <c r="Y180" s="1052">
        <f>MIN(T183:U185)</f>
        <v>11410.714285714284</v>
      </c>
      <c r="Z180" s="1053"/>
      <c r="AA180" s="463" t="s">
        <v>632</v>
      </c>
      <c r="AC180" s="455"/>
    </row>
    <row r="181" spans="2:29" x14ac:dyDescent="0.25">
      <c r="B181" s="369"/>
      <c r="C181" s="288" t="s">
        <v>622</v>
      </c>
      <c r="D181" s="1054">
        <v>30</v>
      </c>
      <c r="E181" s="1054"/>
      <c r="F181" s="359" t="s">
        <v>240</v>
      </c>
      <c r="G181" s="288" t="s">
        <v>714</v>
      </c>
      <c r="H181" s="1054">
        <v>70</v>
      </c>
      <c r="I181" s="1054"/>
      <c r="J181" s="359" t="s">
        <v>240</v>
      </c>
      <c r="O181" s="288" t="s">
        <v>758</v>
      </c>
      <c r="P181" s="1054">
        <v>100</v>
      </c>
      <c r="Q181" s="1054"/>
      <c r="R181" s="359" t="s">
        <v>240</v>
      </c>
      <c r="S181" s="288" t="s">
        <v>760</v>
      </c>
      <c r="T181" s="1055">
        <f>IF(D181&gt;1.25*H181,1.25*H181,D181)</f>
        <v>30</v>
      </c>
      <c r="U181" s="1055"/>
      <c r="V181" s="359" t="s">
        <v>240</v>
      </c>
      <c r="AC181" s="455"/>
    </row>
    <row r="182" spans="2:29" x14ac:dyDescent="0.25">
      <c r="B182" s="369"/>
      <c r="AC182" s="455"/>
    </row>
    <row r="183" spans="2:29" ht="18" x14ac:dyDescent="0.25">
      <c r="B183" s="369"/>
      <c r="F183" s="456" t="str">
        <f>IF(Configuration!Y4="EN","Failure mode 1:","Mode de ruine 1 :")</f>
        <v>Mode de ruine 1 :</v>
      </c>
      <c r="H183" s="288" t="s">
        <v>633</v>
      </c>
      <c r="I183" s="1051">
        <f>MIN(L188,Z188)</f>
        <v>100</v>
      </c>
      <c r="J183" s="1051"/>
      <c r="K183" s="359" t="s">
        <v>240</v>
      </c>
      <c r="M183" s="288" t="s">
        <v>634</v>
      </c>
      <c r="N183" s="1051">
        <f>0.25*(I183*0.001)*H5^2*N6/G_M0</f>
        <v>199.6875</v>
      </c>
      <c r="O183" s="1051"/>
      <c r="P183" s="359" t="s">
        <v>629</v>
      </c>
      <c r="S183" s="288" t="s">
        <v>635</v>
      </c>
      <c r="T183" s="1051">
        <f>4*N183/(0.001*H181)</f>
        <v>11410.714285714284</v>
      </c>
      <c r="U183" s="1051"/>
      <c r="V183" s="359" t="s">
        <v>632</v>
      </c>
      <c r="AC183" s="455"/>
    </row>
    <row r="184" spans="2:29" ht="18" x14ac:dyDescent="0.25">
      <c r="B184" s="369"/>
      <c r="F184" s="456" t="str">
        <f>IF(Configuration!Y4="EN","Failure mode 2:","Mode de ruine 2 :")</f>
        <v>Mode de ruine 2 :</v>
      </c>
      <c r="H184" s="288" t="s">
        <v>638</v>
      </c>
      <c r="I184" s="1051">
        <f>MIN(Z188)</f>
        <v>100</v>
      </c>
      <c r="J184" s="1051"/>
      <c r="K184" s="359" t="s">
        <v>240</v>
      </c>
      <c r="M184" s="288" t="s">
        <v>637</v>
      </c>
      <c r="N184" s="1051">
        <f>0.25*(I184*0.001)*H5^2*N6/G_M0</f>
        <v>199.6875</v>
      </c>
      <c r="O184" s="1051"/>
      <c r="P184" s="359" t="s">
        <v>629</v>
      </c>
      <c r="S184" s="288" t="s">
        <v>636</v>
      </c>
      <c r="T184" s="1051">
        <f>(2*N184+0.001*T181*T185)/(0.001*(T181+H181))</f>
        <v>15868.998000000001</v>
      </c>
      <c r="U184" s="1051"/>
      <c r="V184" s="359" t="s">
        <v>632</v>
      </c>
      <c r="AC184" s="455"/>
    </row>
    <row r="185" spans="2:29" ht="18" x14ac:dyDescent="0.25">
      <c r="B185" s="369"/>
      <c r="F185" s="456" t="str">
        <f>IF(Configuration!Y4="EN","Failure mode 3:","Mode de ruine 3 :")</f>
        <v>Mode de ruine 3 :</v>
      </c>
      <c r="M185" s="288" t="s">
        <v>647</v>
      </c>
      <c r="N185" s="1051">
        <f>0.9*S6*X6/1.25</f>
        <v>19792.080000000002</v>
      </c>
      <c r="O185" s="1051"/>
      <c r="P185" s="359" t="s">
        <v>632</v>
      </c>
      <c r="S185" s="288" t="s">
        <v>642</v>
      </c>
      <c r="T185" s="1051">
        <f>2*N185</f>
        <v>39584.160000000003</v>
      </c>
      <c r="U185" s="1051"/>
      <c r="V185" s="359" t="s">
        <v>632</v>
      </c>
      <c r="AC185" s="455"/>
    </row>
    <row r="186" spans="2:29" x14ac:dyDescent="0.25">
      <c r="B186" s="369"/>
      <c r="C186" s="1049" t="str">
        <f>IF(Configuration!Y4="EN","Circular Pattern","Mode Circulaire")</f>
        <v>Mode Circulaire</v>
      </c>
      <c r="D186" s="1049"/>
      <c r="E186" s="1049"/>
      <c r="F186" s="1049"/>
      <c r="G186" s="1049"/>
      <c r="H186" s="1049"/>
      <c r="I186" s="1049"/>
      <c r="J186" s="1049"/>
      <c r="K186" s="1049"/>
      <c r="L186" s="1049"/>
      <c r="M186" s="1049"/>
      <c r="N186" s="1049"/>
      <c r="O186" s="457"/>
      <c r="Q186" s="1049" t="str">
        <f>IF(Configuration!Y4="EN","Non-Circular Pattern","Mode non Circulaire")</f>
        <v>Mode non Circulaire</v>
      </c>
      <c r="R186" s="1049"/>
      <c r="S186" s="1049"/>
      <c r="T186" s="1049"/>
      <c r="U186" s="1049"/>
      <c r="V186" s="1049"/>
      <c r="W186" s="1049"/>
      <c r="X186" s="1049"/>
      <c r="Y186" s="1049"/>
      <c r="Z186" s="1049"/>
      <c r="AA186" s="1049"/>
      <c r="AB186" s="1049"/>
      <c r="AC186" s="455"/>
    </row>
    <row r="187" spans="2:29" x14ac:dyDescent="0.25">
      <c r="B187" s="369"/>
      <c r="P187" s="369"/>
      <c r="AC187" s="455"/>
    </row>
    <row r="188" spans="2:29" x14ac:dyDescent="0.25">
      <c r="B188" s="369"/>
      <c r="L188" s="1050">
        <f>2*P181</f>
        <v>200</v>
      </c>
      <c r="M188" s="1050"/>
      <c r="N188" s="359" t="s">
        <v>240</v>
      </c>
      <c r="P188" s="369"/>
      <c r="Z188" s="1050">
        <f>P181</f>
        <v>100</v>
      </c>
      <c r="AA188" s="1050"/>
      <c r="AB188" s="359" t="s">
        <v>240</v>
      </c>
      <c r="AC188" s="455"/>
    </row>
    <row r="189" spans="2:29" x14ac:dyDescent="0.25">
      <c r="B189" s="369"/>
      <c r="P189" s="369"/>
      <c r="AC189" s="455"/>
    </row>
    <row r="190" spans="2:29" x14ac:dyDescent="0.25">
      <c r="B190" s="369"/>
      <c r="C190" s="380"/>
      <c r="AC190" s="455"/>
    </row>
    <row r="191" spans="2:29" ht="18.75" x14ac:dyDescent="0.25">
      <c r="B191" s="369"/>
      <c r="C191" s="1057" t="s">
        <v>717</v>
      </c>
      <c r="D191" s="1058"/>
      <c r="E191" s="1058"/>
      <c r="F191" s="1058"/>
      <c r="G191" s="1058"/>
      <c r="H191" s="1058"/>
      <c r="I191" s="1058"/>
      <c r="J191" s="1058"/>
      <c r="K191" s="1058"/>
      <c r="L191" s="1058"/>
      <c r="M191" s="1058"/>
      <c r="N191" s="1058"/>
      <c r="O191" s="1058"/>
      <c r="P191" s="1058"/>
      <c r="Q191" s="1058"/>
      <c r="R191" s="1058"/>
      <c r="S191" s="1058"/>
      <c r="T191" s="1058"/>
      <c r="U191" s="1058"/>
      <c r="V191" s="1058"/>
      <c r="W191" s="1058"/>
      <c r="X191" s="1058"/>
      <c r="Y191" s="1058"/>
      <c r="Z191" s="1058"/>
      <c r="AA191" s="1058"/>
      <c r="AB191" s="1058"/>
      <c r="AC191" s="455"/>
    </row>
    <row r="192" spans="2:29" x14ac:dyDescent="0.25">
      <c r="B192" s="369"/>
      <c r="AC192" s="455"/>
    </row>
    <row r="193" spans="2:29" ht="18" x14ac:dyDescent="0.25">
      <c r="B193" s="369"/>
      <c r="C193" s="454" t="str">
        <f>IF(Configuration!Y4="EN","Bolt pair near an edge - Lower bolts as part of a group","Paire de boulons près d'un bord - Boulons inférieurs faisant parti d'un groupe")</f>
        <v>Paire de boulons près d'un bord - Boulons inférieurs faisant parti d'un groupe</v>
      </c>
      <c r="V193" s="760" t="s">
        <v>1843</v>
      </c>
      <c r="X193" s="462" t="s">
        <v>643</v>
      </c>
      <c r="Y193" s="1052">
        <f>MIN(T196:U198)</f>
        <v>15176.25</v>
      </c>
      <c r="Z193" s="1053"/>
      <c r="AA193" s="463" t="s">
        <v>632</v>
      </c>
      <c r="AC193" s="455"/>
    </row>
    <row r="194" spans="2:29" ht="18" x14ac:dyDescent="0.25">
      <c r="B194" s="369"/>
      <c r="C194" s="288" t="s">
        <v>622</v>
      </c>
      <c r="D194" s="1054">
        <v>30</v>
      </c>
      <c r="E194" s="1054"/>
      <c r="F194" s="359" t="s">
        <v>240</v>
      </c>
      <c r="G194" s="288" t="s">
        <v>714</v>
      </c>
      <c r="H194" s="1054">
        <v>50</v>
      </c>
      <c r="I194" s="1054"/>
      <c r="J194" s="359" t="s">
        <v>240</v>
      </c>
      <c r="K194" s="288" t="s">
        <v>759</v>
      </c>
      <c r="L194" s="1054">
        <v>45</v>
      </c>
      <c r="M194" s="1054"/>
      <c r="N194" s="359" t="s">
        <v>240</v>
      </c>
      <c r="O194" s="288" t="s">
        <v>758</v>
      </c>
      <c r="P194" s="1054">
        <v>100</v>
      </c>
      <c r="Q194" s="1054"/>
      <c r="R194" s="359" t="s">
        <v>240</v>
      </c>
      <c r="S194" s="288" t="s">
        <v>760</v>
      </c>
      <c r="T194" s="1055">
        <f>IF(MIN(D194,L194)&gt;1.25*H194,1.25*H194,MIN(D194,L194))</f>
        <v>30</v>
      </c>
      <c r="U194" s="1055"/>
      <c r="V194" s="359" t="s">
        <v>240</v>
      </c>
      <c r="AC194" s="455"/>
    </row>
    <row r="195" spans="2:29" x14ac:dyDescent="0.25">
      <c r="B195" s="369"/>
      <c r="AC195" s="455"/>
    </row>
    <row r="196" spans="2:29" ht="18" x14ac:dyDescent="0.25">
      <c r="B196" s="369"/>
      <c r="F196" s="456" t="str">
        <f>IF(Configuration!Y4="EN","Failure mode 1:","Mode de ruine 1 :")</f>
        <v>Mode de ruine 1 :</v>
      </c>
      <c r="H196" s="288" t="s">
        <v>633</v>
      </c>
      <c r="I196" s="1051">
        <f>MIN(L201,Z201)</f>
        <v>95</v>
      </c>
      <c r="J196" s="1051"/>
      <c r="K196" s="359" t="s">
        <v>240</v>
      </c>
      <c r="M196" s="288" t="s">
        <v>634</v>
      </c>
      <c r="N196" s="1051">
        <f>0.25*(I196*0.001)*H5^2*N6/G_M0</f>
        <v>189.703125</v>
      </c>
      <c r="O196" s="1051"/>
      <c r="P196" s="359" t="s">
        <v>629</v>
      </c>
      <c r="S196" s="288" t="s">
        <v>635</v>
      </c>
      <c r="T196" s="1051">
        <f>4*N196/(0.001*H194)</f>
        <v>15176.25</v>
      </c>
      <c r="U196" s="1051"/>
      <c r="V196" s="359" t="s">
        <v>632</v>
      </c>
      <c r="AC196" s="455"/>
    </row>
    <row r="197" spans="2:29" ht="18" x14ac:dyDescent="0.25">
      <c r="B197" s="369"/>
      <c r="F197" s="456" t="str">
        <f>IF(Configuration!Y4="EN","Failure mode 2:","Mode de ruine 2 :")</f>
        <v>Mode de ruine 2 :</v>
      </c>
      <c r="H197" s="288" t="s">
        <v>638</v>
      </c>
      <c r="I197" s="1051">
        <f>MIN(Z201)</f>
        <v>95</v>
      </c>
      <c r="J197" s="1051"/>
      <c r="K197" s="359" t="s">
        <v>240</v>
      </c>
      <c r="M197" s="288" t="s">
        <v>637</v>
      </c>
      <c r="N197" s="1051">
        <f>0.25*(I197*0.001)*H5^2*N6/G_M0</f>
        <v>189.703125</v>
      </c>
      <c r="O197" s="1051"/>
      <c r="P197" s="359" t="s">
        <v>629</v>
      </c>
      <c r="S197" s="288" t="s">
        <v>636</v>
      </c>
      <c r="T197" s="1051">
        <f>(2*N197+0.001*T194*T198)/(0.001*(T194+H194))</f>
        <v>19586.638125000001</v>
      </c>
      <c r="U197" s="1051"/>
      <c r="V197" s="359" t="s">
        <v>632</v>
      </c>
      <c r="AC197" s="455"/>
    </row>
    <row r="198" spans="2:29" ht="18" x14ac:dyDescent="0.25">
      <c r="B198" s="369"/>
      <c r="F198" s="456" t="str">
        <f>IF(Configuration!Y4="EN","Failure mode 3:","Mode de ruine 3 :")</f>
        <v>Mode de ruine 3 :</v>
      </c>
      <c r="M198" s="288" t="s">
        <v>647</v>
      </c>
      <c r="N198" s="1051">
        <f>0.9*S6*X6/1.25</f>
        <v>19792.080000000002</v>
      </c>
      <c r="O198" s="1051"/>
      <c r="P198" s="359" t="s">
        <v>632</v>
      </c>
      <c r="S198" s="288" t="s">
        <v>642</v>
      </c>
      <c r="T198" s="1051">
        <f>2*N198</f>
        <v>39584.160000000003</v>
      </c>
      <c r="U198" s="1051"/>
      <c r="V198" s="359" t="s">
        <v>632</v>
      </c>
      <c r="AC198" s="455"/>
    </row>
    <row r="199" spans="2:29" x14ac:dyDescent="0.25">
      <c r="B199" s="369"/>
      <c r="C199" s="1049" t="str">
        <f>IF(Configuration!Y4="EN","Circular Pattern","Mode Circulaire")</f>
        <v>Mode Circulaire</v>
      </c>
      <c r="D199" s="1049"/>
      <c r="E199" s="1049"/>
      <c r="F199" s="1049"/>
      <c r="G199" s="1049"/>
      <c r="H199" s="1049"/>
      <c r="I199" s="1049"/>
      <c r="J199" s="1049"/>
      <c r="K199" s="1049"/>
      <c r="L199" s="1049"/>
      <c r="M199" s="1049"/>
      <c r="N199" s="1049"/>
      <c r="O199" s="457"/>
      <c r="Q199" s="1049" t="str">
        <f>IF(Configuration!Y4="EN","Non-Circular Pattern","Mode non Circulaire")</f>
        <v>Mode non Circulaire</v>
      </c>
      <c r="R199" s="1049"/>
      <c r="S199" s="1049"/>
      <c r="T199" s="1049"/>
      <c r="U199" s="1049"/>
      <c r="V199" s="1049"/>
      <c r="W199" s="1049"/>
      <c r="X199" s="1049"/>
      <c r="Y199" s="1049"/>
      <c r="Z199" s="1049"/>
      <c r="AA199" s="1049"/>
      <c r="AB199" s="1049"/>
      <c r="AC199" s="455"/>
    </row>
    <row r="200" spans="2:29" x14ac:dyDescent="0.25">
      <c r="B200" s="369"/>
      <c r="P200" s="369"/>
      <c r="AC200" s="455"/>
    </row>
    <row r="201" spans="2:29" x14ac:dyDescent="0.25">
      <c r="B201" s="369"/>
      <c r="L201" s="1050">
        <f>2*L194+P194</f>
        <v>190</v>
      </c>
      <c r="M201" s="1050"/>
      <c r="N201" s="359" t="s">
        <v>240</v>
      </c>
      <c r="P201" s="369"/>
      <c r="Z201" s="1050">
        <f>L194+0.5*P194</f>
        <v>95</v>
      </c>
      <c r="AA201" s="1050"/>
      <c r="AB201" s="359" t="s">
        <v>240</v>
      </c>
      <c r="AC201" s="455"/>
    </row>
    <row r="202" spans="2:29" x14ac:dyDescent="0.25">
      <c r="B202" s="369"/>
      <c r="P202" s="369"/>
      <c r="AC202" s="455"/>
    </row>
    <row r="203" spans="2:29" x14ac:dyDescent="0.25">
      <c r="B203" s="369"/>
      <c r="C203" s="380"/>
      <c r="AC203" s="455"/>
    </row>
    <row r="204" spans="2:29" x14ac:dyDescent="0.25">
      <c r="B204" s="369"/>
      <c r="C204" s="1019" t="s">
        <v>648</v>
      </c>
      <c r="D204" s="1020"/>
      <c r="E204" s="1020"/>
      <c r="F204" s="1020"/>
      <c r="G204" s="1020"/>
      <c r="H204" s="1020"/>
      <c r="I204" s="1020"/>
      <c r="J204" s="1020"/>
      <c r="K204" s="1020"/>
      <c r="L204" s="1020"/>
      <c r="M204" s="1020"/>
      <c r="N204" s="1020"/>
      <c r="O204" s="1020"/>
      <c r="P204" s="1020"/>
      <c r="Q204" s="1020"/>
      <c r="R204" s="1020"/>
      <c r="S204" s="1020"/>
      <c r="T204" s="1020"/>
      <c r="U204" s="1020"/>
      <c r="V204" s="1020"/>
      <c r="W204" s="1020"/>
      <c r="X204" s="1020"/>
      <c r="Y204" s="1020"/>
      <c r="Z204" s="1020"/>
      <c r="AA204" s="1020"/>
      <c r="AB204" s="1020"/>
      <c r="AC204" s="455"/>
    </row>
    <row r="205" spans="2:29" x14ac:dyDescent="0.25">
      <c r="B205" s="369"/>
      <c r="AC205" s="455"/>
    </row>
    <row r="206" spans="2:29" ht="18" x14ac:dyDescent="0.25">
      <c r="B206" s="369"/>
      <c r="C206" s="454" t="str">
        <f>IF(Configuration!Y4="EN","Bolt pair away from an edge - Lower bolts as part of a group","Paire de boulons éloignés d'un bord - Boulons inférieurs faisant parti d'un groupe")</f>
        <v>Paire de boulons éloignés d'un bord - Boulons inférieurs faisant parti d'un groupe</v>
      </c>
      <c r="V206" s="760" t="s">
        <v>1843</v>
      </c>
      <c r="X206" s="462" t="s">
        <v>643</v>
      </c>
      <c r="Y206" s="1052">
        <f>MIN(T209:U211)</f>
        <v>20212.201125</v>
      </c>
      <c r="Z206" s="1053"/>
      <c r="AA206" s="463" t="s">
        <v>632</v>
      </c>
      <c r="AC206" s="455"/>
    </row>
    <row r="207" spans="2:29" x14ac:dyDescent="0.25">
      <c r="B207" s="369"/>
      <c r="C207" s="288" t="s">
        <v>622</v>
      </c>
      <c r="D207" s="1054">
        <v>30</v>
      </c>
      <c r="E207" s="1054"/>
      <c r="F207" s="359" t="s">
        <v>240</v>
      </c>
      <c r="G207" s="288" t="s">
        <v>714</v>
      </c>
      <c r="H207" s="1054">
        <v>70</v>
      </c>
      <c r="I207" s="1054"/>
      <c r="J207" s="359" t="s">
        <v>240</v>
      </c>
      <c r="O207" s="288" t="s">
        <v>758</v>
      </c>
      <c r="P207" s="1054">
        <v>100</v>
      </c>
      <c r="Q207" s="1054"/>
      <c r="R207" s="359" t="s">
        <v>240</v>
      </c>
      <c r="S207" s="288" t="s">
        <v>760</v>
      </c>
      <c r="T207" s="1055">
        <f>IF(D207&gt;1.25*H207,1.25*H207,D207)</f>
        <v>30</v>
      </c>
      <c r="U207" s="1055"/>
      <c r="V207" s="359" t="s">
        <v>240</v>
      </c>
      <c r="AC207" s="455"/>
    </row>
    <row r="208" spans="2:29" x14ac:dyDescent="0.25">
      <c r="B208" s="369"/>
      <c r="AC208" s="455"/>
    </row>
    <row r="209" spans="2:35" ht="18" x14ac:dyDescent="0.25">
      <c r="B209" s="369"/>
      <c r="F209" s="456" t="str">
        <f>IF(Configuration!Y4="EN","Failure mode 1:","Mode de ruine 1 :")</f>
        <v>Mode de ruine 1 :</v>
      </c>
      <c r="H209" s="288" t="s">
        <v>633</v>
      </c>
      <c r="I209" s="1051">
        <f>MIN(L214,Z214)</f>
        <v>208.75</v>
      </c>
      <c r="J209" s="1051"/>
      <c r="K209" s="359" t="s">
        <v>240</v>
      </c>
      <c r="M209" s="288" t="s">
        <v>634</v>
      </c>
      <c r="N209" s="1051">
        <f>0.25*(I209*0.001)*H5^2*N6/G_M0</f>
        <v>416.84765625</v>
      </c>
      <c r="O209" s="1051"/>
      <c r="P209" s="359" t="s">
        <v>629</v>
      </c>
      <c r="S209" s="288" t="s">
        <v>635</v>
      </c>
      <c r="T209" s="1051">
        <f>4*N209/(0.001*H207)</f>
        <v>23819.866071428569</v>
      </c>
      <c r="U209" s="1051"/>
      <c r="V209" s="359" t="s">
        <v>632</v>
      </c>
      <c r="AC209" s="455"/>
    </row>
    <row r="210" spans="2:35" ht="18" x14ac:dyDescent="0.25">
      <c r="B210" s="369"/>
      <c r="F210" s="456" t="str">
        <f>IF(Configuration!Y4="EN","Failure mode 2:","Mode de ruine 2 :")</f>
        <v>Mode de ruine 2 :</v>
      </c>
      <c r="H210" s="288" t="s">
        <v>638</v>
      </c>
      <c r="I210" s="1051">
        <f>MIN(Z214)</f>
        <v>208.75</v>
      </c>
      <c r="J210" s="1051"/>
      <c r="K210" s="359" t="s">
        <v>240</v>
      </c>
      <c r="M210" s="288" t="s">
        <v>637</v>
      </c>
      <c r="N210" s="1051">
        <f>0.25*(I210*0.001)*H5^2*N6/G_M0</f>
        <v>416.84765625</v>
      </c>
      <c r="O210" s="1051"/>
      <c r="P210" s="359" t="s">
        <v>629</v>
      </c>
      <c r="S210" s="288" t="s">
        <v>636</v>
      </c>
      <c r="T210" s="1051">
        <f>(2*N210+0.001*T207*T211)/(0.001*(T207+H207))</f>
        <v>20212.201125</v>
      </c>
      <c r="U210" s="1051"/>
      <c r="V210" s="359" t="s">
        <v>632</v>
      </c>
      <c r="AC210" s="455"/>
    </row>
    <row r="211" spans="2:35" ht="18" x14ac:dyDescent="0.25">
      <c r="B211" s="369"/>
      <c r="F211" s="456" t="str">
        <f>IF(Configuration!Y4="EN","Failure mode 3:","Mode de ruine 3 :")</f>
        <v>Mode de ruine 3 :</v>
      </c>
      <c r="M211" s="288" t="s">
        <v>647</v>
      </c>
      <c r="N211" s="1051">
        <f>0.9*S6*X6/1.25</f>
        <v>19792.080000000002</v>
      </c>
      <c r="O211" s="1051"/>
      <c r="P211" s="359" t="s">
        <v>632</v>
      </c>
      <c r="S211" s="288" t="s">
        <v>642</v>
      </c>
      <c r="T211" s="1051">
        <f>2*N211</f>
        <v>39584.160000000003</v>
      </c>
      <c r="U211" s="1051"/>
      <c r="V211" s="359" t="s">
        <v>632</v>
      </c>
      <c r="AC211" s="455"/>
    </row>
    <row r="212" spans="2:35" x14ac:dyDescent="0.25">
      <c r="B212" s="369"/>
      <c r="C212" s="1049" t="str">
        <f>IF(Configuration!Y4="EN","Circular Pattern","Mode Circulaire")</f>
        <v>Mode Circulaire</v>
      </c>
      <c r="D212" s="1049"/>
      <c r="E212" s="1049"/>
      <c r="F212" s="1049"/>
      <c r="G212" s="1049"/>
      <c r="H212" s="1049"/>
      <c r="I212" s="1049"/>
      <c r="J212" s="1049"/>
      <c r="K212" s="1049"/>
      <c r="L212" s="1049"/>
      <c r="M212" s="1049"/>
      <c r="N212" s="1049"/>
      <c r="O212" s="457"/>
      <c r="Q212" s="1049" t="str">
        <f>IF(Configuration!Y4="EN","Non-Circular Pattern","Mode non Circulaire")</f>
        <v>Mode non Circulaire</v>
      </c>
      <c r="R212" s="1049"/>
      <c r="S212" s="1049"/>
      <c r="T212" s="1049"/>
      <c r="U212" s="1049"/>
      <c r="V212" s="1049"/>
      <c r="W212" s="1049"/>
      <c r="X212" s="1049"/>
      <c r="Y212" s="1049"/>
      <c r="Z212" s="1049"/>
      <c r="AA212" s="1049"/>
      <c r="AB212" s="1049"/>
      <c r="AC212" s="455"/>
    </row>
    <row r="213" spans="2:35" x14ac:dyDescent="0.25">
      <c r="B213" s="369"/>
      <c r="P213" s="369"/>
      <c r="AC213" s="455"/>
    </row>
    <row r="214" spans="2:35" x14ac:dyDescent="0.25">
      <c r="B214" s="369"/>
      <c r="L214" s="1050">
        <f>PI()*H207+P207</f>
        <v>319.91148575128551</v>
      </c>
      <c r="M214" s="1050"/>
      <c r="N214" s="359" t="s">
        <v>240</v>
      </c>
      <c r="P214" s="369"/>
      <c r="Z214" s="1050">
        <f>2*H207+0.625*D207+0.5*P207</f>
        <v>208.75</v>
      </c>
      <c r="AA214" s="1050"/>
      <c r="AB214" s="359" t="s">
        <v>240</v>
      </c>
      <c r="AC214" s="455"/>
    </row>
    <row r="215" spans="2:35" x14ac:dyDescent="0.25">
      <c r="B215" s="369"/>
      <c r="P215" s="369"/>
      <c r="AC215" s="455"/>
    </row>
    <row r="216" spans="2:35" x14ac:dyDescent="0.25">
      <c r="B216" s="369"/>
      <c r="C216" s="380"/>
      <c r="AC216" s="455"/>
    </row>
    <row r="217" spans="2:35" x14ac:dyDescent="0.25">
      <c r="B217" s="369"/>
      <c r="C217" s="1019" t="s">
        <v>648</v>
      </c>
      <c r="D217" s="1020"/>
      <c r="E217" s="1020"/>
      <c r="F217" s="1020"/>
      <c r="G217" s="1020"/>
      <c r="H217" s="1020"/>
      <c r="I217" s="1020"/>
      <c r="J217" s="1020"/>
      <c r="K217" s="1020"/>
      <c r="L217" s="1020"/>
      <c r="M217" s="1020"/>
      <c r="N217" s="1020"/>
      <c r="O217" s="1020"/>
      <c r="P217" s="1020"/>
      <c r="Q217" s="1020"/>
      <c r="R217" s="1020"/>
      <c r="S217" s="1020"/>
      <c r="T217" s="1020"/>
      <c r="U217" s="1020"/>
      <c r="V217" s="1020"/>
      <c r="W217" s="1020"/>
      <c r="X217" s="1020"/>
      <c r="Y217" s="1020"/>
      <c r="Z217" s="1020"/>
      <c r="AA217" s="1020"/>
      <c r="AB217" s="1020"/>
      <c r="AC217" s="455"/>
    </row>
    <row r="218" spans="2:35" x14ac:dyDescent="0.25">
      <c r="B218" s="369"/>
      <c r="AC218" s="455"/>
    </row>
    <row r="219" spans="2:35" ht="18" x14ac:dyDescent="0.25">
      <c r="B219" s="369"/>
      <c r="C219" s="454" t="str">
        <f>IF(Configuration!Y4="EN","Bolt pair near a stiffener - Lower bolts as part of a group","Paire de boulons près d'un raidisseur - Boulons inférieurs faisant parti d'un groupe")</f>
        <v>Paire de boulons près d'un raidisseur - Boulons inférieurs faisant parti d'un groupe</v>
      </c>
      <c r="V219" s="760" t="s">
        <v>1843</v>
      </c>
      <c r="X219" s="462" t="s">
        <v>643</v>
      </c>
      <c r="Y219" s="1052">
        <f>MIN(T222:U224)</f>
        <v>21161.712342948722</v>
      </c>
      <c r="Z219" s="1053"/>
      <c r="AA219" s="463" t="s">
        <v>632</v>
      </c>
      <c r="AC219" s="455"/>
    </row>
    <row r="220" spans="2:35" ht="18" x14ac:dyDescent="0.25">
      <c r="B220" s="369"/>
      <c r="C220" s="288" t="s">
        <v>622</v>
      </c>
      <c r="D220" s="1054">
        <v>30</v>
      </c>
      <c r="E220" s="1054"/>
      <c r="F220" s="359" t="s">
        <v>240</v>
      </c>
      <c r="G220" s="288" t="s">
        <v>714</v>
      </c>
      <c r="H220" s="1054">
        <v>70</v>
      </c>
      <c r="I220" s="1054"/>
      <c r="J220" s="359" t="s">
        <v>240</v>
      </c>
      <c r="K220" s="288" t="s">
        <v>715</v>
      </c>
      <c r="L220" s="1054">
        <v>45</v>
      </c>
      <c r="M220" s="1054"/>
      <c r="N220" s="359" t="s">
        <v>240</v>
      </c>
      <c r="O220" s="288" t="s">
        <v>758</v>
      </c>
      <c r="P220" s="1054">
        <v>100</v>
      </c>
      <c r="Q220" s="1054"/>
      <c r="R220" s="359" t="s">
        <v>240</v>
      </c>
      <c r="S220" s="288" t="s">
        <v>760</v>
      </c>
      <c r="T220" s="1055">
        <f>IF(D220&gt;1.25*H220,1.25*H220,D220)</f>
        <v>30</v>
      </c>
      <c r="U220" s="1055"/>
      <c r="V220" s="359" t="s">
        <v>240</v>
      </c>
      <c r="AC220" s="455"/>
    </row>
    <row r="221" spans="2:35" x14ac:dyDescent="0.25">
      <c r="B221" s="369"/>
      <c r="AC221" s="455"/>
    </row>
    <row r="222" spans="2:35" ht="18" x14ac:dyDescent="0.25">
      <c r="B222" s="369"/>
      <c r="F222" s="456" t="str">
        <f>IF(Configuration!Y4="EN","Failure mode 1:","Mode de ruine 1 :")</f>
        <v>Mode de ruine 1 :</v>
      </c>
      <c r="H222" s="288" t="s">
        <v>633</v>
      </c>
      <c r="I222" s="1051">
        <f>MIN(L227,Z227)</f>
        <v>232.52492877492887</v>
      </c>
      <c r="J222" s="1051"/>
      <c r="K222" s="359" t="s">
        <v>240</v>
      </c>
      <c r="M222" s="288" t="s">
        <v>634</v>
      </c>
      <c r="N222" s="1051">
        <f>0.25*(I222*0.001)*H5^2*N6/G_M0</f>
        <v>464.32321714743608</v>
      </c>
      <c r="O222" s="1051"/>
      <c r="P222" s="359" t="s">
        <v>629</v>
      </c>
      <c r="S222" s="288" t="s">
        <v>635</v>
      </c>
      <c r="T222" s="1051">
        <f>4*N222/(0.001*H220)</f>
        <v>26532.755265567772</v>
      </c>
      <c r="U222" s="1051"/>
      <c r="V222" s="359" t="s">
        <v>632</v>
      </c>
      <c r="AC222" s="455"/>
    </row>
    <row r="223" spans="2:35" ht="18.75" thickBot="1" x14ac:dyDescent="0.3">
      <c r="B223" s="369"/>
      <c r="F223" s="456" t="str">
        <f>IF(Configuration!Y4="EN","Failure mode 2:","Mode de ruine 2 :")</f>
        <v>Mode de ruine 2 :</v>
      </c>
      <c r="H223" s="288" t="s">
        <v>638</v>
      </c>
      <c r="I223" s="1051">
        <f>MIN(Z227)</f>
        <v>232.52492877492887</v>
      </c>
      <c r="J223" s="1051"/>
      <c r="K223" s="359" t="s">
        <v>240</v>
      </c>
      <c r="M223" s="288" t="s">
        <v>637</v>
      </c>
      <c r="N223" s="1051">
        <f>0.25*(I223*0.001)*H5^2*N6/G_M0</f>
        <v>464.32321714743608</v>
      </c>
      <c r="O223" s="1051"/>
      <c r="P223" s="359" t="s">
        <v>629</v>
      </c>
      <c r="S223" s="288" t="s">
        <v>636</v>
      </c>
      <c r="T223" s="1051">
        <f>(2*N223+0.001*T220*T224)/(0.001*(T220+H220))</f>
        <v>21161.712342948722</v>
      </c>
      <c r="U223" s="1051"/>
      <c r="V223" s="359" t="s">
        <v>632</v>
      </c>
      <c r="AC223" s="455"/>
    </row>
    <row r="224" spans="2:35" ht="18.75" thickBot="1" x14ac:dyDescent="0.3">
      <c r="B224" s="369"/>
      <c r="F224" s="456" t="str">
        <f>IF(Configuration!Y4="EN","Failure mode 3:","Mode de ruine 3 :")</f>
        <v>Mode de ruine 3 :</v>
      </c>
      <c r="M224" s="288" t="s">
        <v>647</v>
      </c>
      <c r="N224" s="1051">
        <f>0.9*S6*X6/1.25</f>
        <v>19792.080000000002</v>
      </c>
      <c r="O224" s="1051"/>
      <c r="P224" s="359" t="s">
        <v>632</v>
      </c>
      <c r="S224" s="288" t="s">
        <v>642</v>
      </c>
      <c r="T224" s="1051">
        <f>2*N224</f>
        <v>39584.160000000003</v>
      </c>
      <c r="U224" s="1051"/>
      <c r="V224" s="359" t="s">
        <v>632</v>
      </c>
      <c r="AC224" s="455"/>
      <c r="AF224" s="494" t="s">
        <v>756</v>
      </c>
      <c r="AG224" s="495">
        <f>INDEX(AL226:AV226,MATCH(AG225,AL227:AV227,0))</f>
        <v>5</v>
      </c>
      <c r="AH224" s="496">
        <f>(AG224*(AI225-AH225)+AI224*(AH225-AG225))/(AI225-AG225)</f>
        <v>4.8753561253561264</v>
      </c>
      <c r="AI224" s="497">
        <f>INDEX(AL226:AV226,MATCH(AI225,AL227:AV227,0))</f>
        <v>4.75</v>
      </c>
    </row>
    <row r="225" spans="2:48" ht="15.75" thickBot="1" x14ac:dyDescent="0.25">
      <c r="B225" s="369"/>
      <c r="C225" s="1049" t="str">
        <f>IF(Configuration!Y4="EN","Circular Pattern","Mode Circulaire")</f>
        <v>Mode Circulaire</v>
      </c>
      <c r="D225" s="1049"/>
      <c r="E225" s="1049"/>
      <c r="F225" s="1049"/>
      <c r="G225" s="1049"/>
      <c r="H225" s="1049"/>
      <c r="I225" s="1049"/>
      <c r="J225" s="1049"/>
      <c r="K225" s="1049"/>
      <c r="L225" s="1049"/>
      <c r="M225" s="1049"/>
      <c r="N225" s="1049"/>
      <c r="O225" s="457"/>
      <c r="Q225" s="1049" t="str">
        <f>IF(Configuration!Y4="EN","Non-Circular Pattern","Mode non Circulaire")</f>
        <v>Mode non Circulaire</v>
      </c>
      <c r="R225" s="1049"/>
      <c r="S225" s="1049"/>
      <c r="T225" s="1049"/>
      <c r="U225" s="1049"/>
      <c r="V225" s="1049"/>
      <c r="W225" s="1049"/>
      <c r="X225" s="1049"/>
      <c r="Y225" s="1049"/>
      <c r="Z225" s="1049"/>
      <c r="AA225" s="1049"/>
      <c r="AB225" s="1049"/>
      <c r="AC225" s="455"/>
      <c r="AF225" s="498">
        <f>AK227</f>
        <v>0.45</v>
      </c>
      <c r="AG225" s="499">
        <f>INDEX(AL227:AV227,MATCH(T228,AL227:AV227,1))</f>
        <v>0.66434029546612339</v>
      </c>
      <c r="AH225" s="500">
        <f>T228</f>
        <v>0.7</v>
      </c>
      <c r="AI225" s="501" cm="1">
        <f t="array" ref="AI225">INDEX(AL227:AV227,MATCH(T228,AL227:AV227,1)+1)</f>
        <v>0.73586347427407039</v>
      </c>
      <c r="AJ225" s="484"/>
      <c r="AK225" s="484"/>
      <c r="AL225" s="484"/>
      <c r="AM225" s="484"/>
      <c r="AN225" s="484"/>
      <c r="AO225" s="484"/>
      <c r="AP225" s="484"/>
      <c r="AQ225" s="484"/>
    </row>
    <row r="226" spans="2:48" ht="18.75" thickBot="1" x14ac:dyDescent="0.3">
      <c r="B226" s="369"/>
      <c r="P226" s="369"/>
      <c r="AC226" s="455"/>
      <c r="AF226" s="502">
        <f>V228</f>
        <v>0.45</v>
      </c>
      <c r="AG226" s="503"/>
      <c r="AH226" s="504">
        <f>(AH224*(AF228-AF226)+AH227*(AF226-AF225))/(AF228-AF225)</f>
        <v>4.8753561253561264</v>
      </c>
      <c r="AI226" s="505"/>
      <c r="AK226" s="494" t="s">
        <v>756</v>
      </c>
      <c r="AL226" s="491">
        <v>8</v>
      </c>
      <c r="AM226" s="489">
        <v>8</v>
      </c>
      <c r="AN226" s="489">
        <v>7</v>
      </c>
      <c r="AO226" s="489">
        <v>6.2830000000000004</v>
      </c>
      <c r="AP226" s="489">
        <v>6</v>
      </c>
      <c r="AQ226" s="489">
        <v>5.5</v>
      </c>
      <c r="AR226" s="489">
        <v>5</v>
      </c>
      <c r="AS226" s="489">
        <v>4.75</v>
      </c>
      <c r="AT226" s="489">
        <v>4.5</v>
      </c>
      <c r="AU226" s="489">
        <v>4.45</v>
      </c>
      <c r="AV226" s="490">
        <v>4.45</v>
      </c>
    </row>
    <row r="227" spans="2:48" ht="18.75" thickBot="1" x14ac:dyDescent="0.25">
      <c r="B227" s="369"/>
      <c r="L227" s="1050">
        <f>PI()*H220+P220</f>
        <v>319.91148575128551</v>
      </c>
      <c r="M227" s="1050"/>
      <c r="N227" s="359" t="s">
        <v>240</v>
      </c>
      <c r="P227" s="369"/>
      <c r="Z227" s="1050">
        <f>X228*H220-(2*H220+0.625*D220)+0.5*P220</f>
        <v>232.52492877492887</v>
      </c>
      <c r="AA227" s="1050"/>
      <c r="AB227" s="359" t="s">
        <v>240</v>
      </c>
      <c r="AC227" s="455"/>
      <c r="AF227" s="494" t="s">
        <v>756</v>
      </c>
      <c r="AG227" s="495">
        <f>INDEX(AL226:AV226,MATCH(AG228,AL228:AV228,0))</f>
        <v>5</v>
      </c>
      <c r="AH227" s="496">
        <f>(AG227*(AI228-AH228)+AI227*(AH228-AG228))/(AI228-AG228)</f>
        <v>4.817003367003367</v>
      </c>
      <c r="AI227" s="497">
        <f>INDEX(AL226:AV226,MATCH(AI228,AL228:AV228,0))</f>
        <v>4.75</v>
      </c>
      <c r="AK227" s="506">
        <f>INDEX(Data!$Y$4:$Y$33,MATCH(V228,Data!$Y$4:$Y$33,1))</f>
        <v>0.45</v>
      </c>
      <c r="AL227" s="492">
        <f>VLOOKUP($AK227,Data!$Y$4:$AJ$33,2,FALSE)</f>
        <v>0</v>
      </c>
      <c r="AM227" s="487">
        <f>VLOOKUP($AK227,Data!$Y$4:$AJ$33,3,FALSE)</f>
        <v>0.23400000000000001</v>
      </c>
      <c r="AN227" s="487">
        <f>VLOOKUP($AK227,Data!$Y$4:$AJ$33,4,FALSE)</f>
        <v>0.314</v>
      </c>
      <c r="AO227" s="487">
        <f>VLOOKUP($AK227,Data!$Y$4:$AJ$33,5,FALSE)</f>
        <v>0.41951095262353549</v>
      </c>
      <c r="AP227" s="487">
        <f>VLOOKUP($AK227,Data!$Y$4:$AJ$33,6,FALSE)</f>
        <v>0.48899999999999999</v>
      </c>
      <c r="AQ227" s="487">
        <f>VLOOKUP($AK227,Data!$Y$4:$AJ$33,7,FALSE)</f>
        <v>0.56484971981660737</v>
      </c>
      <c r="AR227" s="487">
        <f>VLOOKUP($AK227,Data!$Y$4:$AJ$33,8,FALSE)</f>
        <v>0.66434029546612339</v>
      </c>
      <c r="AS227" s="487">
        <f>VLOOKUP($AK227,Data!$Y$4:$AJ$33,9,FALSE)</f>
        <v>0.73586347427407039</v>
      </c>
      <c r="AT227" s="487">
        <f>VLOOKUP($AK227,Data!$Y$4:$AJ$33,10,FALSE)</f>
        <v>0.80830361691288843</v>
      </c>
      <c r="AU227" s="487">
        <f>VLOOKUP($AK227,Data!$Y$4:$AJ$33,11,FALSE)</f>
        <v>0.8238920020376973</v>
      </c>
      <c r="AV227" s="488">
        <f>VLOOKUP($AK227,Data!$Y$4:$AJ$33,12,FALSE)</f>
        <v>1</v>
      </c>
    </row>
    <row r="228" spans="2:48" ht="18.75" thickBot="1" x14ac:dyDescent="0.25">
      <c r="B228" s="369"/>
      <c r="P228" s="369"/>
      <c r="S228" s="483" t="s">
        <v>753</v>
      </c>
      <c r="T228" s="672">
        <f>H220/(H220+D220)</f>
        <v>0.7</v>
      </c>
      <c r="U228" s="483" t="s">
        <v>752</v>
      </c>
      <c r="V228" s="672">
        <f>L220/(H220+D220)</f>
        <v>0.45</v>
      </c>
      <c r="W228" s="382" t="s">
        <v>718</v>
      </c>
      <c r="X228" s="203">
        <f>AH226</f>
        <v>4.8753561253561264</v>
      </c>
      <c r="AC228" s="455"/>
      <c r="AF228" s="498">
        <f>AK228</f>
        <v>0.5</v>
      </c>
      <c r="AG228" s="499">
        <f>INDEX(AL228:AV228,MATCH(T228,AL228:AV228,1))</f>
        <v>0.64462557310239432</v>
      </c>
      <c r="AH228" s="500">
        <f>T228</f>
        <v>0.7</v>
      </c>
      <c r="AI228" s="501" cm="1">
        <f t="array" ref="AI228">INDEX($AL228:$AV228,MATCH(T228,$AL228:$AV228,1)+1)</f>
        <v>0.72027508914926142</v>
      </c>
      <c r="AK228" s="507" cm="1">
        <f t="array" ref="AK228">INDEX(Data!$Y$4:$Y$33,MATCH(V228,Data!$Y$4:$Y$33,1)+1)</f>
        <v>0.5</v>
      </c>
      <c r="AL228" s="493">
        <f>VLOOKUP($AK228,Data!$Y$5:$AJ$34,2,FALSE)</f>
        <v>0</v>
      </c>
      <c r="AM228" s="485">
        <f>VLOOKUP($AK228,Data!$Y$5:$AJ$34,3,FALSE)</f>
        <v>0.23400000000000001</v>
      </c>
      <c r="AN228" s="485">
        <f>VLOOKUP($AK228,Data!$Y$5:$AJ$34,4,FALSE)</f>
        <v>0.29799999999999999</v>
      </c>
      <c r="AO228" s="485">
        <f>VLOOKUP($AK228,Data!$Y$5:$AJ$34,5,FALSE)</f>
        <v>0.39750382068262863</v>
      </c>
      <c r="AP228" s="485">
        <f>VLOOKUP($AK228,Data!$Y$5:$AJ$34,6,FALSE)</f>
        <v>0.46500000000000002</v>
      </c>
      <c r="AQ228" s="485">
        <f>VLOOKUP($AK228,Data!$Y$5:$AJ$34,7,FALSE)</f>
        <v>0.54330106979113602</v>
      </c>
      <c r="AR228" s="485">
        <f>VLOOKUP($AK228,Data!$Y$5:$AJ$34,8,FALSE)</f>
        <v>0.64462557310239432</v>
      </c>
      <c r="AS228" s="485">
        <f>VLOOKUP($AK228,Data!$Y$5:$AJ$34,9,FALSE)</f>
        <v>0.72027508914926142</v>
      </c>
      <c r="AT228" s="485">
        <f>VLOOKUP($AK228,Data!$Y$5:$AJ$34,10,FALSE)</f>
        <v>0.79775853285787057</v>
      </c>
      <c r="AU228" s="485">
        <f>VLOOKUP($AK228,Data!$Y$5:$AJ$34,11,FALSE)</f>
        <v>0.8142638818135508</v>
      </c>
      <c r="AV228" s="486">
        <f>VLOOKUP($AK228,Data!$Y$5:$AJ$34,12,FALSE)</f>
        <v>1</v>
      </c>
    </row>
    <row r="229" spans="2:48" x14ac:dyDescent="0.25">
      <c r="B229" s="369"/>
      <c r="C229" s="1019" t="s">
        <v>648</v>
      </c>
      <c r="D229" s="1020"/>
      <c r="E229" s="1020"/>
      <c r="F229" s="1020"/>
      <c r="G229" s="1020"/>
      <c r="H229" s="1020"/>
      <c r="I229" s="1020"/>
      <c r="J229" s="1020"/>
      <c r="K229" s="1020"/>
      <c r="L229" s="1020"/>
      <c r="M229" s="1020"/>
      <c r="N229" s="1020"/>
      <c r="O229" s="1020"/>
      <c r="P229" s="1020"/>
      <c r="Q229" s="1020"/>
      <c r="R229" s="1020"/>
      <c r="S229" s="1020"/>
      <c r="T229" s="1020"/>
      <c r="U229" s="1020"/>
      <c r="V229" s="1020"/>
      <c r="W229" s="1020"/>
      <c r="X229" s="1020"/>
      <c r="Y229" s="1020"/>
      <c r="Z229" s="1020"/>
      <c r="AA229" s="1020"/>
      <c r="AB229" s="1020"/>
      <c r="AC229" s="455"/>
    </row>
    <row r="230" spans="2:48" x14ac:dyDescent="0.25">
      <c r="B230" s="369"/>
      <c r="AC230" s="455"/>
    </row>
    <row r="231" spans="2:48" ht="18" x14ac:dyDescent="0.25">
      <c r="B231" s="369"/>
      <c r="C231" s="454" t="str">
        <f>IF(Configuration!Y4="EN","Inner double bolt pair - Inner bolts as part of a group","Double paire de boulons intérieurs - Boulons intérieurs faisant parti d'un groupe")</f>
        <v>Double paire de boulons intérieurs - Boulons intérieurs faisant parti d'un groupe</v>
      </c>
      <c r="X231" s="462" t="s">
        <v>643</v>
      </c>
      <c r="Y231" s="1052">
        <f>MIN(T234:U235,T236)</f>
        <v>37880.1</v>
      </c>
      <c r="Z231" s="1053"/>
      <c r="AA231" s="463" t="s">
        <v>632</v>
      </c>
      <c r="AC231" s="455"/>
    </row>
    <row r="232" spans="2:48" ht="18" x14ac:dyDescent="0.25">
      <c r="B232" s="369"/>
      <c r="C232" s="288" t="s">
        <v>759</v>
      </c>
      <c r="D232" s="1054">
        <v>80</v>
      </c>
      <c r="E232" s="1054"/>
      <c r="F232" s="359" t="s">
        <v>240</v>
      </c>
      <c r="G232" s="288" t="s">
        <v>714</v>
      </c>
      <c r="H232" s="1054">
        <v>30.2</v>
      </c>
      <c r="I232" s="1054"/>
      <c r="J232" s="359" t="s">
        <v>240</v>
      </c>
      <c r="K232" s="288" t="s">
        <v>758</v>
      </c>
      <c r="L232" s="1054">
        <v>90</v>
      </c>
      <c r="M232" s="1054"/>
      <c r="N232" s="359" t="s">
        <v>240</v>
      </c>
      <c r="S232" s="288" t="s">
        <v>807</v>
      </c>
      <c r="T232" s="1055">
        <f>D232</f>
        <v>80</v>
      </c>
      <c r="U232" s="1055"/>
      <c r="V232" s="359" t="s">
        <v>240</v>
      </c>
      <c r="AA232" s="645" t="s">
        <v>1842</v>
      </c>
      <c r="AC232" s="455"/>
    </row>
    <row r="233" spans="2:48" ht="18" x14ac:dyDescent="0.25">
      <c r="B233" s="369"/>
      <c r="C233" s="288" t="s">
        <v>803</v>
      </c>
      <c r="D233" s="1054">
        <v>35</v>
      </c>
      <c r="E233" s="1054"/>
      <c r="F233" s="359" t="s">
        <v>240</v>
      </c>
      <c r="G233" s="288" t="s">
        <v>715</v>
      </c>
      <c r="H233" s="1054">
        <v>35</v>
      </c>
      <c r="I233" s="1054"/>
      <c r="J233" s="359" t="s">
        <v>240</v>
      </c>
      <c r="S233" s="359" t="s">
        <v>806</v>
      </c>
      <c r="T233" s="1056">
        <f>MIN(D233,1.25*H232+T232)</f>
        <v>35</v>
      </c>
      <c r="U233" s="1056"/>
      <c r="V233" s="359" t="s">
        <v>240</v>
      </c>
      <c r="AC233" s="455"/>
    </row>
    <row r="234" spans="2:48" ht="18" x14ac:dyDescent="0.25">
      <c r="B234" s="369"/>
      <c r="F234" s="456" t="str">
        <f>IF(Configuration!Y4="EN","Failure mode 1:","Mode de ruine 1 :")</f>
        <v>Mode de ruine 1 :</v>
      </c>
      <c r="H234" s="288" t="s">
        <v>633</v>
      </c>
      <c r="I234" s="1051">
        <f>MIN(L239,Z239)</f>
        <v>331.6</v>
      </c>
      <c r="J234" s="1051"/>
      <c r="K234" s="359" t="s">
        <v>240</v>
      </c>
      <c r="M234" s="288" t="s">
        <v>634</v>
      </c>
      <c r="N234" s="1051">
        <f>0.25*(I234*0.001)*$H$5^2*$N$6/G_M0</f>
        <v>662.16375000000005</v>
      </c>
      <c r="O234" s="1051"/>
      <c r="P234" s="359" t="s">
        <v>629</v>
      </c>
      <c r="S234" s="288" t="s">
        <v>635</v>
      </c>
      <c r="T234" s="1051">
        <f>4*N234/(0.001*H232)</f>
        <v>87703.807947019872</v>
      </c>
      <c r="U234" s="1051"/>
      <c r="V234" s="359" t="s">
        <v>632</v>
      </c>
      <c r="AC234" s="455"/>
    </row>
    <row r="235" spans="2:48" ht="18.75" thickBot="1" x14ac:dyDescent="0.3">
      <c r="B235" s="369"/>
      <c r="F235" s="456" t="str">
        <f>IF(Configuration!Y4="EN","Failure mode 2:","Mode de ruine 2 :")</f>
        <v>Mode de ruine 2 :</v>
      </c>
      <c r="H235" s="288" t="s">
        <v>638</v>
      </c>
      <c r="I235" s="1051">
        <f>MIN(Z239)</f>
        <v>331.6</v>
      </c>
      <c r="J235" s="1051"/>
      <c r="K235" s="359" t="s">
        <v>240</v>
      </c>
      <c r="M235" s="288" t="s">
        <v>637</v>
      </c>
      <c r="N235" s="1051">
        <f>0.25*(I235*0.001)*$H$5^2*$N$6/G_M0</f>
        <v>662.16375000000005</v>
      </c>
      <c r="O235" s="1051"/>
      <c r="P235" s="359" t="s">
        <v>629</v>
      </c>
      <c r="S235" s="288" t="s">
        <v>636</v>
      </c>
      <c r="T235" s="1051">
        <f>MIN((2*N235+0.5*T236*((0.001*(T232^2+2*T233^2+2*T232*T233))/(T232+T233)))/(0.001*(H232+T232+T233)),(2*N234+0.5*T236*0.001*T232)/(0.001*(H232+T232)))</f>
        <v>37880.1</v>
      </c>
      <c r="U235" s="1051"/>
      <c r="V235" s="359" t="s">
        <v>632</v>
      </c>
      <c r="AC235" s="455"/>
    </row>
    <row r="236" spans="2:48" ht="18.75" thickBot="1" x14ac:dyDescent="0.3">
      <c r="B236" s="369"/>
      <c r="F236" s="456" t="str">
        <f>IF(Configuration!Y4="EN","Failure mode 3:","Mode de ruine 3 :")</f>
        <v>Mode de ruine 3 :</v>
      </c>
      <c r="M236" s="288" t="s">
        <v>647</v>
      </c>
      <c r="N236" s="1051">
        <f>0.9*$S$6*$X$6/1.25</f>
        <v>19792.080000000002</v>
      </c>
      <c r="O236" s="1051"/>
      <c r="P236" s="359" t="s">
        <v>632</v>
      </c>
      <c r="S236" s="288" t="s">
        <v>642</v>
      </c>
      <c r="T236" s="1051">
        <f>0.9*4*N236</f>
        <v>71251.488000000012</v>
      </c>
      <c r="U236" s="1051"/>
      <c r="V236" s="359" t="s">
        <v>632</v>
      </c>
      <c r="AC236" s="455"/>
      <c r="AF236" s="494" t="s">
        <v>756</v>
      </c>
      <c r="AG236" s="495">
        <f>INDEX(AL238:AV238,MATCH(AG237,AL239:AV239,0))</f>
        <v>8</v>
      </c>
      <c r="AH236" s="496">
        <f>(AG236*(AI237-AH237)+AI236*(AH237-AG237))/(AI237-AG237)</f>
        <v>8</v>
      </c>
      <c r="AI236" s="497">
        <f>INDEX(AL238:AV238,MATCH(AI237,AL239:AV239,0))</f>
        <v>8</v>
      </c>
    </row>
    <row r="237" spans="2:48" ht="15.75" thickBot="1" x14ac:dyDescent="0.25">
      <c r="B237" s="369"/>
      <c r="C237" s="1049" t="str">
        <f>IF(Configuration!Y4="EN","Circular Pattern","Mode Circulaire")</f>
        <v>Mode Circulaire</v>
      </c>
      <c r="D237" s="1049"/>
      <c r="E237" s="1049"/>
      <c r="F237" s="1049"/>
      <c r="G237" s="1049"/>
      <c r="H237" s="1049"/>
      <c r="I237" s="1049"/>
      <c r="J237" s="1049"/>
      <c r="K237" s="1049"/>
      <c r="L237" s="1049"/>
      <c r="M237" s="1049"/>
      <c r="N237" s="1049"/>
      <c r="O237" s="457"/>
      <c r="Q237" s="1049" t="str">
        <f>IF(Configuration!Y4="EN","Non-Circular Pattern","Mode non Circulaire")</f>
        <v>Mode non Circulaire</v>
      </c>
      <c r="R237" s="1049"/>
      <c r="S237" s="1049"/>
      <c r="T237" s="1049"/>
      <c r="U237" s="1049"/>
      <c r="V237" s="1049"/>
      <c r="W237" s="1049"/>
      <c r="X237" s="1049"/>
      <c r="Y237" s="1049"/>
      <c r="Z237" s="1049"/>
      <c r="AA237" s="1049"/>
      <c r="AB237" s="1049"/>
      <c r="AC237" s="455"/>
      <c r="AF237" s="498">
        <f>AK239</f>
        <v>0.2</v>
      </c>
      <c r="AG237" s="499">
        <f>INDEX(AL239:AV239,MATCH(T240,AL239:AV239,1))</f>
        <v>0</v>
      </c>
      <c r="AH237" s="500">
        <f>T240</f>
        <v>0.20798898071625346</v>
      </c>
      <c r="AI237" s="501" cm="1">
        <f t="array" ref="AI237">INDEX(AL239:AV239,MATCH(T240,AL239:AV239,1)+1)</f>
        <v>0.39</v>
      </c>
      <c r="AJ237" s="484"/>
      <c r="AK237" s="484"/>
      <c r="AL237" s="484"/>
      <c r="AM237" s="484"/>
      <c r="AN237" s="484"/>
      <c r="AO237" s="484"/>
      <c r="AP237" s="484"/>
      <c r="AQ237" s="484"/>
    </row>
    <row r="238" spans="2:48" ht="18.75" thickBot="1" x14ac:dyDescent="0.3">
      <c r="B238" s="369"/>
      <c r="P238" s="369"/>
      <c r="AC238" s="455"/>
      <c r="AF238" s="502">
        <f>V240</f>
        <v>0.24104683195592289</v>
      </c>
      <c r="AG238" s="503"/>
      <c r="AH238" s="504">
        <f>(AH236*(AF240-AF238)+AH239*(AF238-AF237))/(AF240-AF237)</f>
        <v>8</v>
      </c>
      <c r="AI238" s="505"/>
      <c r="AK238" s="494" t="s">
        <v>756</v>
      </c>
      <c r="AL238" s="491">
        <v>8</v>
      </c>
      <c r="AM238" s="489">
        <v>8</v>
      </c>
      <c r="AN238" s="489">
        <v>7</v>
      </c>
      <c r="AO238" s="489">
        <v>6.2830000000000004</v>
      </c>
      <c r="AP238" s="489">
        <v>6</v>
      </c>
      <c r="AQ238" s="489">
        <v>5.5</v>
      </c>
      <c r="AR238" s="489">
        <v>5</v>
      </c>
      <c r="AS238" s="489">
        <v>4.75</v>
      </c>
      <c r="AT238" s="489">
        <v>4.5</v>
      </c>
      <c r="AU238" s="489">
        <v>4.45</v>
      </c>
      <c r="AV238" s="490">
        <v>4.45</v>
      </c>
    </row>
    <row r="239" spans="2:48" ht="18.75" thickBot="1" x14ac:dyDescent="0.25">
      <c r="B239" s="369"/>
      <c r="L239" s="1050">
        <f>4*(PI()*H232+L232)</f>
        <v>739.50439255364699</v>
      </c>
      <c r="M239" s="1050"/>
      <c r="N239" s="359" t="s">
        <v>240</v>
      </c>
      <c r="P239" s="369"/>
      <c r="Z239" s="1050">
        <f>X240*H232+L232</f>
        <v>331.6</v>
      </c>
      <c r="AA239" s="1050"/>
      <c r="AB239" s="359" t="s">
        <v>240</v>
      </c>
      <c r="AC239" s="455"/>
      <c r="AF239" s="494" t="s">
        <v>756</v>
      </c>
      <c r="AG239" s="495">
        <f>INDEX(AL238:AV238,MATCH(AG240,AL240:AV240,0))</f>
        <v>8</v>
      </c>
      <c r="AH239" s="496">
        <f>(AG239*(AI240-AH240)+AI239*(AH240-AG240))/(AI240-AG240)</f>
        <v>8</v>
      </c>
      <c r="AI239" s="497">
        <f>INDEX(AL238:AV238,MATCH(AI240,AL240:AV240,0))</f>
        <v>8</v>
      </c>
      <c r="AK239" s="506">
        <f>INDEX(Data!$Y$4:$Y$33,MATCH(V240,Data!$Y$4:$Y$33,1))</f>
        <v>0.2</v>
      </c>
      <c r="AL239" s="492">
        <f>VLOOKUP($AK239,Data!$Y$4:$AJ$33,2,FALSE)</f>
        <v>0</v>
      </c>
      <c r="AM239" s="487">
        <f>VLOOKUP($AK239,Data!$Y$4:$AJ$33,3,FALSE)</f>
        <v>0.39</v>
      </c>
      <c r="AN239" s="487">
        <f>VLOOKUP($AK239,Data!$Y$4:$AJ$33,4,FALSE)</f>
        <v>0.504</v>
      </c>
      <c r="AO239" s="487">
        <f>VLOOKUP($AK239,Data!$Y$4:$AJ$33,5,FALSE)</f>
        <v>0.60978094752929202</v>
      </c>
      <c r="AP239" s="487">
        <f>VLOOKUP($AK239,Data!$Y$4:$AJ$33,6,FALSE)</f>
        <v>0.68</v>
      </c>
      <c r="AQ239" s="487">
        <f>VLOOKUP($AK239,Data!$Y$4:$AJ$33,7,FALSE)</f>
        <v>0.73953132959755474</v>
      </c>
      <c r="AR239" s="487">
        <f>VLOOKUP($AK239,Data!$Y$4:$AJ$33,8,FALSE)</f>
        <v>0.80555272542027512</v>
      </c>
      <c r="AS239" s="487">
        <f>VLOOKUP($AK239,Data!$Y$4:$AJ$33,9,FALSE)</f>
        <v>0.84635761589403979</v>
      </c>
      <c r="AT239" s="487">
        <f>VLOOKUP($AK239,Data!$Y$4:$AJ$33,10,FALSE)</f>
        <v>0.9</v>
      </c>
      <c r="AU239" s="487">
        <f>VLOOKUP($AK239,Data!$Y$4:$AJ$33,11,FALSE)</f>
        <v>0.89312277126846673</v>
      </c>
      <c r="AV239" s="488">
        <f>VLOOKUP($AK239,Data!$Y$4:$AJ$33,12,FALSE)</f>
        <v>1</v>
      </c>
    </row>
    <row r="240" spans="2:48" ht="18.75" thickBot="1" x14ac:dyDescent="0.25">
      <c r="B240" s="369"/>
      <c r="C240" s="370"/>
      <c r="D240" s="370"/>
      <c r="E240" s="370"/>
      <c r="F240" s="370"/>
      <c r="G240" s="370"/>
      <c r="H240" s="370"/>
      <c r="I240" s="370"/>
      <c r="J240" s="370"/>
      <c r="K240" s="370"/>
      <c r="L240" s="370"/>
      <c r="M240" s="370"/>
      <c r="N240" s="370"/>
      <c r="P240" s="369"/>
      <c r="S240" s="483" t="s">
        <v>753</v>
      </c>
      <c r="T240" s="672">
        <f>H232/(H232+D233+D232)</f>
        <v>0.20798898071625346</v>
      </c>
      <c r="U240" s="483" t="s">
        <v>752</v>
      </c>
      <c r="V240" s="672">
        <f>H233/(H232+D233+D232)</f>
        <v>0.24104683195592289</v>
      </c>
      <c r="W240" s="483" t="s">
        <v>718</v>
      </c>
      <c r="X240" s="203">
        <f>AH238</f>
        <v>8</v>
      </c>
      <c r="AC240" s="455"/>
      <c r="AF240" s="498">
        <f>AK240</f>
        <v>0.25</v>
      </c>
      <c r="AG240" s="499">
        <f>INDEX(AL240:AV240,MATCH(T240,AL240:AV240,1))</f>
        <v>0</v>
      </c>
      <c r="AH240" s="500">
        <f>T240</f>
        <v>0.20798898071625346</v>
      </c>
      <c r="AI240" s="501" cm="1">
        <f t="array" ref="AI240">INDEX($AL240:$AV240,MATCH(T240,$AL240:$AV240,1)+1)</f>
        <v>0.33200000000000002</v>
      </c>
      <c r="AK240" s="507" cm="1">
        <f t="array" ref="AK240">INDEX(Data!$Y$4:$Y$33,MATCH(V240,Data!$Y$4:$Y$33,1)+1)</f>
        <v>0.25</v>
      </c>
      <c r="AL240" s="493">
        <f>VLOOKUP($AK240,Data!$Y$5:$AJ$34,2,FALSE)</f>
        <v>0</v>
      </c>
      <c r="AM240" s="485">
        <f>VLOOKUP($AK240,Data!$Y$5:$AJ$34,3,FALSE)</f>
        <v>0.33200000000000002</v>
      </c>
      <c r="AN240" s="485">
        <f>VLOOKUP($AK240,Data!$Y$5:$AJ$34,4,FALSE)</f>
        <v>0.44750000000000001</v>
      </c>
      <c r="AO240" s="485">
        <f>VLOOKUP($AK240,Data!$Y$5:$AJ$34,5,FALSE)</f>
        <v>0.55659704533876719</v>
      </c>
      <c r="AP240" s="485">
        <f>VLOOKUP($AK240,Data!$Y$5:$AJ$34,6,FALSE)</f>
        <v>0.63</v>
      </c>
      <c r="AQ240" s="485">
        <f>VLOOKUP($AK240,Data!$Y$5:$AJ$34,7,FALSE)</f>
        <v>0.69505858380030572</v>
      </c>
      <c r="AR240" s="485">
        <f>VLOOKUP($AK240,Data!$Y$5:$AJ$34,8,FALSE)</f>
        <v>0.77254202750891499</v>
      </c>
      <c r="AS240" s="485">
        <f>VLOOKUP($AK240,Data!$Y$5:$AJ$34,9,FALSE)</f>
        <v>0.81930718288334192</v>
      </c>
      <c r="AT240" s="485">
        <f>VLOOKUP($AK240,Data!$Y$5:$AJ$34,10,FALSE)</f>
        <v>0.87019867549668883</v>
      </c>
      <c r="AU240" s="485">
        <f>VLOOKUP($AK240,Data!$Y$5:$AJ$34,11,FALSE)</f>
        <v>0.89312277126846673</v>
      </c>
      <c r="AV240" s="486">
        <f>VLOOKUP($AK240,Data!$Y$5:$AJ$34,12,FALSE)</f>
        <v>1</v>
      </c>
    </row>
    <row r="241" spans="2:29" x14ac:dyDescent="0.25">
      <c r="B241" s="369"/>
      <c r="P241" s="369"/>
      <c r="AC241" s="455"/>
    </row>
    <row r="242" spans="2:29" x14ac:dyDescent="0.25">
      <c r="B242" s="369"/>
      <c r="L242" s="1050">
        <f>2*(PI()*H232+L232+2*D232)</f>
        <v>689.7521962768235</v>
      </c>
      <c r="M242" s="1050"/>
      <c r="N242" s="359" t="s">
        <v>240</v>
      </c>
      <c r="P242" s="369"/>
      <c r="AC242" s="455"/>
    </row>
    <row r="243" spans="2:29" x14ac:dyDescent="0.25">
      <c r="B243" s="369"/>
      <c r="P243" s="369"/>
      <c r="AC243" s="455"/>
    </row>
    <row r="244" spans="2:29" x14ac:dyDescent="0.25">
      <c r="B244" s="369"/>
      <c r="C244" s="1019" t="s">
        <v>648</v>
      </c>
      <c r="D244" s="1020"/>
      <c r="E244" s="1020"/>
      <c r="F244" s="1020"/>
      <c r="G244" s="1020"/>
      <c r="H244" s="1020"/>
      <c r="I244" s="1020"/>
      <c r="J244" s="1020"/>
      <c r="K244" s="1020"/>
      <c r="L244" s="1020"/>
      <c r="M244" s="1020"/>
      <c r="N244" s="1020"/>
      <c r="O244" s="1020"/>
      <c r="P244" s="1020"/>
      <c r="Q244" s="1020"/>
      <c r="R244" s="1020"/>
      <c r="S244" s="1020"/>
      <c r="T244" s="1020"/>
      <c r="U244" s="1020"/>
      <c r="V244" s="1020"/>
      <c r="W244" s="1020"/>
      <c r="X244" s="1020"/>
      <c r="Y244" s="1020"/>
      <c r="Z244" s="1020"/>
      <c r="AA244" s="1020"/>
      <c r="AB244" s="1020"/>
      <c r="AC244" s="455"/>
    </row>
    <row r="245" spans="2:29" x14ac:dyDescent="0.25">
      <c r="B245" s="369"/>
      <c r="AC245" s="455"/>
    </row>
    <row r="246" spans="2:29" ht="18" x14ac:dyDescent="0.25">
      <c r="B246" s="369"/>
      <c r="C246" s="454" t="str">
        <f>IF(Configuration!Y4="EN","Central double bolt pair - Inner bolts as part of a group","Double paire de boulons centraux - Boulons intérieurs faisant parti d'un groupe")</f>
        <v>Double paire de boulons centraux - Boulons intérieurs faisant parti d'un groupe</v>
      </c>
      <c r="X246" s="462" t="s">
        <v>643</v>
      </c>
      <c r="Y246" s="1052">
        <f>MIN(T249:U250,T251)</f>
        <v>38711.829242286753</v>
      </c>
      <c r="Z246" s="1053"/>
      <c r="AA246" s="463" t="s">
        <v>632</v>
      </c>
      <c r="AC246" s="455"/>
    </row>
    <row r="247" spans="2:29" ht="18" x14ac:dyDescent="0.25">
      <c r="B247" s="369"/>
      <c r="C247" s="288" t="s">
        <v>759</v>
      </c>
      <c r="D247" s="1054">
        <v>80</v>
      </c>
      <c r="E247" s="1054"/>
      <c r="F247" s="359" t="s">
        <v>240</v>
      </c>
      <c r="G247" s="288" t="s">
        <v>803</v>
      </c>
      <c r="H247" s="1054">
        <v>35</v>
      </c>
      <c r="I247" s="1054"/>
      <c r="J247" s="359" t="s">
        <v>240</v>
      </c>
      <c r="K247" s="288" t="s">
        <v>714</v>
      </c>
      <c r="L247" s="1054">
        <v>30.2</v>
      </c>
      <c r="M247" s="1054"/>
      <c r="N247" s="359" t="s">
        <v>240</v>
      </c>
      <c r="O247" s="288" t="s">
        <v>758</v>
      </c>
      <c r="P247" s="1054">
        <v>90</v>
      </c>
      <c r="Q247" s="1054"/>
      <c r="R247" s="359" t="s">
        <v>240</v>
      </c>
      <c r="S247" s="288" t="s">
        <v>807</v>
      </c>
      <c r="T247" s="1055">
        <f>D247</f>
        <v>80</v>
      </c>
      <c r="U247" s="1055"/>
      <c r="V247" s="359" t="s">
        <v>240</v>
      </c>
      <c r="AA247" s="645" t="s">
        <v>1842</v>
      </c>
      <c r="AC247" s="455"/>
    </row>
    <row r="248" spans="2:29" ht="18" x14ac:dyDescent="0.25">
      <c r="B248" s="369"/>
      <c r="S248" s="359" t="s">
        <v>806</v>
      </c>
      <c r="T248" s="1056">
        <f>MIN(H247,1.25*L247+T247)</f>
        <v>35</v>
      </c>
      <c r="U248" s="1056"/>
      <c r="V248" s="359" t="s">
        <v>240</v>
      </c>
      <c r="AC248" s="455"/>
    </row>
    <row r="249" spans="2:29" ht="18" x14ac:dyDescent="0.25">
      <c r="B249" s="369"/>
      <c r="F249" s="456" t="str">
        <f>IF(Configuration!Y4="EN","Failure mode 1:","Mode de ruine 1 :")</f>
        <v>Mode de ruine 1 :</v>
      </c>
      <c r="H249" s="288" t="s">
        <v>633</v>
      </c>
      <c r="I249" s="1051">
        <f>MIN(L254,Z254)</f>
        <v>354.55</v>
      </c>
      <c r="J249" s="1051"/>
      <c r="K249" s="359" t="s">
        <v>240</v>
      </c>
      <c r="M249" s="288" t="s">
        <v>634</v>
      </c>
      <c r="N249" s="1051">
        <f>0.25*(I249*0.001)*$H$5^2*$N$6/G_M0</f>
        <v>707.99203125000008</v>
      </c>
      <c r="O249" s="1051"/>
      <c r="P249" s="359" t="s">
        <v>629</v>
      </c>
      <c r="S249" s="288" t="s">
        <v>635</v>
      </c>
      <c r="T249" s="1051">
        <f>4*N249/(0.001*L247)</f>
        <v>93773.778973509936</v>
      </c>
      <c r="U249" s="1051"/>
      <c r="V249" s="359" t="s">
        <v>632</v>
      </c>
      <c r="AC249" s="455"/>
    </row>
    <row r="250" spans="2:29" ht="18" x14ac:dyDescent="0.25">
      <c r="B250" s="369"/>
      <c r="F250" s="456" t="str">
        <f>IF(Configuration!Y4="EN","Failure mode 2:","Mode de ruine 2 :")</f>
        <v>Mode de ruine 2 :</v>
      </c>
      <c r="H250" s="288" t="s">
        <v>638</v>
      </c>
      <c r="I250" s="1051">
        <f>MIN(Z254)</f>
        <v>354.55</v>
      </c>
      <c r="J250" s="1051"/>
      <c r="K250" s="359" t="s">
        <v>240</v>
      </c>
      <c r="M250" s="288" t="s">
        <v>637</v>
      </c>
      <c r="N250" s="1051">
        <f>0.25*(I250*0.001)*$H$5^2*$N$6/G_M0</f>
        <v>707.99203125000008</v>
      </c>
      <c r="O250" s="1051"/>
      <c r="P250" s="359" t="s">
        <v>629</v>
      </c>
      <c r="S250" s="288" t="s">
        <v>636</v>
      </c>
      <c r="T250" s="1051">
        <f>MIN((2*N250+0.5*T251*((0.001*(T247^2+2*T248^2+2*T247*T248))/(T247+T248)))/(0.001*(L247+T247+T248)),(2*N249+0.5*T251*0.001*T247)/(0.001*(L247+T247)))</f>
        <v>38711.829242286753</v>
      </c>
      <c r="U250" s="1051"/>
      <c r="V250" s="359" t="s">
        <v>632</v>
      </c>
      <c r="AC250" s="455"/>
    </row>
    <row r="251" spans="2:29" ht="18" x14ac:dyDescent="0.25">
      <c r="B251" s="369"/>
      <c r="F251" s="456" t="str">
        <f>IF(Configuration!Y4="EN","Failure mode 3:","Mode de ruine 3 :")</f>
        <v>Mode de ruine 3 :</v>
      </c>
      <c r="M251" s="288" t="s">
        <v>647</v>
      </c>
      <c r="N251" s="1051">
        <f>0.9*$S$6*$X$6/1.25</f>
        <v>19792.080000000002</v>
      </c>
      <c r="O251" s="1051"/>
      <c r="P251" s="359" t="s">
        <v>632</v>
      </c>
      <c r="S251" s="288" t="s">
        <v>642</v>
      </c>
      <c r="T251" s="1051">
        <f>0.9*4*N251</f>
        <v>71251.488000000012</v>
      </c>
      <c r="U251" s="1051"/>
      <c r="V251" s="359" t="s">
        <v>632</v>
      </c>
      <c r="AC251" s="455"/>
    </row>
    <row r="252" spans="2:29" x14ac:dyDescent="0.25">
      <c r="B252" s="369"/>
      <c r="C252" s="1049" t="str">
        <f>IF(Configuration!Y4="EN","Circular Pattern","Mode Circulaire")</f>
        <v>Mode Circulaire</v>
      </c>
      <c r="D252" s="1049"/>
      <c r="E252" s="1049"/>
      <c r="F252" s="1049"/>
      <c r="G252" s="1049"/>
      <c r="H252" s="1049"/>
      <c r="I252" s="1049"/>
      <c r="J252" s="1049"/>
      <c r="K252" s="1049"/>
      <c r="L252" s="1049"/>
      <c r="M252" s="1049"/>
      <c r="N252" s="1049"/>
      <c r="O252" s="457"/>
      <c r="Q252" s="1049" t="str">
        <f>IF(Configuration!Y4="EN","Non-Circular Pattern","Mode non Circulaire")</f>
        <v>Mode non Circulaire</v>
      </c>
      <c r="R252" s="1049"/>
      <c r="S252" s="1049"/>
      <c r="T252" s="1049"/>
      <c r="U252" s="1049"/>
      <c r="V252" s="1049"/>
      <c r="W252" s="1049"/>
      <c r="X252" s="1049"/>
      <c r="Y252" s="1049"/>
      <c r="Z252" s="1049"/>
      <c r="AA252" s="1049"/>
      <c r="AB252" s="1049"/>
      <c r="AC252" s="455"/>
    </row>
    <row r="253" spans="2:29" x14ac:dyDescent="0.25">
      <c r="B253" s="369"/>
      <c r="P253" s="369"/>
      <c r="AC253" s="455"/>
    </row>
    <row r="254" spans="2:29" x14ac:dyDescent="0.25">
      <c r="B254" s="369"/>
      <c r="L254" s="1050">
        <f>4*(PI()*L247+P247)</f>
        <v>739.50439255364699</v>
      </c>
      <c r="M254" s="1050"/>
      <c r="N254" s="359" t="s">
        <v>240</v>
      </c>
      <c r="P254" s="369"/>
      <c r="Z254" s="1050">
        <f>4*L247+1.25*(D247+H247)+P247</f>
        <v>354.55</v>
      </c>
      <c r="AA254" s="1050"/>
      <c r="AB254" s="359" t="s">
        <v>240</v>
      </c>
      <c r="AC254" s="455"/>
    </row>
    <row r="255" spans="2:29" x14ac:dyDescent="0.25">
      <c r="B255" s="369"/>
      <c r="C255" s="370"/>
      <c r="D255" s="370"/>
      <c r="E255" s="370"/>
      <c r="F255" s="370"/>
      <c r="G255" s="370"/>
      <c r="H255" s="370"/>
      <c r="I255" s="370"/>
      <c r="J255" s="370"/>
      <c r="K255" s="370"/>
      <c r="L255" s="370"/>
      <c r="M255" s="370"/>
      <c r="N255" s="370"/>
      <c r="P255" s="369"/>
      <c r="AC255" s="455"/>
    </row>
    <row r="256" spans="2:29" x14ac:dyDescent="0.25">
      <c r="B256" s="369"/>
      <c r="P256" s="369"/>
      <c r="AC256" s="455"/>
    </row>
    <row r="257" spans="2:29" x14ac:dyDescent="0.25">
      <c r="B257" s="369"/>
      <c r="L257" s="1050">
        <f>2*(PI()*L247+P247+2*D247)</f>
        <v>689.7521962768235</v>
      </c>
      <c r="M257" s="1050"/>
      <c r="N257" s="359" t="s">
        <v>240</v>
      </c>
      <c r="P257" s="369"/>
      <c r="AC257" s="455"/>
    </row>
    <row r="258" spans="2:29" x14ac:dyDescent="0.25">
      <c r="B258" s="369"/>
      <c r="P258" s="369"/>
      <c r="AC258" s="455"/>
    </row>
    <row r="259" spans="2:29" x14ac:dyDescent="0.25">
      <c r="B259" s="458"/>
      <c r="C259" s="459"/>
      <c r="D259" s="460"/>
      <c r="E259" s="460"/>
      <c r="F259" s="460"/>
      <c r="G259" s="460"/>
      <c r="H259" s="460"/>
      <c r="I259" s="460"/>
      <c r="J259" s="460"/>
      <c r="K259" s="460"/>
      <c r="L259" s="460"/>
      <c r="M259" s="460"/>
      <c r="N259" s="460"/>
      <c r="O259" s="460"/>
      <c r="P259" s="460"/>
      <c r="Q259" s="460"/>
      <c r="R259" s="460"/>
      <c r="S259" s="460"/>
      <c r="T259" s="460"/>
      <c r="U259" s="460"/>
      <c r="V259" s="460"/>
      <c r="W259" s="460"/>
      <c r="X259" s="460"/>
      <c r="Y259" s="460"/>
      <c r="Z259" s="460"/>
      <c r="AA259" s="460"/>
      <c r="AB259" s="460"/>
      <c r="AC259" s="461"/>
    </row>
    <row r="260" spans="2:29" x14ac:dyDescent="0.25">
      <c r="C260" s="380"/>
    </row>
  </sheetData>
  <sheetProtection algorithmName="SHA-512" hashValue="g3ZkqZZQ7xH9QhHhLu9fRUqJy0SqPp3DyMJ5TaCWI3cPBLQAps/+Fas7Z5jntXHtK4n22aqy1b02PIthIYlyZg==" saltValue="9vvWruTTrUmFS7Jqi3RaOw==" spinCount="100000" sheet="1" objects="1" scenarios="1"/>
  <mergeCells count="351">
    <mergeCell ref="L242:M242"/>
    <mergeCell ref="L257:M257"/>
    <mergeCell ref="P247:Q247"/>
    <mergeCell ref="I250:J250"/>
    <mergeCell ref="N250:O250"/>
    <mergeCell ref="T250:U250"/>
    <mergeCell ref="N251:O251"/>
    <mergeCell ref="T251:U251"/>
    <mergeCell ref="C252:N252"/>
    <mergeCell ref="Q252:AB252"/>
    <mergeCell ref="L254:M254"/>
    <mergeCell ref="Z254:AA254"/>
    <mergeCell ref="C244:AB244"/>
    <mergeCell ref="Y246:Z246"/>
    <mergeCell ref="D247:E247"/>
    <mergeCell ref="H247:I247"/>
    <mergeCell ref="L247:M247"/>
    <mergeCell ref="T247:U247"/>
    <mergeCell ref="T248:U248"/>
    <mergeCell ref="I249:J249"/>
    <mergeCell ref="N249:O249"/>
    <mergeCell ref="T249:U249"/>
    <mergeCell ref="I235:J235"/>
    <mergeCell ref="N235:O235"/>
    <mergeCell ref="T235:U235"/>
    <mergeCell ref="N236:O236"/>
    <mergeCell ref="T236:U236"/>
    <mergeCell ref="C237:N237"/>
    <mergeCell ref="Q237:AB237"/>
    <mergeCell ref="L239:M239"/>
    <mergeCell ref="Z239:AA239"/>
    <mergeCell ref="C229:AB229"/>
    <mergeCell ref="Y231:Z231"/>
    <mergeCell ref="D232:E232"/>
    <mergeCell ref="D233:E233"/>
    <mergeCell ref="H232:I232"/>
    <mergeCell ref="H233:I233"/>
    <mergeCell ref="T232:U232"/>
    <mergeCell ref="T233:U233"/>
    <mergeCell ref="I234:J234"/>
    <mergeCell ref="N234:O234"/>
    <mergeCell ref="T234:U234"/>
    <mergeCell ref="L232:M232"/>
    <mergeCell ref="Y91:Z91"/>
    <mergeCell ref="D92:E92"/>
    <mergeCell ref="H92:I92"/>
    <mergeCell ref="L92:M92"/>
    <mergeCell ref="P92:Q92"/>
    <mergeCell ref="T92:U92"/>
    <mergeCell ref="I94:J94"/>
    <mergeCell ref="N94:O94"/>
    <mergeCell ref="I95:J95"/>
    <mergeCell ref="N95:O95"/>
    <mergeCell ref="T95:U95"/>
    <mergeCell ref="T93:U93"/>
    <mergeCell ref="Y33:Z33"/>
    <mergeCell ref="C31:AB31"/>
    <mergeCell ref="C17:N17"/>
    <mergeCell ref="Q17:AB17"/>
    <mergeCell ref="T16:U16"/>
    <mergeCell ref="L102:M102"/>
    <mergeCell ref="Z102:AA102"/>
    <mergeCell ref="L105:M105"/>
    <mergeCell ref="Z105:AA105"/>
    <mergeCell ref="C89:AB89"/>
    <mergeCell ref="D93:E93"/>
    <mergeCell ref="Z19:AA19"/>
    <mergeCell ref="Z22:AA22"/>
    <mergeCell ref="Z25:AA25"/>
    <mergeCell ref="Z28:AA28"/>
    <mergeCell ref="L19:M19"/>
    <mergeCell ref="L22:M22"/>
    <mergeCell ref="L25:M25"/>
    <mergeCell ref="I36:J36"/>
    <mergeCell ref="N36:O36"/>
    <mergeCell ref="T36:U36"/>
    <mergeCell ref="I37:J37"/>
    <mergeCell ref="N37:O37"/>
    <mergeCell ref="T37:U37"/>
    <mergeCell ref="Y11:Z11"/>
    <mergeCell ref="S5:T5"/>
    <mergeCell ref="W5:X5"/>
    <mergeCell ref="S6:T6"/>
    <mergeCell ref="N16:O16"/>
    <mergeCell ref="H5:I5"/>
    <mergeCell ref="N5:O5"/>
    <mergeCell ref="T14:U14"/>
    <mergeCell ref="T15:U15"/>
    <mergeCell ref="C8:AB8"/>
    <mergeCell ref="D12:E12"/>
    <mergeCell ref="H12:I12"/>
    <mergeCell ref="P12:Q12"/>
    <mergeCell ref="L12:M12"/>
    <mergeCell ref="T12:U12"/>
    <mergeCell ref="C9:AB9"/>
    <mergeCell ref="I14:J14"/>
    <mergeCell ref="I15:J15"/>
    <mergeCell ref="N14:O14"/>
    <mergeCell ref="N15:O15"/>
    <mergeCell ref="D34:E34"/>
    <mergeCell ref="H34:I34"/>
    <mergeCell ref="L34:M34"/>
    <mergeCell ref="P34:Q34"/>
    <mergeCell ref="T34:U34"/>
    <mergeCell ref="L41:M41"/>
    <mergeCell ref="Z41:AA41"/>
    <mergeCell ref="L44:M44"/>
    <mergeCell ref="Z44:AA44"/>
    <mergeCell ref="T57:U57"/>
    <mergeCell ref="Z47:AA47"/>
    <mergeCell ref="N38:O38"/>
    <mergeCell ref="T38:U38"/>
    <mergeCell ref="C39:N39"/>
    <mergeCell ref="Q39:AB39"/>
    <mergeCell ref="L53:M53"/>
    <mergeCell ref="P53:Q53"/>
    <mergeCell ref="I55:J55"/>
    <mergeCell ref="N55:O55"/>
    <mergeCell ref="T55:U55"/>
    <mergeCell ref="D53:E53"/>
    <mergeCell ref="H53:I53"/>
    <mergeCell ref="C50:AB50"/>
    <mergeCell ref="I82:J82"/>
    <mergeCell ref="N82:O82"/>
    <mergeCell ref="T82:U82"/>
    <mergeCell ref="N83:O83"/>
    <mergeCell ref="T83:U83"/>
    <mergeCell ref="I81:J81"/>
    <mergeCell ref="N81:O81"/>
    <mergeCell ref="T81:U81"/>
    <mergeCell ref="Y78:Z78"/>
    <mergeCell ref="D79:E79"/>
    <mergeCell ref="H79:I79"/>
    <mergeCell ref="C71:N71"/>
    <mergeCell ref="T53:U53"/>
    <mergeCell ref="Q71:AB71"/>
    <mergeCell ref="L73:M73"/>
    <mergeCell ref="Z73:AA73"/>
    <mergeCell ref="Y52:Z52"/>
    <mergeCell ref="I68:J68"/>
    <mergeCell ref="N68:O68"/>
    <mergeCell ref="T68:U68"/>
    <mergeCell ref="N70:O70"/>
    <mergeCell ref="T70:U70"/>
    <mergeCell ref="L66:M66"/>
    <mergeCell ref="D66:E66"/>
    <mergeCell ref="H66:I66"/>
    <mergeCell ref="C58:N58"/>
    <mergeCell ref="Q58:AB58"/>
    <mergeCell ref="L60:M60"/>
    <mergeCell ref="Z60:AA60"/>
    <mergeCell ref="I56:J56"/>
    <mergeCell ref="N56:O56"/>
    <mergeCell ref="T56:U56"/>
    <mergeCell ref="N57:O57"/>
    <mergeCell ref="T145:U145"/>
    <mergeCell ref="N146:O146"/>
    <mergeCell ref="T146:U146"/>
    <mergeCell ref="C63:AB63"/>
    <mergeCell ref="C76:AB76"/>
    <mergeCell ref="D142:E142"/>
    <mergeCell ref="H142:I142"/>
    <mergeCell ref="L142:M142"/>
    <mergeCell ref="P142:Q142"/>
    <mergeCell ref="C84:N84"/>
    <mergeCell ref="Q84:AB84"/>
    <mergeCell ref="L86:M86"/>
    <mergeCell ref="Z86:AA86"/>
    <mergeCell ref="Y65:Z65"/>
    <mergeCell ref="I69:J69"/>
    <mergeCell ref="N69:O69"/>
    <mergeCell ref="T69:U69"/>
    <mergeCell ref="T79:U79"/>
    <mergeCell ref="T66:U66"/>
    <mergeCell ref="Y141:Z141"/>
    <mergeCell ref="P66:Q66"/>
    <mergeCell ref="C125:AB125"/>
    <mergeCell ref="Y127:Z127"/>
    <mergeCell ref="D128:E128"/>
    <mergeCell ref="D168:E168"/>
    <mergeCell ref="H168:I168"/>
    <mergeCell ref="L168:M168"/>
    <mergeCell ref="P168:Q168"/>
    <mergeCell ref="T168:U168"/>
    <mergeCell ref="P155:Q155"/>
    <mergeCell ref="I157:J157"/>
    <mergeCell ref="N157:O157"/>
    <mergeCell ref="T157:U157"/>
    <mergeCell ref="I158:J158"/>
    <mergeCell ref="N158:O158"/>
    <mergeCell ref="T158:U158"/>
    <mergeCell ref="N159:O159"/>
    <mergeCell ref="T159:U159"/>
    <mergeCell ref="T155:U155"/>
    <mergeCell ref="L162:M162"/>
    <mergeCell ref="D181:E181"/>
    <mergeCell ref="H181:I181"/>
    <mergeCell ref="P181:Q181"/>
    <mergeCell ref="I183:J183"/>
    <mergeCell ref="N183:O183"/>
    <mergeCell ref="T183:U183"/>
    <mergeCell ref="T181:U181"/>
    <mergeCell ref="I170:J170"/>
    <mergeCell ref="N170:O170"/>
    <mergeCell ref="T170:U170"/>
    <mergeCell ref="I171:J171"/>
    <mergeCell ref="N171:O171"/>
    <mergeCell ref="T171:U171"/>
    <mergeCell ref="N172:O172"/>
    <mergeCell ref="T172:U172"/>
    <mergeCell ref="C173:N173"/>
    <mergeCell ref="Q173:AB173"/>
    <mergeCell ref="I184:J184"/>
    <mergeCell ref="N184:O184"/>
    <mergeCell ref="T184:U184"/>
    <mergeCell ref="N185:O185"/>
    <mergeCell ref="T185:U185"/>
    <mergeCell ref="C186:N186"/>
    <mergeCell ref="Q186:AB186"/>
    <mergeCell ref="L188:M188"/>
    <mergeCell ref="Z188:AA188"/>
    <mergeCell ref="C191:AB191"/>
    <mergeCell ref="D194:E194"/>
    <mergeCell ref="H194:I194"/>
    <mergeCell ref="L194:M194"/>
    <mergeCell ref="P194:Q194"/>
    <mergeCell ref="I196:J196"/>
    <mergeCell ref="N196:O196"/>
    <mergeCell ref="T196:U196"/>
    <mergeCell ref="I197:J197"/>
    <mergeCell ref="N197:O197"/>
    <mergeCell ref="T197:U197"/>
    <mergeCell ref="Y193:Z193"/>
    <mergeCell ref="T194:U194"/>
    <mergeCell ref="N198:O198"/>
    <mergeCell ref="T198:U198"/>
    <mergeCell ref="C199:N199"/>
    <mergeCell ref="Q199:AB199"/>
    <mergeCell ref="L201:M201"/>
    <mergeCell ref="Z201:AA201"/>
    <mergeCell ref="C204:AB204"/>
    <mergeCell ref="D207:E207"/>
    <mergeCell ref="H207:I207"/>
    <mergeCell ref="P207:Q207"/>
    <mergeCell ref="Y206:Z206"/>
    <mergeCell ref="T207:U207"/>
    <mergeCell ref="N209:O209"/>
    <mergeCell ref="T209:U209"/>
    <mergeCell ref="I210:J210"/>
    <mergeCell ref="N210:O210"/>
    <mergeCell ref="T210:U210"/>
    <mergeCell ref="N211:O211"/>
    <mergeCell ref="T211:U211"/>
    <mergeCell ref="C212:N212"/>
    <mergeCell ref="Q212:AB212"/>
    <mergeCell ref="Z162:AA162"/>
    <mergeCell ref="C165:AB165"/>
    <mergeCell ref="L227:M227"/>
    <mergeCell ref="Z227:AA227"/>
    <mergeCell ref="L220:M220"/>
    <mergeCell ref="P220:Q220"/>
    <mergeCell ref="I222:J222"/>
    <mergeCell ref="N222:O222"/>
    <mergeCell ref="T222:U222"/>
    <mergeCell ref="I223:J223"/>
    <mergeCell ref="N223:O223"/>
    <mergeCell ref="T223:U223"/>
    <mergeCell ref="T220:U220"/>
    <mergeCell ref="L214:M214"/>
    <mergeCell ref="Z214:AA214"/>
    <mergeCell ref="C217:AB217"/>
    <mergeCell ref="D220:E220"/>
    <mergeCell ref="H220:I220"/>
    <mergeCell ref="N224:O224"/>
    <mergeCell ref="T224:U224"/>
    <mergeCell ref="C225:N225"/>
    <mergeCell ref="Q225:AB225"/>
    <mergeCell ref="Y219:Z219"/>
    <mergeCell ref="I209:J209"/>
    <mergeCell ref="C121:N121"/>
    <mergeCell ref="C3:AB3"/>
    <mergeCell ref="C139:AB139"/>
    <mergeCell ref="Y154:Z154"/>
    <mergeCell ref="Y167:Z167"/>
    <mergeCell ref="Y180:Z180"/>
    <mergeCell ref="T142:U142"/>
    <mergeCell ref="C147:N147"/>
    <mergeCell ref="Q147:AB147"/>
    <mergeCell ref="L149:M149"/>
    <mergeCell ref="Z149:AA149"/>
    <mergeCell ref="C152:AB152"/>
    <mergeCell ref="D155:E155"/>
    <mergeCell ref="H155:I155"/>
    <mergeCell ref="I144:J144"/>
    <mergeCell ref="N144:O144"/>
    <mergeCell ref="T144:U144"/>
    <mergeCell ref="I145:J145"/>
    <mergeCell ref="N145:O145"/>
    <mergeCell ref="L175:M175"/>
    <mergeCell ref="Z175:AA175"/>
    <mergeCell ref="C178:AB178"/>
    <mergeCell ref="C160:N160"/>
    <mergeCell ref="Q160:AB160"/>
    <mergeCell ref="Z99:AA99"/>
    <mergeCell ref="Q133:AB133"/>
    <mergeCell ref="L135:M135"/>
    <mergeCell ref="Z135:AA135"/>
    <mergeCell ref="L128:M128"/>
    <mergeCell ref="P116:Q116"/>
    <mergeCell ref="T128:U128"/>
    <mergeCell ref="H128:I128"/>
    <mergeCell ref="I130:J130"/>
    <mergeCell ref="N130:O130"/>
    <mergeCell ref="T130:U130"/>
    <mergeCell ref="I131:J131"/>
    <mergeCell ref="N131:O131"/>
    <mergeCell ref="T131:U131"/>
    <mergeCell ref="Z123:AA123"/>
    <mergeCell ref="N132:O132"/>
    <mergeCell ref="T132:U132"/>
    <mergeCell ref="C133:N133"/>
    <mergeCell ref="T129:U129"/>
    <mergeCell ref="I119:J119"/>
    <mergeCell ref="N119:O119"/>
    <mergeCell ref="T119:U119"/>
    <mergeCell ref="N120:O120"/>
    <mergeCell ref="T120:U120"/>
    <mergeCell ref="AI4:AK4"/>
    <mergeCell ref="AM4:AO4"/>
    <mergeCell ref="AH3:AP3"/>
    <mergeCell ref="Q121:AB121"/>
    <mergeCell ref="L123:M123"/>
    <mergeCell ref="T94:U94"/>
    <mergeCell ref="N96:O96"/>
    <mergeCell ref="T96:U96"/>
    <mergeCell ref="Z108:AA108"/>
    <mergeCell ref="C113:AB113"/>
    <mergeCell ref="Y115:Z115"/>
    <mergeCell ref="D116:E116"/>
    <mergeCell ref="H116:I116"/>
    <mergeCell ref="L116:M116"/>
    <mergeCell ref="T116:U116"/>
    <mergeCell ref="T117:U117"/>
    <mergeCell ref="I118:J118"/>
    <mergeCell ref="N118:O118"/>
    <mergeCell ref="T118:U118"/>
    <mergeCell ref="L108:M108"/>
    <mergeCell ref="Z111:AA111"/>
    <mergeCell ref="C97:N97"/>
    <mergeCell ref="Q97:AB97"/>
    <mergeCell ref="L99:M99"/>
  </mergeCells>
  <pageMargins left="0.7" right="0.7" top="0.75" bottom="0.75" header="0.3" footer="0.3"/>
  <pageSetup paperSize="9" scale="47" orientation="portrait" horizontalDpi="4294967292" verticalDpi="1200" r:id="rId1"/>
  <rowBreaks count="2" manualBreakCount="2">
    <brk id="137" min="1" max="28" man="1"/>
    <brk id="259" min="1" max="28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99172D0D-02B7-47D4-9DFB-F9033995E3CB}">
          <x14:formula1>
            <xm:f>Data!$K$3:$K$20</xm:f>
          </x14:formula1>
          <xm:sqref>S5:T5</xm:sqref>
        </x14:dataValidation>
        <x14:dataValidation type="list" allowBlank="1" showInputMessage="1" showErrorMessage="1" xr:uid="{101AF423-58D7-42E0-B31D-742D5CDBBA44}">
          <x14:formula1>
            <xm:f>Data!$A$3:$A$34</xm:f>
          </x14:formula1>
          <xm:sqref>N5:O5</xm:sqref>
        </x14:dataValidation>
        <x14:dataValidation type="list" allowBlank="1" showInputMessage="1" showErrorMessage="1" xr:uid="{2E393F42-26AE-4626-8B5E-91F827C490E8}">
          <x14:formula1>
            <xm:f>Data!$F$3:$F$16</xm:f>
          </x14:formula1>
          <xm:sqref>W5:X5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B790-FD0A-412F-ABD2-3DB04611638A}">
  <sheetPr codeName="Feuil17">
    <tabColor rgb="FF0070C0"/>
  </sheetPr>
  <dimension ref="B2:M155"/>
  <sheetViews>
    <sheetView zoomScaleNormal="100" zoomScaleSheetLayoutView="100" workbookViewId="0">
      <selection activeCell="H4" sqref="H4"/>
    </sheetView>
  </sheetViews>
  <sheetFormatPr baseColWidth="10" defaultColWidth="10.7109375" defaultRowHeight="15" x14ac:dyDescent="0.25"/>
  <cols>
    <col min="1" max="1" width="10.7109375" style="359"/>
    <col min="2" max="2" width="2.140625" style="359" customWidth="1"/>
    <col min="3" max="4" width="10.7109375" style="359"/>
    <col min="5" max="5" width="10.7109375" style="359" customWidth="1"/>
    <col min="6" max="7" width="10.7109375" style="359"/>
    <col min="8" max="10" width="10.7109375" style="359" customWidth="1"/>
    <col min="11" max="11" width="2.140625" style="359" customWidth="1"/>
    <col min="12" max="16384" width="10.7109375" style="359"/>
  </cols>
  <sheetData>
    <row r="2" spans="2:11" x14ac:dyDescent="0.25">
      <c r="B2" s="451"/>
      <c r="C2" s="452"/>
      <c r="D2" s="452"/>
      <c r="E2" s="452"/>
      <c r="F2" s="452"/>
      <c r="G2" s="452"/>
      <c r="H2" s="452"/>
      <c r="I2" s="452"/>
      <c r="J2" s="452"/>
      <c r="K2" s="453"/>
    </row>
    <row r="3" spans="2:11" ht="15.75" x14ac:dyDescent="0.25">
      <c r="B3" s="369"/>
      <c r="C3" s="531" t="str">
        <f>IF(Configuration!Y4="EN","Column web panel in shear","Panneau d'âme de poteau en cisaillement")</f>
        <v>Panneau d'âme de poteau en cisaillement</v>
      </c>
      <c r="J3" s="645" t="s">
        <v>1603</v>
      </c>
      <c r="K3" s="455"/>
    </row>
    <row r="4" spans="2:11" ht="18" x14ac:dyDescent="0.25">
      <c r="B4" s="369"/>
      <c r="D4" s="382" t="str">
        <f>IF(Configuration!Y4="EN","Grade:","Nuance :")</f>
        <v>Nuance :</v>
      </c>
      <c r="E4" s="740" t="s">
        <v>437</v>
      </c>
      <c r="G4" s="288" t="s">
        <v>1398</v>
      </c>
      <c r="H4" s="678">
        <v>331</v>
      </c>
      <c r="I4" s="359" t="s">
        <v>240</v>
      </c>
      <c r="K4" s="455"/>
    </row>
    <row r="5" spans="2:11" ht="18" x14ac:dyDescent="0.25">
      <c r="B5" s="369"/>
      <c r="D5" s="382" t="s">
        <v>1568</v>
      </c>
      <c r="E5" s="377">
        <f>VLOOKUP(E4,Data!$A$3:$D$33,2,FALSE)</f>
        <v>27.5</v>
      </c>
      <c r="F5" s="359" t="s">
        <v>631</v>
      </c>
      <c r="G5" s="288" t="s">
        <v>1565</v>
      </c>
      <c r="H5" s="678">
        <v>8.6</v>
      </c>
      <c r="I5" s="359" t="s">
        <v>240</v>
      </c>
      <c r="K5" s="455"/>
    </row>
    <row r="6" spans="2:11" ht="18" x14ac:dyDescent="0.25">
      <c r="B6" s="369"/>
      <c r="D6" s="288" t="s">
        <v>1569</v>
      </c>
      <c r="E6" s="435">
        <f>SQRT(235/(10*E5))</f>
        <v>0.92441627773717538</v>
      </c>
      <c r="G6" s="288" t="s">
        <v>1390</v>
      </c>
      <c r="H6" s="568">
        <f>H4*H5</f>
        <v>2846.6</v>
      </c>
      <c r="I6" s="359" t="s">
        <v>531</v>
      </c>
      <c r="K6" s="455"/>
    </row>
    <row r="7" spans="2:11" ht="18" x14ac:dyDescent="0.25">
      <c r="B7" s="369"/>
      <c r="D7" s="288" t="s">
        <v>1566</v>
      </c>
      <c r="E7" s="435">
        <f>H4/H5</f>
        <v>38.488372093023258</v>
      </c>
      <c r="F7" s="377" t="str">
        <f>IF(E7&gt;H7,"&gt;","&lt;")</f>
        <v>&lt;</v>
      </c>
      <c r="G7" s="288" t="s">
        <v>1567</v>
      </c>
      <c r="H7" s="435">
        <f>69*E6</f>
        <v>63.784723163865102</v>
      </c>
      <c r="I7" s="581" t="str">
        <f>IF(E7&gt;H7,"NON OK !!!","OK !!")</f>
        <v>OK !!</v>
      </c>
      <c r="K7" s="455"/>
    </row>
    <row r="8" spans="2:11" ht="18" customHeight="1" x14ac:dyDescent="0.25">
      <c r="B8" s="369"/>
      <c r="C8" s="803" t="str">
        <f>IF(I8=0,"",IF(Configuration!Y4="EN","Presence of transverse stiffeners in tension and compression zones","Présence de raidisseurs transversaux en zones tendues et comprimées"))</f>
        <v>Présence de raidisseurs transversaux en zones tendues et comprimées</v>
      </c>
      <c r="H8" s="288" t="s">
        <v>1611</v>
      </c>
      <c r="I8" s="678">
        <v>1</v>
      </c>
      <c r="J8" s="359" t="s">
        <v>632</v>
      </c>
      <c r="K8" s="455"/>
    </row>
    <row r="9" spans="2:11" ht="18" x14ac:dyDescent="0.25">
      <c r="B9" s="369"/>
      <c r="H9" s="288" t="s">
        <v>1612</v>
      </c>
      <c r="I9" s="658">
        <f>I8+0.9*E5*H6/(G_M0*SQRT(3))</f>
        <v>40677.260587810917</v>
      </c>
      <c r="J9" s="359" t="s">
        <v>632</v>
      </c>
      <c r="K9" s="455"/>
    </row>
    <row r="10" spans="2:11" x14ac:dyDescent="0.25">
      <c r="B10" s="369"/>
      <c r="C10" s="1019" t="s">
        <v>809</v>
      </c>
      <c r="D10" s="1019"/>
      <c r="E10" s="1019"/>
      <c r="F10" s="1019"/>
      <c r="G10" s="1019"/>
      <c r="H10" s="1019"/>
      <c r="I10" s="1019"/>
      <c r="J10" s="1019"/>
      <c r="K10" s="455"/>
    </row>
    <row r="11" spans="2:11" ht="15.75" x14ac:dyDescent="0.25">
      <c r="B11" s="369"/>
      <c r="C11" s="531" t="str">
        <f>IF(Configuration!Y4="EN","Column web panel in shear","Panneau d'âme de poteau en cisaillement")</f>
        <v>Panneau d'âme de poteau en cisaillement</v>
      </c>
      <c r="J11" s="645" t="s">
        <v>1604</v>
      </c>
      <c r="K11" s="455"/>
    </row>
    <row r="12" spans="2:11" x14ac:dyDescent="0.25">
      <c r="B12" s="369"/>
      <c r="C12" s="804" t="str">
        <f>IF(Configuration!Y4="EN","(Additional resistance with transverse web stiffeners in compression and tension zones)","(Résistance additionnelle en présence de raidisseurs d'âme transversaux dans les zones Comprimées et Tendues)")</f>
        <v>(Résistance additionnelle en présence de raidisseurs d'âme transversaux dans les zones Comprimées et Tendues)</v>
      </c>
      <c r="E12" s="288"/>
      <c r="K12" s="455"/>
    </row>
    <row r="13" spans="2:11" ht="18" x14ac:dyDescent="0.25">
      <c r="B13" s="369"/>
      <c r="C13" s="462" t="str">
        <f>IF(Configuration!Y4="EN","Column","Poteau")</f>
        <v>Poteau</v>
      </c>
      <c r="D13" s="382" t="str">
        <f>IF(Configuration!Y4="EN","Grade:","Nuance :")</f>
        <v>Nuance :</v>
      </c>
      <c r="E13" s="740" t="s">
        <v>437</v>
      </c>
      <c r="G13" s="288" t="s">
        <v>1605</v>
      </c>
      <c r="H13" s="678">
        <v>500</v>
      </c>
      <c r="I13" s="359" t="s">
        <v>240</v>
      </c>
      <c r="K13" s="455"/>
    </row>
    <row r="14" spans="2:11" ht="18" x14ac:dyDescent="0.25">
      <c r="B14" s="369"/>
      <c r="D14" s="382" t="s">
        <v>1568</v>
      </c>
      <c r="E14" s="377">
        <f>VLOOKUP(E13,Data!$A$3:$D$33,2,FALSE)</f>
        <v>27.5</v>
      </c>
      <c r="F14" s="359" t="s">
        <v>631</v>
      </c>
      <c r="G14" s="288" t="s">
        <v>1606</v>
      </c>
      <c r="H14" s="678">
        <v>180</v>
      </c>
      <c r="I14" s="359" t="s">
        <v>240</v>
      </c>
      <c r="K14" s="455"/>
    </row>
    <row r="15" spans="2:11" ht="18" x14ac:dyDescent="0.25">
      <c r="B15" s="369"/>
      <c r="D15" s="288" t="s">
        <v>1607</v>
      </c>
      <c r="E15" s="648">
        <f>E14*(0.001*H14*H15^2/4)/G_M0</f>
        <v>225.53437500000001</v>
      </c>
      <c r="F15" s="359" t="s">
        <v>629</v>
      </c>
      <c r="G15" s="288" t="s">
        <v>1590</v>
      </c>
      <c r="H15" s="678">
        <v>13.5</v>
      </c>
      <c r="I15" s="359" t="s">
        <v>240</v>
      </c>
      <c r="K15" s="455"/>
    </row>
    <row r="16" spans="2:11" x14ac:dyDescent="0.25">
      <c r="B16" s="369"/>
      <c r="C16" s="462" t="str">
        <f>IF(Configuration!Y4="EN","Stiffener","Raidisseur")</f>
        <v>Raidisseur</v>
      </c>
      <c r="D16" s="382" t="str">
        <f>IF(Configuration!Y4="EN","Grade:","Nuance :")</f>
        <v>Nuance :</v>
      </c>
      <c r="E16" s="740" t="s">
        <v>435</v>
      </c>
      <c r="K16" s="455"/>
    </row>
    <row r="17" spans="2:11" ht="18" x14ac:dyDescent="0.25">
      <c r="B17" s="369"/>
      <c r="D17" s="382" t="s">
        <v>1568</v>
      </c>
      <c r="E17" s="377">
        <f>VLOOKUP(E16,Data!$A$3:$D$33,2,FALSE)</f>
        <v>23.5</v>
      </c>
      <c r="F17" s="359" t="s">
        <v>631</v>
      </c>
      <c r="G17" s="288" t="s">
        <v>1609</v>
      </c>
      <c r="H17" s="678">
        <v>105</v>
      </c>
      <c r="I17" s="359" t="s">
        <v>240</v>
      </c>
      <c r="K17" s="455"/>
    </row>
    <row r="18" spans="2:11" ht="18" x14ac:dyDescent="0.25">
      <c r="B18" s="369"/>
      <c r="D18" s="288" t="s">
        <v>1608</v>
      </c>
      <c r="E18" s="648">
        <f>E17*(0.001*H17*H18^2/4)/G_M0</f>
        <v>39.479999999999997</v>
      </c>
      <c r="F18" s="359" t="s">
        <v>629</v>
      </c>
      <c r="G18" s="288" t="s">
        <v>1610</v>
      </c>
      <c r="H18" s="678">
        <v>8</v>
      </c>
      <c r="I18" s="359" t="s">
        <v>240</v>
      </c>
      <c r="K18" s="455"/>
    </row>
    <row r="19" spans="2:11" ht="18" x14ac:dyDescent="0.25">
      <c r="B19" s="369"/>
      <c r="E19" s="288"/>
      <c r="G19" s="288" t="s">
        <v>1613</v>
      </c>
      <c r="H19" s="658">
        <f>MIN(4*E15/(0.001*H13),(2*E15+2*E18)/(0.001*H13))</f>
        <v>1060.0575000000001</v>
      </c>
      <c r="I19" s="359" t="s">
        <v>632</v>
      </c>
      <c r="K19" s="455"/>
    </row>
    <row r="20" spans="2:11" x14ac:dyDescent="0.25">
      <c r="B20" s="369"/>
      <c r="C20" s="1019" t="s">
        <v>809</v>
      </c>
      <c r="D20" s="1019"/>
      <c r="E20" s="1019"/>
      <c r="F20" s="1019"/>
      <c r="G20" s="1019"/>
      <c r="H20" s="1019"/>
      <c r="I20" s="1019"/>
      <c r="J20" s="1019"/>
      <c r="K20" s="455"/>
    </row>
    <row r="21" spans="2:11" ht="15.75" x14ac:dyDescent="0.25">
      <c r="B21" s="369"/>
      <c r="C21" s="531" t="str">
        <f>IF(Configuration!Y4="EN","Column web panel in shear","Panneau d'âme de poteau en cisaillement")</f>
        <v>Panneau d'âme de poteau en cisaillement</v>
      </c>
      <c r="J21" s="645" t="s">
        <v>1614</v>
      </c>
      <c r="K21" s="455"/>
    </row>
    <row r="22" spans="2:11" x14ac:dyDescent="0.25">
      <c r="B22" s="369"/>
      <c r="C22" s="804" t="str">
        <f>IF(Configuration!Y4="EN","(With supplementary web plate)","(En présence de doublure d'âme)")</f>
        <v>(En présence de doublure d'âme)</v>
      </c>
      <c r="E22" s="288"/>
      <c r="K22" s="455"/>
    </row>
    <row r="23" spans="2:11" ht="18" x14ac:dyDescent="0.25">
      <c r="B23" s="369"/>
      <c r="D23" s="382" t="str">
        <f>IF(Configuration!Y4="EN","Grade:","Nuance :")</f>
        <v>Nuance :</v>
      </c>
      <c r="E23" s="740" t="s">
        <v>437</v>
      </c>
      <c r="G23" s="288" t="s">
        <v>1398</v>
      </c>
      <c r="H23" s="678">
        <v>331</v>
      </c>
      <c r="I23" s="359" t="s">
        <v>240</v>
      </c>
      <c r="K23" s="455"/>
    </row>
    <row r="24" spans="2:11" ht="18" x14ac:dyDescent="0.25">
      <c r="B24" s="369"/>
      <c r="D24" s="382" t="s">
        <v>1568</v>
      </c>
      <c r="E24" s="377">
        <f>VLOOKUP(E23,Data!$A$3:$D$33,2,FALSE)</f>
        <v>27.5</v>
      </c>
      <c r="F24" s="359" t="s">
        <v>631</v>
      </c>
      <c r="G24" s="288" t="s">
        <v>1565</v>
      </c>
      <c r="H24" s="678">
        <v>8.6</v>
      </c>
      <c r="I24" s="359" t="s">
        <v>240</v>
      </c>
      <c r="K24" s="455"/>
    </row>
    <row r="25" spans="2:11" ht="18" x14ac:dyDescent="0.25">
      <c r="B25" s="369"/>
      <c r="D25" s="288" t="s">
        <v>1569</v>
      </c>
      <c r="E25" s="435">
        <f>SQRT(235/(10*E24))</f>
        <v>0.92441627773717538</v>
      </c>
      <c r="G25" s="288" t="s">
        <v>1390</v>
      </c>
      <c r="H25" s="568">
        <f>H23*H24+E27*E26</f>
        <v>6156.6</v>
      </c>
      <c r="I25" s="359" t="s">
        <v>531</v>
      </c>
      <c r="K25" s="455"/>
    </row>
    <row r="26" spans="2:11" ht="18" x14ac:dyDescent="0.25">
      <c r="B26" s="369"/>
      <c r="D26" s="288" t="s">
        <v>1610</v>
      </c>
      <c r="E26" s="678">
        <v>10</v>
      </c>
      <c r="F26" s="359" t="s">
        <v>240</v>
      </c>
      <c r="G26" s="288" t="s">
        <v>1618</v>
      </c>
      <c r="H26" s="377" t="str">
        <f>IF(E26&gt;=H24,"≥","&lt;")</f>
        <v>≥</v>
      </c>
      <c r="I26" s="521" t="s">
        <v>1619</v>
      </c>
      <c r="J26" s="441" t="str">
        <f>IF(E26&gt;=H24,"OK !!","NON OK !!!")</f>
        <v>OK !!</v>
      </c>
      <c r="K26" s="455"/>
    </row>
    <row r="27" spans="2:11" ht="18" x14ac:dyDescent="0.25">
      <c r="B27" s="369"/>
      <c r="D27" s="288" t="s">
        <v>1609</v>
      </c>
      <c r="E27" s="805">
        <f>H23</f>
        <v>331</v>
      </c>
      <c r="F27" s="377" t="str">
        <f>IF(E27&gt;H27,"&gt;","&lt;")</f>
        <v>&lt;</v>
      </c>
      <c r="G27" s="288" t="s">
        <v>1615</v>
      </c>
      <c r="H27" s="568">
        <f>40*E25*E26</f>
        <v>369.76651109487017</v>
      </c>
      <c r="J27" s="441" t="str">
        <f>IF(E27&gt;H27,"NON OK !!!","OK !!")</f>
        <v>OK !!</v>
      </c>
      <c r="K27" s="455"/>
    </row>
    <row r="28" spans="2:11" ht="18" x14ac:dyDescent="0.25">
      <c r="B28" s="369"/>
      <c r="D28" s="288"/>
      <c r="E28" s="377"/>
      <c r="F28" s="377"/>
      <c r="G28" s="288" t="s">
        <v>1616</v>
      </c>
      <c r="H28" s="377" t="str">
        <f>IF(E27&gt;=H23,"≥","&lt;")</f>
        <v>≥</v>
      </c>
      <c r="I28" s="521" t="s">
        <v>1617</v>
      </c>
      <c r="J28" s="441" t="str">
        <f>IF(E27&gt;=H23,"OK !!","NON OK !!!")</f>
        <v>OK !!</v>
      </c>
      <c r="K28" s="455"/>
    </row>
    <row r="29" spans="2:11" ht="18" x14ac:dyDescent="0.25">
      <c r="B29" s="369"/>
      <c r="C29" s="803" t="str">
        <f>IF(I29=0,"",IF(Configuration!Y4="EN","Presence of transverse stiffeners in tension and compression zones","Présence de raidisseurs transversaux en zones tendues et comprimées"))</f>
        <v>Présence de raidisseurs transversaux en zones tendues et comprimées</v>
      </c>
      <c r="H29" s="288" t="s">
        <v>1611</v>
      </c>
      <c r="I29" s="678">
        <v>1</v>
      </c>
      <c r="J29" s="359" t="s">
        <v>632</v>
      </c>
      <c r="K29" s="455"/>
    </row>
    <row r="30" spans="2:11" ht="18" x14ac:dyDescent="0.25">
      <c r="B30" s="369"/>
      <c r="H30" s="288" t="s">
        <v>1612</v>
      </c>
      <c r="I30" s="658">
        <f>I29+0.9*E24*H25/(G_M0*SQRT(3))</f>
        <v>87975.238015498049</v>
      </c>
      <c r="J30" s="359" t="s">
        <v>632</v>
      </c>
      <c r="K30" s="455"/>
    </row>
    <row r="31" spans="2:11" x14ac:dyDescent="0.25">
      <c r="B31" s="369"/>
      <c r="C31" s="1019" t="s">
        <v>809</v>
      </c>
      <c r="D31" s="1019"/>
      <c r="E31" s="1019"/>
      <c r="F31" s="1019"/>
      <c r="G31" s="1019"/>
      <c r="H31" s="1019"/>
      <c r="I31" s="1019"/>
      <c r="J31" s="1019"/>
      <c r="K31" s="455"/>
    </row>
    <row r="32" spans="2:11" ht="15.75" x14ac:dyDescent="0.25">
      <c r="B32" s="369"/>
      <c r="C32" s="531" t="str">
        <f>IF(Configuration!Y4="EN","Column web in transverse compression","Âme de poteau comprimée transversalement")</f>
        <v>Âme de poteau comprimée transversalement</v>
      </c>
      <c r="J32" s="645" t="s">
        <v>1520</v>
      </c>
      <c r="K32" s="455"/>
    </row>
    <row r="33" spans="2:12" x14ac:dyDescent="0.25">
      <c r="B33" s="369"/>
      <c r="C33" s="804" t="str">
        <f>IF(Configuration!Y4="EN","(Welded connection or end plate connection)","(Assemblage soudé ou par platine d'about)")</f>
        <v>(Assemblage soudé ou par platine d'about)</v>
      </c>
      <c r="J33" s="645"/>
      <c r="K33" s="455"/>
    </row>
    <row r="34" spans="2:12" x14ac:dyDescent="0.25">
      <c r="B34" s="369"/>
      <c r="D34" s="382" t="str">
        <f>IF(Configuration!Y4="EN","Grade:","Nuance :")</f>
        <v>Nuance :</v>
      </c>
      <c r="E34" s="740" t="s">
        <v>437</v>
      </c>
      <c r="G34" s="288" t="str">
        <f>IF(Configuration!Y4="EN","Column:","Poteau :")</f>
        <v>Poteau :</v>
      </c>
      <c r="H34" s="802" t="s">
        <v>99</v>
      </c>
      <c r="K34" s="455"/>
      <c r="L34" s="377">
        <f>MATCH(H34,Profilés!$A$4:$A$182,0)</f>
        <v>70</v>
      </c>
    </row>
    <row r="35" spans="2:12" ht="18" x14ac:dyDescent="0.25">
      <c r="B35" s="369"/>
      <c r="D35" s="382" t="s">
        <v>1568</v>
      </c>
      <c r="E35" s="377">
        <f>VLOOKUP(E34,Data!$A$3:$D$33,2,FALSE)</f>
        <v>27.5</v>
      </c>
      <c r="F35" s="359" t="s">
        <v>631</v>
      </c>
      <c r="G35" s="288" t="s">
        <v>802</v>
      </c>
      <c r="H35" s="678">
        <v>15</v>
      </c>
      <c r="I35" s="359" t="s">
        <v>240</v>
      </c>
      <c r="K35" s="455"/>
    </row>
    <row r="36" spans="2:12" ht="18" x14ac:dyDescent="0.25">
      <c r="B36" s="369"/>
      <c r="G36" s="288" t="s">
        <v>1637</v>
      </c>
      <c r="H36" s="678">
        <v>14</v>
      </c>
      <c r="I36" s="359" t="s">
        <v>240</v>
      </c>
      <c r="K36" s="455"/>
    </row>
    <row r="37" spans="2:12" ht="18" x14ac:dyDescent="0.25">
      <c r="B37" s="369"/>
      <c r="D37" s="288" t="str">
        <f>IF(Configuration!Y4="EN","Supplementary web plate:","Doublure d'âme :")</f>
        <v>Doublure d'âme :</v>
      </c>
      <c r="E37" s="678" t="s">
        <v>1256</v>
      </c>
      <c r="G37" s="288" t="s">
        <v>1654</v>
      </c>
      <c r="H37" s="678">
        <v>4</v>
      </c>
      <c r="I37" s="359" t="s">
        <v>240</v>
      </c>
      <c r="K37" s="455"/>
    </row>
    <row r="38" spans="2:12" ht="18" x14ac:dyDescent="0.25">
      <c r="B38" s="369"/>
      <c r="D38" s="288" t="s">
        <v>1393</v>
      </c>
      <c r="E38" s="678">
        <v>1</v>
      </c>
      <c r="G38" s="288" t="s">
        <v>1638</v>
      </c>
      <c r="H38" s="377" cm="1">
        <f t="array" ref="H38">IF(LEFT(H34,3)="PRS",0.7*INDEX(Profilés!$E$4:$E$182,L34),INDEX(Profilés!$G$4:$G$182,L34))</f>
        <v>27</v>
      </c>
      <c r="I38" s="359" t="s">
        <v>240</v>
      </c>
      <c r="K38" s="455"/>
    </row>
    <row r="39" spans="2:12" ht="18" x14ac:dyDescent="0.25">
      <c r="B39" s="369"/>
      <c r="D39" s="288" t="s">
        <v>1390</v>
      </c>
      <c r="E39" s="568" cm="1">
        <f t="array" ref="E39">100*INDEX(Profilés!$M$4:$M$182,L34)</f>
        <v>3728</v>
      </c>
      <c r="F39" s="359" t="s">
        <v>531</v>
      </c>
      <c r="G39" s="288" t="s">
        <v>1403</v>
      </c>
      <c r="H39" s="377" cm="1">
        <f t="array" ref="H39">INDEX(Profilés!$F$4:$F$182,L34)</f>
        <v>14</v>
      </c>
      <c r="I39" s="359" t="s">
        <v>240</v>
      </c>
      <c r="K39" s="455"/>
    </row>
    <row r="40" spans="2:12" ht="18" x14ac:dyDescent="0.25">
      <c r="B40" s="369"/>
      <c r="D40" s="288" t="s">
        <v>1620</v>
      </c>
      <c r="E40" s="435">
        <f>1/SQRT(1+IF(E38=1,1.3,5.2)*((H42*H41)/E39)^2)</f>
        <v>0.82818590511468348</v>
      </c>
      <c r="G40" s="382" t="s">
        <v>1621</v>
      </c>
      <c r="H40" s="377" cm="1">
        <f t="array" ref="H40">INDEX(Profilés!$C$4:$C$182,L34)-2*(H38+H39)</f>
        <v>208</v>
      </c>
      <c r="I40" s="359" t="s">
        <v>240</v>
      </c>
      <c r="K40" s="455"/>
    </row>
    <row r="41" spans="2:12" ht="18" x14ac:dyDescent="0.25">
      <c r="B41" s="369"/>
      <c r="D41" s="436" t="s">
        <v>680</v>
      </c>
      <c r="E41" s="435">
        <f>0.932*SQRT((H42*H40*E35)/(21000*H41^2))</f>
        <v>0.92328094666998828</v>
      </c>
      <c r="G41" s="288" t="s">
        <v>1397</v>
      </c>
      <c r="H41" s="377" cm="1">
        <f t="array" ref="H41">IF(E37="NON",1,IF(E37=1,1.5,2))*INDEX(Profilés!$E$4:$E$182,L34)</f>
        <v>8.5</v>
      </c>
      <c r="I41" s="359" t="s">
        <v>240</v>
      </c>
      <c r="K41" s="455"/>
    </row>
    <row r="42" spans="2:12" ht="18" x14ac:dyDescent="0.25">
      <c r="B42" s="369"/>
      <c r="D42" s="288" t="s">
        <v>1622</v>
      </c>
      <c r="E42" s="435">
        <f>IF(E41&lt;=0.72,1,(E41-0.2)/(E41^2))</f>
        <v>0.84847544449778911</v>
      </c>
      <c r="G42" s="288" t="s">
        <v>1396</v>
      </c>
      <c r="H42" s="551">
        <f>H36+2*SQRT(2)*H37+5*(H39+IF(LEFT(H34,3)="PRS",SQRT(2)*H38,H38))+2*H35</f>
        <v>260.31370849898474</v>
      </c>
      <c r="I42" s="359" t="s">
        <v>240</v>
      </c>
      <c r="K42" s="455"/>
    </row>
    <row r="43" spans="2:12" ht="18" x14ac:dyDescent="0.25">
      <c r="B43" s="369"/>
      <c r="D43" s="288" t="s">
        <v>1636</v>
      </c>
      <c r="E43" s="678">
        <v>0</v>
      </c>
      <c r="F43" s="359" t="s">
        <v>631</v>
      </c>
      <c r="G43" s="288" t="s">
        <v>1635</v>
      </c>
      <c r="H43" s="435">
        <f>IF(E43&lt;=0.7*E35,1,1.7-E43/E35)</f>
        <v>1</v>
      </c>
      <c r="K43" s="455"/>
    </row>
    <row r="44" spans="2:12" x14ac:dyDescent="0.25">
      <c r="B44" s="369"/>
      <c r="E44"/>
      <c r="K44" s="455"/>
    </row>
    <row r="45" spans="2:12" x14ac:dyDescent="0.25">
      <c r="B45" s="369"/>
      <c r="I45" s="658">
        <f>MIN(E40*H43*H42*H41*E35/G_M0,E40*H43*E42*H42*H41*E35/G_M1)</f>
        <v>42757.841381613842</v>
      </c>
      <c r="J45" s="359" t="s">
        <v>632</v>
      </c>
      <c r="K45" s="455"/>
    </row>
    <row r="46" spans="2:12" x14ac:dyDescent="0.25">
      <c r="B46" s="369"/>
      <c r="K46" s="455"/>
    </row>
    <row r="47" spans="2:12" x14ac:dyDescent="0.25">
      <c r="B47" s="369"/>
      <c r="C47" s="1019" t="s">
        <v>809</v>
      </c>
      <c r="D47" s="1019"/>
      <c r="E47" s="1019"/>
      <c r="F47" s="1019"/>
      <c r="G47" s="1019"/>
      <c r="H47" s="1019"/>
      <c r="I47" s="1019"/>
      <c r="J47" s="1019"/>
      <c r="K47" s="455"/>
    </row>
    <row r="48" spans="2:12" ht="15.75" x14ac:dyDescent="0.25">
      <c r="B48" s="369"/>
      <c r="C48" s="531" t="str">
        <f>IF(Configuration!Y4="EN","Column web in transverse compression","Âme de poteau comprimée transversalement")</f>
        <v>Âme de poteau comprimée transversalement</v>
      </c>
      <c r="J48" s="645" t="s">
        <v>1520</v>
      </c>
      <c r="K48" s="455"/>
    </row>
    <row r="49" spans="2:12" x14ac:dyDescent="0.25">
      <c r="B49" s="369"/>
      <c r="C49" s="804" t="str">
        <f>IF(Configuration!Y4="EN","(Flange cleat connection)","(Assemblage par conières de semelle)")</f>
        <v>(Assemblage par conières de semelle)</v>
      </c>
      <c r="J49" s="645"/>
      <c r="K49" s="455"/>
    </row>
    <row r="50" spans="2:12" x14ac:dyDescent="0.25">
      <c r="B50" s="369"/>
      <c r="D50" s="382" t="str">
        <f>IF(Configuration!Y4="EN","Grade:","Nuance :")</f>
        <v>Nuance :</v>
      </c>
      <c r="E50" s="740" t="s">
        <v>437</v>
      </c>
      <c r="G50" s="288" t="str">
        <f>IF(Configuration!Y4="EN","Column:","Poteau :")</f>
        <v>Poteau :</v>
      </c>
      <c r="H50" s="802" t="s">
        <v>99</v>
      </c>
      <c r="K50" s="455"/>
      <c r="L50" s="377">
        <f>MATCH(H50,Profilés!$A$4:$A$182,0)</f>
        <v>70</v>
      </c>
    </row>
    <row r="51" spans="2:12" ht="18" x14ac:dyDescent="0.25">
      <c r="B51" s="369"/>
      <c r="D51" s="382" t="s">
        <v>1568</v>
      </c>
      <c r="E51" s="377">
        <f>VLOOKUP(E50,Data!$A$3:$D$33,2,FALSE)</f>
        <v>27.5</v>
      </c>
      <c r="F51" s="359" t="s">
        <v>631</v>
      </c>
      <c r="G51" s="288" t="s">
        <v>1406</v>
      </c>
      <c r="H51" s="678">
        <v>12</v>
      </c>
      <c r="I51" s="359" t="s">
        <v>240</v>
      </c>
      <c r="K51" s="455"/>
    </row>
    <row r="52" spans="2:12" ht="18" x14ac:dyDescent="0.25">
      <c r="B52" s="369"/>
      <c r="D52" s="288" t="str">
        <f>IF(Configuration!Y4="EN","Supplementary web plate:","Doublure d'âme :")</f>
        <v>Doublure d'âme :</v>
      </c>
      <c r="E52" s="678" t="s">
        <v>1256</v>
      </c>
      <c r="G52" s="288" t="s">
        <v>1655</v>
      </c>
      <c r="H52" s="678">
        <v>15</v>
      </c>
      <c r="I52" s="359" t="s">
        <v>240</v>
      </c>
      <c r="K52" s="455"/>
    </row>
    <row r="53" spans="2:12" ht="18" x14ac:dyDescent="0.25">
      <c r="B53" s="369"/>
      <c r="D53" s="288" t="s">
        <v>1393</v>
      </c>
      <c r="E53" s="678">
        <v>1</v>
      </c>
      <c r="G53" s="288" t="s">
        <v>1638</v>
      </c>
      <c r="H53" s="377" cm="1">
        <f t="array" ref="H53">IF(LEFT(H50,3)="PRS",0.7*INDEX(Profilés!$E$4:$E$182,L50),INDEX(Profilés!$G$4:$G$182,L50))</f>
        <v>27</v>
      </c>
      <c r="I53" s="359" t="s">
        <v>240</v>
      </c>
      <c r="K53" s="455"/>
    </row>
    <row r="54" spans="2:12" ht="18" x14ac:dyDescent="0.25">
      <c r="B54" s="369"/>
      <c r="D54" s="288" t="s">
        <v>1390</v>
      </c>
      <c r="E54" s="568" cm="1">
        <f t="array" ref="E54">100*INDEX(Profilés!$M$4:$M$182,L50)</f>
        <v>3728</v>
      </c>
      <c r="F54" s="359" t="s">
        <v>531</v>
      </c>
      <c r="G54" s="288" t="s">
        <v>1403</v>
      </c>
      <c r="H54" s="377" cm="1">
        <f t="array" ref="H54">INDEX(Profilés!$F$4:$F$182,L50)</f>
        <v>14</v>
      </c>
      <c r="I54" s="359" t="s">
        <v>240</v>
      </c>
      <c r="K54" s="455"/>
    </row>
    <row r="55" spans="2:12" ht="18" x14ac:dyDescent="0.25">
      <c r="B55" s="369"/>
      <c r="D55" s="288" t="s">
        <v>1620</v>
      </c>
      <c r="E55" s="435">
        <f>1/SQRT(1+IF(E53=1,1.3,5.2)*((H57*H56)/E54)^2)</f>
        <v>0.85039116439536822</v>
      </c>
      <c r="G55" s="382" t="s">
        <v>1621</v>
      </c>
      <c r="H55" s="377" cm="1">
        <f t="array" ref="H55">INDEX(Profilés!$C$4:$C$182,L50)-2*(H53+H54)</f>
        <v>208</v>
      </c>
      <c r="I55" s="359" t="s">
        <v>240</v>
      </c>
      <c r="K55" s="455"/>
    </row>
    <row r="56" spans="2:12" ht="18" x14ac:dyDescent="0.25">
      <c r="B56" s="369"/>
      <c r="D56" s="436" t="s">
        <v>680</v>
      </c>
      <c r="E56" s="435">
        <f>0.932*SQRT((H57*H55*E51)/(21000*H56^2))</f>
        <v>0.88282339228227547</v>
      </c>
      <c r="G56" s="288" t="s">
        <v>1397</v>
      </c>
      <c r="H56" s="377" cm="1">
        <f t="array" ref="H56">IF(E52="NON",1,IF(E52=1,1.5,2))*INDEX(Profilés!$E$4:$E$182,L50)</f>
        <v>8.5</v>
      </c>
      <c r="I56" s="359" t="s">
        <v>240</v>
      </c>
      <c r="K56" s="455"/>
    </row>
    <row r="57" spans="2:12" ht="18" x14ac:dyDescent="0.25">
      <c r="B57" s="369"/>
      <c r="D57" s="288" t="s">
        <v>1622</v>
      </c>
      <c r="E57" s="435">
        <f>IF(E56&lt;=0.72,1,(E56-0.2)/(E56^2))</f>
        <v>0.8761142141844247</v>
      </c>
      <c r="G57" s="288" t="s">
        <v>1396</v>
      </c>
      <c r="H57" s="551">
        <f>2*H51+0.6*H52+5*(H54+IF(LEFT(H50,3)="PRS",SQRT(2)*H53,H53))</f>
        <v>238</v>
      </c>
      <c r="I57" s="359" t="s">
        <v>240</v>
      </c>
      <c r="K57" s="455"/>
    </row>
    <row r="58" spans="2:12" ht="18" x14ac:dyDescent="0.25">
      <c r="B58" s="369"/>
      <c r="D58" s="288" t="s">
        <v>1636</v>
      </c>
      <c r="E58" s="678">
        <v>0</v>
      </c>
      <c r="F58" s="359" t="s">
        <v>631</v>
      </c>
      <c r="G58" s="288" t="s">
        <v>1635</v>
      </c>
      <c r="H58" s="435">
        <f>IF(E58&lt;=0.7*E51,1,1.7-E58/E51)</f>
        <v>1</v>
      </c>
      <c r="K58" s="455"/>
    </row>
    <row r="59" spans="2:12" x14ac:dyDescent="0.25">
      <c r="B59" s="369"/>
      <c r="E59"/>
      <c r="K59" s="455"/>
    </row>
    <row r="60" spans="2:12" x14ac:dyDescent="0.25">
      <c r="B60" s="369"/>
      <c r="I60" s="658">
        <f>MIN(E55*H58*H57*H56*E51/G_M0,E55*H58*E57*H57*H56*E51/G_M1)</f>
        <v>41448.42593601477</v>
      </c>
      <c r="J60" s="359" t="s">
        <v>632</v>
      </c>
      <c r="K60" s="455"/>
    </row>
    <row r="61" spans="2:12" x14ac:dyDescent="0.25">
      <c r="B61" s="369"/>
      <c r="K61" s="455"/>
    </row>
    <row r="62" spans="2:12" x14ac:dyDescent="0.25">
      <c r="B62" s="369"/>
      <c r="C62" s="1019" t="s">
        <v>809</v>
      </c>
      <c r="D62" s="1019"/>
      <c r="E62" s="1019"/>
      <c r="F62" s="1019"/>
      <c r="G62" s="1019"/>
      <c r="H62" s="1019"/>
      <c r="I62" s="1019"/>
      <c r="J62" s="1019"/>
      <c r="K62" s="455"/>
    </row>
    <row r="63" spans="2:12" ht="15.75" x14ac:dyDescent="0.25">
      <c r="B63" s="369"/>
      <c r="C63" s="531" t="str">
        <f>IF(Configuration!Y4="EN","Column web in transverse tension","Âme de poteau tendue transversalement")</f>
        <v>Âme de poteau tendue transversalement</v>
      </c>
      <c r="J63" s="645" t="s">
        <v>1521</v>
      </c>
      <c r="K63" s="455"/>
    </row>
    <row r="64" spans="2:12" x14ac:dyDescent="0.25">
      <c r="B64" s="369"/>
      <c r="C64" s="804" t="str">
        <f>IF(Configuration!Y4="EN","(Welded connection)","(Assemblage soudé)")</f>
        <v>(Assemblage soudé)</v>
      </c>
      <c r="J64" s="645"/>
      <c r="K64" s="455"/>
    </row>
    <row r="65" spans="2:12" x14ac:dyDescent="0.25">
      <c r="B65" s="369"/>
      <c r="D65" s="382" t="str">
        <f>IF(Configuration!Y4="EN","Grade:","Nuance :")</f>
        <v>Nuance :</v>
      </c>
      <c r="E65" s="740" t="s">
        <v>437</v>
      </c>
      <c r="G65" s="288" t="str">
        <f>IF(Configuration!Y4="EN","Column:","Poteau :")</f>
        <v>Poteau :</v>
      </c>
      <c r="H65" s="802" t="s">
        <v>99</v>
      </c>
      <c r="K65" s="455"/>
      <c r="L65" s="377">
        <f>MATCH(H65,Profilés!$A$4:$A$182,0)</f>
        <v>70</v>
      </c>
    </row>
    <row r="66" spans="2:12" ht="18" x14ac:dyDescent="0.25">
      <c r="B66" s="369"/>
      <c r="D66" s="382" t="s">
        <v>1568</v>
      </c>
      <c r="E66" s="377">
        <f>VLOOKUP(E65,Data!$A$3:$D$33,2,FALSE)</f>
        <v>27.5</v>
      </c>
      <c r="F66" s="359" t="s">
        <v>631</v>
      </c>
      <c r="G66" s="288" t="s">
        <v>1637</v>
      </c>
      <c r="H66" s="678">
        <v>14</v>
      </c>
      <c r="I66" s="359" t="s">
        <v>240</v>
      </c>
      <c r="K66" s="455"/>
    </row>
    <row r="67" spans="2:12" ht="18" x14ac:dyDescent="0.25">
      <c r="B67" s="369"/>
      <c r="D67" s="288" t="str">
        <f>IF(Configuration!Y4="EN","Supplementary web plate:","Doublure d'âme :")</f>
        <v>Doublure d'âme :</v>
      </c>
      <c r="E67" s="678" t="s">
        <v>1256</v>
      </c>
      <c r="G67" s="288" t="s">
        <v>1657</v>
      </c>
      <c r="H67" s="678">
        <v>4</v>
      </c>
      <c r="I67" s="359" t="s">
        <v>240</v>
      </c>
      <c r="K67" s="455"/>
    </row>
    <row r="68" spans="2:12" ht="18" x14ac:dyDescent="0.25">
      <c r="B68" s="369"/>
      <c r="D68" s="288" t="s">
        <v>1393</v>
      </c>
      <c r="E68" s="678">
        <v>1</v>
      </c>
      <c r="G68" s="288" t="s">
        <v>1638</v>
      </c>
      <c r="H68" s="377" cm="1">
        <f t="array" ref="H68">IF(LEFT(H65,3)="PRS",0.7*INDEX(Profilés!$E$4:$E$182,L65),INDEX(Profilés!$G$4:$G$182,L65))</f>
        <v>27</v>
      </c>
      <c r="I68" s="359" t="s">
        <v>240</v>
      </c>
      <c r="K68" s="455"/>
    </row>
    <row r="69" spans="2:12" ht="18" x14ac:dyDescent="0.25">
      <c r="B69" s="369"/>
      <c r="D69" s="288" t="s">
        <v>1390</v>
      </c>
      <c r="E69" s="568" cm="1">
        <f t="array" ref="E69">100*INDEX(Profilés!$M$4:$M$182,L65)</f>
        <v>3728</v>
      </c>
      <c r="F69" s="359" t="s">
        <v>531</v>
      </c>
      <c r="G69" s="288" t="s">
        <v>1403</v>
      </c>
      <c r="H69" s="377" cm="1">
        <f t="array" ref="H69">INDEX(Profilés!$F$4:$F$182,L65)</f>
        <v>14</v>
      </c>
      <c r="I69" s="359" t="s">
        <v>240</v>
      </c>
      <c r="K69" s="455"/>
    </row>
    <row r="70" spans="2:12" ht="18" x14ac:dyDescent="0.25">
      <c r="B70" s="369"/>
      <c r="D70" s="288" t="s">
        <v>1620</v>
      </c>
      <c r="E70" s="435">
        <f>1/SQRT(1+IF(E68=1,1.3,5.2)*((H72*H71)/E69)^2)</f>
        <v>0.8579714613465419</v>
      </c>
      <c r="G70" s="382" t="s">
        <v>1621</v>
      </c>
      <c r="H70" s="377" cm="1">
        <f t="array" ref="H70">INDEX(Profilés!$C$4:$C$182,L65)-2*(H68+H69)</f>
        <v>208</v>
      </c>
      <c r="I70" s="359" t="s">
        <v>240</v>
      </c>
      <c r="K70" s="455"/>
    </row>
    <row r="71" spans="2:12" ht="18" x14ac:dyDescent="0.25">
      <c r="B71" s="369"/>
      <c r="D71" s="288"/>
      <c r="E71" s="435"/>
      <c r="G71" s="288" t="s">
        <v>1397</v>
      </c>
      <c r="H71" s="377" cm="1">
        <f t="array" ref="H71">IF(E67="NON",1,IF(E67=1,1.5,2))*INDEX(Profilés!$E$4:$E$182,L65)</f>
        <v>8.5</v>
      </c>
      <c r="I71" s="359" t="s">
        <v>240</v>
      </c>
      <c r="K71" s="455"/>
    </row>
    <row r="72" spans="2:12" ht="18" x14ac:dyDescent="0.25">
      <c r="B72" s="369"/>
      <c r="D72" s="288"/>
      <c r="E72" s="435"/>
      <c r="G72" s="288" t="s">
        <v>1399</v>
      </c>
      <c r="H72" s="551">
        <f>H66+2*SQRT(2)*H67+5*(H69+IF(LEFT(H65,3)="PRS",SQRT(2)*H68,H68))</f>
        <v>230.31370849898477</v>
      </c>
      <c r="I72" s="359" t="s">
        <v>240</v>
      </c>
      <c r="K72" s="455"/>
    </row>
    <row r="73" spans="2:12" x14ac:dyDescent="0.25">
      <c r="B73" s="369"/>
      <c r="E73"/>
      <c r="K73" s="455"/>
    </row>
    <row r="74" spans="2:12" x14ac:dyDescent="0.25">
      <c r="B74" s="369"/>
      <c r="G74"/>
      <c r="H74"/>
      <c r="I74" s="658">
        <f>E70*H72*H71*E66/G_M0</f>
        <v>46189.605190207352</v>
      </c>
      <c r="J74" s="359" t="s">
        <v>632</v>
      </c>
      <c r="K74" s="455"/>
    </row>
    <row r="75" spans="2:12" x14ac:dyDescent="0.25">
      <c r="B75" s="369"/>
      <c r="K75" s="455"/>
    </row>
    <row r="76" spans="2:12" x14ac:dyDescent="0.25">
      <c r="B76" s="369"/>
      <c r="C76" s="1019" t="s">
        <v>809</v>
      </c>
      <c r="D76" s="1019"/>
      <c r="E76" s="1019"/>
      <c r="F76" s="1019"/>
      <c r="G76" s="1019"/>
      <c r="H76" s="1019"/>
      <c r="I76" s="1019"/>
      <c r="J76" s="1019"/>
      <c r="K76" s="455"/>
    </row>
    <row r="77" spans="2:12" ht="15.75" x14ac:dyDescent="0.25">
      <c r="B77" s="369"/>
      <c r="C77" s="531" t="str">
        <f>IF(Configuration!Y4="EN","Column web in transverse tension","Âme de poteau tendue transversalement")</f>
        <v>Âme de poteau tendue transversalement</v>
      </c>
      <c r="J77" s="645" t="s">
        <v>1521</v>
      </c>
      <c r="K77" s="455"/>
    </row>
    <row r="78" spans="2:12" x14ac:dyDescent="0.25">
      <c r="B78" s="369"/>
      <c r="C78" s="804" t="str">
        <f>IF(Configuration!Y4="EN","(End plate connection)","(Assemblage par platine d'about)")</f>
        <v>(Assemblage par platine d'about)</v>
      </c>
      <c r="J78" s="645"/>
      <c r="K78" s="455"/>
    </row>
    <row r="79" spans="2:12" x14ac:dyDescent="0.25">
      <c r="B79" s="369"/>
      <c r="D79" s="382" t="str">
        <f>IF(Configuration!Y4="EN","Grade:","Nuance :")</f>
        <v>Nuance :</v>
      </c>
      <c r="E79" s="740" t="s">
        <v>437</v>
      </c>
      <c r="G79" s="288" t="str">
        <f>IF(Configuration!Y4="EN","Column:","Poteau :")</f>
        <v>Poteau :</v>
      </c>
      <c r="H79" s="802" t="s">
        <v>98</v>
      </c>
      <c r="K79" s="455"/>
      <c r="L79" s="377">
        <f>MATCH(H79,Profilés!$A$4:$A$182,0)</f>
        <v>69</v>
      </c>
    </row>
    <row r="80" spans="2:12" ht="18" x14ac:dyDescent="0.25">
      <c r="B80" s="369"/>
      <c r="D80" s="382" t="s">
        <v>1568</v>
      </c>
      <c r="E80" s="377">
        <f>VLOOKUP(E79,Data!$A$3:$D$33,2,FALSE)</f>
        <v>27.5</v>
      </c>
      <c r="F80" s="359" t="s">
        <v>631</v>
      </c>
      <c r="G80" s="288" t="s">
        <v>1399</v>
      </c>
      <c r="H80" s="806">
        <v>256</v>
      </c>
      <c r="I80" s="359" t="s">
        <v>240</v>
      </c>
      <c r="K80" s="455"/>
    </row>
    <row r="81" spans="2:13" x14ac:dyDescent="0.25">
      <c r="B81" s="369"/>
      <c r="D81" s="288" t="str">
        <f>IF(Configuration!Y4="EN","Supplementary web plate:","Doublure d'âme :")</f>
        <v>Doublure d'âme :</v>
      </c>
      <c r="E81" s="678" t="s">
        <v>1256</v>
      </c>
      <c r="G81" s="1060" t="str">
        <f>IF(Configuration!Y4="EN","beff,t,wc is taken equal to the effective length of the equivalent T-stub representing the column flange.","beff,t,wc est pris égal à la longueur efficace du tronçon en T équivalent représentant la semelle de poteau.")</f>
        <v>beff,t,wc est pris égal à la longueur efficace du tronçon en T équivalent représentant la semelle de poteau.</v>
      </c>
      <c r="H81" s="1060"/>
      <c r="I81" s="1060"/>
      <c r="J81" s="1060"/>
      <c r="K81" s="455"/>
    </row>
    <row r="82" spans="2:13" x14ac:dyDescent="0.25">
      <c r="B82" s="369"/>
      <c r="D82" s="288" t="s">
        <v>1393</v>
      </c>
      <c r="E82" s="678">
        <v>1</v>
      </c>
      <c r="G82" s="1060"/>
      <c r="H82" s="1060"/>
      <c r="I82" s="1060"/>
      <c r="J82" s="1060"/>
      <c r="K82" s="455"/>
    </row>
    <row r="83" spans="2:13" ht="18" x14ac:dyDescent="0.25">
      <c r="B83" s="369"/>
      <c r="D83" s="288" t="s">
        <v>1390</v>
      </c>
      <c r="E83" s="568" cm="1">
        <f t="array" ref="E83">100*INDEX(Profilés!$M$4:$M$182,L79)</f>
        <v>3174</v>
      </c>
      <c r="F83" s="359" t="s">
        <v>531</v>
      </c>
      <c r="G83" s="288" t="s">
        <v>1397</v>
      </c>
      <c r="H83" s="377" cm="1">
        <f t="array" ref="H83">IF(E81="NON",1,IF(E81=1,1.5,2))*INDEX(Profilés!$E$4:$E$182,L79)</f>
        <v>8</v>
      </c>
      <c r="I83" s="359" t="s">
        <v>240</v>
      </c>
      <c r="K83" s="455"/>
    </row>
    <row r="84" spans="2:13" x14ac:dyDescent="0.25">
      <c r="B84" s="369"/>
      <c r="D84" s="288" t="s">
        <v>1620</v>
      </c>
      <c r="E84" s="435">
        <f>1/SQRT(1+IF(E82=1,1.3,5.2)*((H80*H83)/E83)^2)</f>
        <v>0.80549889171399358</v>
      </c>
      <c r="K84" s="455"/>
      <c r="M84"/>
    </row>
    <row r="85" spans="2:13" x14ac:dyDescent="0.25">
      <c r="B85" s="369"/>
      <c r="D85" s="288"/>
      <c r="E85" s="435"/>
      <c r="H85"/>
      <c r="I85" s="658">
        <f>E84*H80*H83*E80/G_M0</f>
        <v>45365.697581332119</v>
      </c>
      <c r="J85" s="359" t="s">
        <v>632</v>
      </c>
      <c r="K85" s="455"/>
    </row>
    <row r="86" spans="2:13" x14ac:dyDescent="0.25">
      <c r="B86" s="369"/>
      <c r="D86" s="288"/>
      <c r="E86" s="435"/>
      <c r="K86" s="455"/>
    </row>
    <row r="87" spans="2:13" x14ac:dyDescent="0.25">
      <c r="B87" s="369"/>
      <c r="C87" s="1019" t="s">
        <v>809</v>
      </c>
      <c r="D87" s="1019"/>
      <c r="E87" s="1019"/>
      <c r="F87" s="1019"/>
      <c r="G87" s="1019"/>
      <c r="H87" s="1019"/>
      <c r="I87" s="1019"/>
      <c r="J87" s="1019"/>
      <c r="K87" s="455"/>
    </row>
    <row r="88" spans="2:13" ht="15.75" x14ac:dyDescent="0.25">
      <c r="B88" s="369"/>
      <c r="C88" s="531" t="str">
        <f>IF(Configuration!Y4="EN","End plate in bending","Platine d'about fléchie")</f>
        <v>Platine d'about fléchie</v>
      </c>
      <c r="J88" s="645" t="s">
        <v>1519</v>
      </c>
      <c r="K88" s="455"/>
    </row>
    <row r="89" spans="2:13" x14ac:dyDescent="0.25">
      <c r="B89" s="369"/>
      <c r="E89" s="463" t="s">
        <v>1529</v>
      </c>
      <c r="K89" s="455"/>
    </row>
    <row r="90" spans="2:13" x14ac:dyDescent="0.25">
      <c r="B90" s="369"/>
      <c r="C90" s="1019" t="s">
        <v>809</v>
      </c>
      <c r="D90" s="1019"/>
      <c r="E90" s="1019"/>
      <c r="F90" s="1019"/>
      <c r="G90" s="1019"/>
      <c r="H90" s="1019"/>
      <c r="I90" s="1019"/>
      <c r="J90" s="1019"/>
      <c r="K90" s="455"/>
    </row>
    <row r="91" spans="2:13" ht="15.75" x14ac:dyDescent="0.25">
      <c r="B91" s="369"/>
      <c r="C91" s="531" t="str">
        <f>IF(Configuration!Y4="EN","Flange cleat in bending","Cornière de semelle en flexion")</f>
        <v>Cornière de semelle en flexion</v>
      </c>
      <c r="J91" s="645" t="s">
        <v>1518</v>
      </c>
      <c r="K91" s="455"/>
    </row>
    <row r="92" spans="2:13" x14ac:dyDescent="0.25">
      <c r="B92" s="369"/>
      <c r="E92" s="463" t="s">
        <v>1529</v>
      </c>
      <c r="K92" s="455"/>
    </row>
    <row r="93" spans="2:13" x14ac:dyDescent="0.25">
      <c r="B93" s="369"/>
      <c r="C93" s="1019" t="s">
        <v>809</v>
      </c>
      <c r="D93" s="1019"/>
      <c r="E93" s="1019"/>
      <c r="F93" s="1019"/>
      <c r="G93" s="1019"/>
      <c r="H93" s="1019"/>
      <c r="I93" s="1019"/>
      <c r="J93" s="1019"/>
      <c r="K93" s="455"/>
    </row>
    <row r="94" spans="2:13" ht="15.75" x14ac:dyDescent="0.25">
      <c r="B94" s="369"/>
      <c r="C94" s="531" t="str">
        <f>IF(Configuration!Y4="EN","Beam or column flange and web in compression","Semelle et âme comprimées de poutre ou de poteau")</f>
        <v>Semelle et âme comprimées de poutre ou de poteau</v>
      </c>
      <c r="J94" s="645" t="s">
        <v>1516</v>
      </c>
      <c r="K94" s="455"/>
    </row>
    <row r="95" spans="2:13" x14ac:dyDescent="0.25">
      <c r="B95" s="369"/>
      <c r="D95" s="382" t="str">
        <f>IF(Configuration!Y4="EN","Grade:","Nuance :")</f>
        <v>Nuance :</v>
      </c>
      <c r="E95" s="740" t="s">
        <v>437</v>
      </c>
      <c r="G95" s="288" t="str">
        <f>IF(Configuration!Y4="EN","Section:","Section :")</f>
        <v>Section :</v>
      </c>
      <c r="H95" s="802" t="s">
        <v>42</v>
      </c>
      <c r="K95" s="455"/>
      <c r="L95" s="377">
        <f>MATCH(H95,Profilés!$A$4:$A$182,0)</f>
        <v>13</v>
      </c>
    </row>
    <row r="96" spans="2:13" ht="18" x14ac:dyDescent="0.25">
      <c r="B96" s="369"/>
      <c r="D96" s="382" t="s">
        <v>1663</v>
      </c>
      <c r="E96" s="377">
        <f>VLOOKUP(E95,Data!$A$3:$D$33,2,FALSE)</f>
        <v>27.5</v>
      </c>
      <c r="F96" s="359" t="s">
        <v>631</v>
      </c>
      <c r="G96" s="288" t="s">
        <v>966</v>
      </c>
      <c r="H96" s="377" cm="1">
        <f t="array" ref="H96">INDEX(Profilés!$C$4:$C$182,L95)</f>
        <v>360</v>
      </c>
      <c r="I96" s="359" t="s">
        <v>240</v>
      </c>
      <c r="K96" s="455"/>
    </row>
    <row r="97" spans="2:12" ht="18" x14ac:dyDescent="0.25">
      <c r="B97" s="369"/>
      <c r="D97" s="382" t="str">
        <f>IF(Configuration!Y4="EN","Analysis:","Analyse :")</f>
        <v>Analyse :</v>
      </c>
      <c r="E97" s="678" t="s">
        <v>1664</v>
      </c>
      <c r="G97" s="288" t="s">
        <v>1637</v>
      </c>
      <c r="H97" s="377" cm="1">
        <f t="array" ref="H97">INDEX(Profilés!$F$4:$F$182,L95)</f>
        <v>12.7</v>
      </c>
      <c r="I97" s="359" t="s">
        <v>240</v>
      </c>
      <c r="K97" s="455"/>
    </row>
    <row r="98" spans="2:12" ht="18" x14ac:dyDescent="0.25">
      <c r="B98" s="369"/>
      <c r="D98" s="288" t="s">
        <v>1665</v>
      </c>
      <c r="E98" s="568" cm="1">
        <f t="array" ref="E98">E96*IF(E97="Elastique",INDEX(Profilés!$J$4:$J$182,L95),INDEX(Profilés!$K$4:$K$182,L95))/G_M0</f>
        <v>24849</v>
      </c>
      <c r="F98" s="359" t="s">
        <v>629</v>
      </c>
      <c r="K98" s="455"/>
    </row>
    <row r="99" spans="2:12" x14ac:dyDescent="0.25">
      <c r="B99" s="369"/>
      <c r="G99" s="658">
        <f>E98/(0.001*(H96-H97))</f>
        <v>71549.093003167291</v>
      </c>
      <c r="H99" s="359" t="s">
        <v>632</v>
      </c>
      <c r="K99" s="455"/>
    </row>
    <row r="100" spans="2:12" x14ac:dyDescent="0.25">
      <c r="B100" s="369"/>
      <c r="C100" s="1019" t="s">
        <v>809</v>
      </c>
      <c r="D100" s="1019"/>
      <c r="E100" s="1019"/>
      <c r="F100" s="1019"/>
      <c r="G100" s="1019"/>
      <c r="H100" s="1019"/>
      <c r="I100" s="1019"/>
      <c r="J100" s="1019"/>
      <c r="K100" s="455"/>
    </row>
    <row r="101" spans="2:12" ht="15.75" x14ac:dyDescent="0.25">
      <c r="B101" s="369"/>
      <c r="C101" s="531" t="str">
        <f>IF(Configuration!Y4="EN","Beam web in tension","Âme de poutre tendue")</f>
        <v>Âme de poutre tendue</v>
      </c>
      <c r="J101" s="645" t="s">
        <v>1517</v>
      </c>
      <c r="K101" s="455"/>
    </row>
    <row r="102" spans="2:12" x14ac:dyDescent="0.25">
      <c r="B102" s="369"/>
      <c r="C102" s="804" t="str">
        <f>IF(Configuration!Y4="EN","(End plate connection)","(Assemblage par platine d'about)")</f>
        <v>(Assemblage par platine d'about)</v>
      </c>
      <c r="J102" s="645"/>
      <c r="K102" s="455"/>
    </row>
    <row r="103" spans="2:12" x14ac:dyDescent="0.25">
      <c r="B103" s="369"/>
      <c r="D103" s="382" t="str">
        <f>IF(Configuration!Y4="EN","Grade:","Nuance :")</f>
        <v>Nuance :</v>
      </c>
      <c r="E103" s="740" t="s">
        <v>437</v>
      </c>
      <c r="G103" s="288" t="str">
        <f>IF(Configuration!Y4="EN","Beam:","Poutre :")</f>
        <v>Poutre :</v>
      </c>
      <c r="H103" s="802" t="s">
        <v>98</v>
      </c>
      <c r="K103" s="455"/>
      <c r="L103" s="377">
        <f>MATCH(H103,Profilés!$A$4:$A$182,0)</f>
        <v>69</v>
      </c>
    </row>
    <row r="104" spans="2:12" ht="18" x14ac:dyDescent="0.25">
      <c r="B104" s="369"/>
      <c r="D104" s="382" t="s">
        <v>1663</v>
      </c>
      <c r="E104" s="377">
        <f>VLOOKUP(E103,Data!$A$3:$D$33,2,FALSE)</f>
        <v>27.5</v>
      </c>
      <c r="F104" s="359" t="s">
        <v>631</v>
      </c>
      <c r="G104" s="288" t="s">
        <v>1662</v>
      </c>
      <c r="H104" s="377" cm="1">
        <f t="array" ref="H104">INDEX(Profilés!$E$4:$E$182,L103)</f>
        <v>8</v>
      </c>
      <c r="I104" s="359" t="s">
        <v>240</v>
      </c>
      <c r="K104" s="455"/>
    </row>
    <row r="105" spans="2:12" ht="18" x14ac:dyDescent="0.25">
      <c r="B105" s="369"/>
      <c r="D105" s="288" t="s">
        <v>1661</v>
      </c>
      <c r="E105" s="806">
        <v>256</v>
      </c>
      <c r="F105" s="359" t="s">
        <v>240</v>
      </c>
      <c r="G105" s="1061" t="str">
        <f>IF(Configuration!Y4="EN","beff,t,wb is taken equal to the effective length of the equivalent T-stub representing the end plate.","beff,t,wb est pris égal à la longueur efficace du tronçon en T équivalent représentant la platine d'about.")</f>
        <v>beff,t,wb est pris égal à la longueur efficace du tronçon en T équivalent représentant la platine d'about.</v>
      </c>
      <c r="H105" s="1061"/>
      <c r="I105" s="1061"/>
      <c r="J105" s="1061"/>
      <c r="K105" s="455"/>
    </row>
    <row r="106" spans="2:12" x14ac:dyDescent="0.25">
      <c r="B106" s="369"/>
      <c r="G106" s="1061"/>
      <c r="H106" s="1061"/>
      <c r="I106" s="1061"/>
      <c r="J106" s="1061"/>
      <c r="K106" s="455"/>
    </row>
    <row r="107" spans="2:12" x14ac:dyDescent="0.25">
      <c r="B107" s="369"/>
      <c r="G107" s="658">
        <f>E105*H104*E104/G_M0</f>
        <v>56320</v>
      </c>
      <c r="H107" s="359" t="s">
        <v>632</v>
      </c>
      <c r="K107" s="455"/>
    </row>
    <row r="108" spans="2:12" x14ac:dyDescent="0.25">
      <c r="B108" s="369"/>
      <c r="D108" s="288"/>
      <c r="H108"/>
      <c r="K108" s="455"/>
    </row>
    <row r="109" spans="2:12" x14ac:dyDescent="0.25">
      <c r="B109" s="369"/>
      <c r="C109" s="1019" t="s">
        <v>809</v>
      </c>
      <c r="D109" s="1019"/>
      <c r="E109" s="1019"/>
      <c r="F109" s="1019"/>
      <c r="G109" s="1019"/>
      <c r="H109" s="1019"/>
      <c r="I109" s="1019"/>
      <c r="J109" s="1019"/>
      <c r="K109" s="455"/>
    </row>
    <row r="110" spans="2:12" ht="15.75" x14ac:dyDescent="0.25">
      <c r="B110" s="369"/>
      <c r="C110" s="531" t="str">
        <f>IF(Configuration!Y4="EN","Plate in tension","Plat tendu")</f>
        <v>Plat tendu</v>
      </c>
      <c r="D110" s="804" t="str">
        <f>IF(Configuration!Y4="EN","(Gross section)","(Section brute)")</f>
        <v>(Section brute)</v>
      </c>
      <c r="J110" s="645" t="s">
        <v>1515</v>
      </c>
      <c r="K110" s="455"/>
    </row>
    <row r="111" spans="2:12" ht="18" x14ac:dyDescent="0.25">
      <c r="B111" s="369"/>
      <c r="D111" s="382" t="str">
        <f>IF(Configuration!Y4="EN","Grade:","Nuance :")</f>
        <v>Nuance :</v>
      </c>
      <c r="E111" s="740" t="s">
        <v>437</v>
      </c>
      <c r="G111" s="382" t="s">
        <v>1669</v>
      </c>
      <c r="H111" s="377">
        <f>VLOOKUP(E111,Data!$A$3:$D$33,2,FALSE)</f>
        <v>27.5</v>
      </c>
      <c r="I111" s="359" t="s">
        <v>631</v>
      </c>
      <c r="K111" s="455"/>
    </row>
    <row r="112" spans="2:12" ht="18" x14ac:dyDescent="0.25">
      <c r="B112" s="369"/>
      <c r="D112" s="288" t="s">
        <v>1670</v>
      </c>
      <c r="E112" s="805">
        <v>256</v>
      </c>
      <c r="F112" s="359" t="s">
        <v>531</v>
      </c>
      <c r="H112" s="288" t="s">
        <v>1671</v>
      </c>
      <c r="I112" s="658">
        <f>E112*H111/G_M0</f>
        <v>7040</v>
      </c>
      <c r="J112" s="359" t="s">
        <v>632</v>
      </c>
      <c r="K112" s="455"/>
    </row>
    <row r="113" spans="2:11" x14ac:dyDescent="0.25">
      <c r="B113" s="369"/>
      <c r="C113" s="1019" t="s">
        <v>809</v>
      </c>
      <c r="D113" s="1019"/>
      <c r="E113" s="1019"/>
      <c r="F113" s="1019"/>
      <c r="G113" s="1019"/>
      <c r="H113" s="1019"/>
      <c r="I113" s="1019"/>
      <c r="J113" s="1019"/>
      <c r="K113" s="455"/>
    </row>
    <row r="114" spans="2:11" ht="15.75" x14ac:dyDescent="0.25">
      <c r="B114" s="369"/>
      <c r="C114" s="531" t="str">
        <f>IF(Configuration!Y4="EN","Plate in tension","Plat tendu")</f>
        <v>Plat tendu</v>
      </c>
      <c r="D114" s="804" t="str">
        <f>IF(Configuration!Y4="EN","(Net section)","(Section nette)")</f>
        <v>(Section nette)</v>
      </c>
      <c r="J114" s="645" t="s">
        <v>1515</v>
      </c>
      <c r="K114" s="455"/>
    </row>
    <row r="115" spans="2:11" ht="18" x14ac:dyDescent="0.25">
      <c r="B115" s="369"/>
      <c r="D115" s="382" t="str">
        <f>IF(Configuration!Y4="EN","Grade:","Nuance :")</f>
        <v>Nuance :</v>
      </c>
      <c r="E115" s="740" t="s">
        <v>437</v>
      </c>
      <c r="G115" s="382" t="s">
        <v>1673</v>
      </c>
      <c r="H115" s="377">
        <f>VLOOKUP(E115,Data!$A$3:$D$33,3,FALSE)</f>
        <v>43</v>
      </c>
      <c r="I115" s="359" t="s">
        <v>631</v>
      </c>
      <c r="K115" s="455"/>
    </row>
    <row r="116" spans="2:11" ht="18" x14ac:dyDescent="0.25">
      <c r="B116" s="369"/>
      <c r="D116" s="288" t="s">
        <v>1674</v>
      </c>
      <c r="E116" s="805">
        <v>256</v>
      </c>
      <c r="F116" s="359" t="s">
        <v>531</v>
      </c>
      <c r="H116" s="288" t="s">
        <v>1672</v>
      </c>
      <c r="I116" s="658">
        <f>0.9*E116*H115/G_M2</f>
        <v>7925.76</v>
      </c>
      <c r="J116" s="359" t="s">
        <v>632</v>
      </c>
      <c r="K116" s="455"/>
    </row>
    <row r="117" spans="2:11" x14ac:dyDescent="0.25">
      <c r="B117" s="369"/>
      <c r="C117" s="1019" t="s">
        <v>809</v>
      </c>
      <c r="D117" s="1019"/>
      <c r="E117" s="1019"/>
      <c r="F117" s="1019"/>
      <c r="G117" s="1019"/>
      <c r="H117" s="1019"/>
      <c r="I117" s="1019"/>
      <c r="J117" s="1019"/>
      <c r="K117" s="455"/>
    </row>
    <row r="118" spans="2:11" ht="15.75" x14ac:dyDescent="0.25">
      <c r="B118" s="369"/>
      <c r="C118" s="531" t="s">
        <v>1667</v>
      </c>
      <c r="J118" s="645" t="s">
        <v>1515</v>
      </c>
      <c r="K118" s="455"/>
    </row>
    <row r="119" spans="2:11" x14ac:dyDescent="0.25">
      <c r="B119" s="369"/>
      <c r="E119" s="463" t="s">
        <v>1668</v>
      </c>
      <c r="K119" s="455"/>
    </row>
    <row r="120" spans="2:11" x14ac:dyDescent="0.25">
      <c r="B120" s="369"/>
      <c r="C120" s="1019" t="s">
        <v>809</v>
      </c>
      <c r="D120" s="1019"/>
      <c r="E120" s="1019"/>
      <c r="F120" s="1019"/>
      <c r="G120" s="1019"/>
      <c r="H120" s="1019"/>
      <c r="I120" s="1019"/>
      <c r="J120" s="1019"/>
      <c r="K120" s="455"/>
    </row>
    <row r="121" spans="2:11" ht="15.75" x14ac:dyDescent="0.25">
      <c r="B121" s="369"/>
      <c r="C121" s="531" t="s">
        <v>1530</v>
      </c>
      <c r="J121" s="645" t="s">
        <v>1531</v>
      </c>
      <c r="K121" s="455"/>
    </row>
    <row r="122" spans="2:11" x14ac:dyDescent="0.25">
      <c r="B122" s="369"/>
      <c r="E122" s="463" t="s">
        <v>1529</v>
      </c>
      <c r="K122" s="455"/>
    </row>
    <row r="123" spans="2:11" x14ac:dyDescent="0.25">
      <c r="B123" s="369"/>
      <c r="C123" s="1019" t="s">
        <v>809</v>
      </c>
      <c r="D123" s="1019"/>
      <c r="E123" s="1019"/>
      <c r="F123" s="1019"/>
      <c r="G123" s="1019"/>
      <c r="H123" s="1019"/>
      <c r="I123" s="1019"/>
      <c r="J123" s="1019"/>
      <c r="K123" s="455"/>
    </row>
    <row r="124" spans="2:11" ht="15.75" x14ac:dyDescent="0.25">
      <c r="B124" s="369"/>
      <c r="C124" s="531" t="s">
        <v>1513</v>
      </c>
      <c r="J124" s="645" t="s">
        <v>1518</v>
      </c>
      <c r="K124" s="455"/>
    </row>
    <row r="125" spans="2:11" x14ac:dyDescent="0.25">
      <c r="B125" s="369"/>
      <c r="E125" s="463" t="s">
        <v>1660</v>
      </c>
      <c r="K125" s="455"/>
    </row>
    <row r="126" spans="2:11" x14ac:dyDescent="0.25">
      <c r="B126" s="369"/>
      <c r="C126" s="1019" t="s">
        <v>809</v>
      </c>
      <c r="D126" s="1019"/>
      <c r="E126" s="1019"/>
      <c r="F126" s="1019"/>
      <c r="G126" s="1019"/>
      <c r="H126" s="1019"/>
      <c r="I126" s="1019"/>
      <c r="J126" s="1019"/>
      <c r="K126" s="455"/>
    </row>
    <row r="127" spans="2:11" ht="15.75" x14ac:dyDescent="0.25">
      <c r="B127" s="369"/>
      <c r="C127" s="531" t="s">
        <v>1408</v>
      </c>
      <c r="J127" s="645" t="s">
        <v>1522</v>
      </c>
      <c r="K127" s="455"/>
    </row>
    <row r="128" spans="2:11" x14ac:dyDescent="0.25">
      <c r="B128" s="369"/>
      <c r="E128" s="463" t="s">
        <v>1659</v>
      </c>
      <c r="K128" s="455"/>
    </row>
    <row r="129" spans="2:11" x14ac:dyDescent="0.25">
      <c r="B129" s="369"/>
      <c r="C129" s="1019" t="s">
        <v>809</v>
      </c>
      <c r="D129" s="1019"/>
      <c r="E129" s="1019"/>
      <c r="F129" s="1019"/>
      <c r="G129" s="1019"/>
      <c r="H129" s="1019"/>
      <c r="I129" s="1019"/>
      <c r="J129" s="1019"/>
      <c r="K129" s="455"/>
    </row>
    <row r="130" spans="2:11" ht="15.75" x14ac:dyDescent="0.25">
      <c r="B130" s="369"/>
      <c r="C130" s="531" t="s">
        <v>1505</v>
      </c>
      <c r="K130" s="455"/>
    </row>
    <row r="131" spans="2:11" x14ac:dyDescent="0.25">
      <c r="B131" s="369"/>
      <c r="E131" s="463" t="s">
        <v>1659</v>
      </c>
      <c r="J131" s="645" t="s">
        <v>1522</v>
      </c>
      <c r="K131" s="455"/>
    </row>
    <row r="132" spans="2:11" x14ac:dyDescent="0.25">
      <c r="B132" s="369"/>
      <c r="C132" s="1019" t="s">
        <v>809</v>
      </c>
      <c r="D132" s="1019"/>
      <c r="E132" s="1019"/>
      <c r="F132" s="1019"/>
      <c r="G132" s="1019"/>
      <c r="H132" s="1019"/>
      <c r="I132" s="1019"/>
      <c r="J132" s="1019"/>
      <c r="K132" s="455"/>
    </row>
    <row r="133" spans="2:11" ht="15.75" x14ac:dyDescent="0.25">
      <c r="B133" s="369"/>
      <c r="C133" s="531" t="s">
        <v>1506</v>
      </c>
      <c r="J133" s="645" t="s">
        <v>1523</v>
      </c>
      <c r="K133" s="455"/>
    </row>
    <row r="134" spans="2:11" x14ac:dyDescent="0.25">
      <c r="B134" s="369"/>
      <c r="E134" s="463" t="s">
        <v>1658</v>
      </c>
      <c r="K134" s="455"/>
    </row>
    <row r="135" spans="2:11" x14ac:dyDescent="0.25">
      <c r="B135" s="369"/>
      <c r="C135" s="1019" t="s">
        <v>809</v>
      </c>
      <c r="D135" s="1019"/>
      <c r="E135" s="1019"/>
      <c r="F135" s="1019"/>
      <c r="G135" s="1019"/>
      <c r="H135" s="1019"/>
      <c r="I135" s="1019"/>
      <c r="J135" s="1019"/>
      <c r="K135" s="455"/>
    </row>
    <row r="136" spans="2:11" ht="15.75" x14ac:dyDescent="0.25">
      <c r="B136" s="369"/>
      <c r="C136" s="531" t="s">
        <v>1512</v>
      </c>
      <c r="J136" s="645" t="s">
        <v>1524</v>
      </c>
      <c r="K136" s="455"/>
    </row>
    <row r="137" spans="2:11" x14ac:dyDescent="0.25">
      <c r="B137" s="369"/>
      <c r="E137" s="463" t="s">
        <v>1658</v>
      </c>
      <c r="K137" s="455"/>
    </row>
    <row r="138" spans="2:11" x14ac:dyDescent="0.25">
      <c r="B138" s="369"/>
      <c r="C138" s="1019" t="s">
        <v>809</v>
      </c>
      <c r="D138" s="1019"/>
      <c r="E138" s="1019"/>
      <c r="F138" s="1019"/>
      <c r="G138" s="1019"/>
      <c r="H138" s="1019"/>
      <c r="I138" s="1019"/>
      <c r="J138" s="1019"/>
      <c r="K138" s="455"/>
    </row>
    <row r="139" spans="2:11" ht="15.75" x14ac:dyDescent="0.25">
      <c r="B139" s="369"/>
      <c r="C139" s="531" t="s">
        <v>1507</v>
      </c>
      <c r="J139" s="645" t="s">
        <v>1525</v>
      </c>
      <c r="K139" s="455"/>
    </row>
    <row r="140" spans="2:11" x14ac:dyDescent="0.25">
      <c r="B140" s="369"/>
      <c r="E140" s="463" t="s">
        <v>1529</v>
      </c>
      <c r="K140" s="455"/>
    </row>
    <row r="141" spans="2:11" x14ac:dyDescent="0.25">
      <c r="B141" s="369"/>
      <c r="C141" s="1019" t="s">
        <v>809</v>
      </c>
      <c r="D141" s="1019"/>
      <c r="E141" s="1019"/>
      <c r="F141" s="1019"/>
      <c r="G141" s="1019"/>
      <c r="H141" s="1019"/>
      <c r="I141" s="1019"/>
      <c r="J141" s="1019"/>
      <c r="K141" s="455"/>
    </row>
    <row r="142" spans="2:11" ht="15.75" x14ac:dyDescent="0.25">
      <c r="B142" s="369"/>
      <c r="C142" s="531" t="s">
        <v>1508</v>
      </c>
      <c r="J142" s="645" t="s">
        <v>1526</v>
      </c>
      <c r="K142" s="455"/>
    </row>
    <row r="143" spans="2:11" x14ac:dyDescent="0.25">
      <c r="B143" s="369"/>
      <c r="E143" s="463" t="s">
        <v>1658</v>
      </c>
      <c r="K143" s="455"/>
    </row>
    <row r="144" spans="2:11" x14ac:dyDescent="0.25">
      <c r="B144" s="369"/>
      <c r="C144" s="1019" t="s">
        <v>809</v>
      </c>
      <c r="D144" s="1019"/>
      <c r="E144" s="1019"/>
      <c r="F144" s="1019"/>
      <c r="G144" s="1019"/>
      <c r="H144" s="1019"/>
      <c r="I144" s="1019"/>
      <c r="J144" s="1019"/>
      <c r="K144" s="455"/>
    </row>
    <row r="145" spans="2:11" ht="15.75" x14ac:dyDescent="0.25">
      <c r="B145" s="369"/>
      <c r="C145" s="531" t="s">
        <v>1509</v>
      </c>
      <c r="J145" s="645" t="s">
        <v>1527</v>
      </c>
      <c r="K145" s="455"/>
    </row>
    <row r="146" spans="2:11" x14ac:dyDescent="0.25">
      <c r="B146" s="369"/>
      <c r="E146" s="463" t="s">
        <v>1658</v>
      </c>
      <c r="K146" s="455"/>
    </row>
    <row r="147" spans="2:11" x14ac:dyDescent="0.25">
      <c r="B147" s="369"/>
      <c r="C147" s="1019" t="s">
        <v>809</v>
      </c>
      <c r="D147" s="1019"/>
      <c r="E147" s="1019"/>
      <c r="F147" s="1019"/>
      <c r="G147" s="1019"/>
      <c r="H147" s="1019"/>
      <c r="I147" s="1019"/>
      <c r="J147" s="1019"/>
      <c r="K147" s="455"/>
    </row>
    <row r="148" spans="2:11" ht="15.75" x14ac:dyDescent="0.25">
      <c r="B148" s="369"/>
      <c r="C148" s="531" t="s">
        <v>1510</v>
      </c>
      <c r="J148" s="645" t="s">
        <v>1527</v>
      </c>
      <c r="K148" s="455"/>
    </row>
    <row r="149" spans="2:11" x14ac:dyDescent="0.25">
      <c r="B149" s="369"/>
      <c r="E149" s="463" t="s">
        <v>1659</v>
      </c>
      <c r="K149" s="455"/>
    </row>
    <row r="150" spans="2:11" x14ac:dyDescent="0.25">
      <c r="B150" s="369"/>
      <c r="C150" s="1019" t="s">
        <v>809</v>
      </c>
      <c r="D150" s="1019"/>
      <c r="E150" s="1019"/>
      <c r="F150" s="1019"/>
      <c r="G150" s="1019"/>
      <c r="H150" s="1019"/>
      <c r="I150" s="1019"/>
      <c r="J150" s="1019"/>
      <c r="K150" s="455"/>
    </row>
    <row r="151" spans="2:11" ht="15.75" x14ac:dyDescent="0.25">
      <c r="B151" s="369"/>
      <c r="C151" s="531" t="s">
        <v>652</v>
      </c>
      <c r="E151" s="463" t="s">
        <v>1656</v>
      </c>
      <c r="J151" s="645" t="s">
        <v>1528</v>
      </c>
      <c r="K151" s="455"/>
    </row>
    <row r="152" spans="2:11" x14ac:dyDescent="0.25">
      <c r="B152" s="369"/>
      <c r="C152" s="1019" t="s">
        <v>809</v>
      </c>
      <c r="D152" s="1019"/>
      <c r="E152" s="1019"/>
      <c r="F152" s="1019"/>
      <c r="G152" s="1019"/>
      <c r="H152" s="1019"/>
      <c r="I152" s="1019"/>
      <c r="J152" s="1019"/>
      <c r="K152" s="455"/>
    </row>
    <row r="153" spans="2:11" ht="15.75" x14ac:dyDescent="0.25">
      <c r="B153" s="369"/>
      <c r="C153" s="531" t="s">
        <v>1511</v>
      </c>
      <c r="J153" s="645" t="s">
        <v>1516</v>
      </c>
      <c r="K153" s="455"/>
    </row>
    <row r="154" spans="2:11" x14ac:dyDescent="0.25">
      <c r="B154" s="369"/>
      <c r="D154" s="463" t="s">
        <v>1666</v>
      </c>
      <c r="K154" s="455"/>
    </row>
    <row r="155" spans="2:11" x14ac:dyDescent="0.25">
      <c r="B155" s="458"/>
      <c r="C155" s="460"/>
      <c r="D155" s="460"/>
      <c r="E155" s="460"/>
      <c r="F155" s="460"/>
      <c r="G155" s="460"/>
      <c r="H155" s="460"/>
      <c r="I155" s="460"/>
      <c r="J155" s="460"/>
      <c r="K155" s="461"/>
    </row>
  </sheetData>
  <sheetProtection algorithmName="SHA-512" hashValue="4LQOmHiOJf4GrW1HvPTvqHwyEbySfwEZti1b6oiJiXuXUDbl9rf+xaCJzsET/hWc1csKf/wy15snyqH8b0aLqw==" saltValue="CN7PG9BK0iNSYzOTbp90qw==" spinCount="100000" sheet="1" objects="1" scenarios="1"/>
  <mergeCells count="27">
    <mergeCell ref="C117:J117"/>
    <mergeCell ref="C113:J113"/>
    <mergeCell ref="C93:J93"/>
    <mergeCell ref="C10:J10"/>
    <mergeCell ref="C20:J20"/>
    <mergeCell ref="C100:J100"/>
    <mergeCell ref="C109:J109"/>
    <mergeCell ref="C31:J31"/>
    <mergeCell ref="C62:J62"/>
    <mergeCell ref="C87:J87"/>
    <mergeCell ref="C90:J90"/>
    <mergeCell ref="C47:J47"/>
    <mergeCell ref="C76:J76"/>
    <mergeCell ref="G81:J82"/>
    <mergeCell ref="G105:J106"/>
    <mergeCell ref="C141:J141"/>
    <mergeCell ref="C144:J144"/>
    <mergeCell ref="C147:J147"/>
    <mergeCell ref="C150:J150"/>
    <mergeCell ref="C152:J152"/>
    <mergeCell ref="C135:J135"/>
    <mergeCell ref="C120:J120"/>
    <mergeCell ref="C129:J129"/>
    <mergeCell ref="C132:J132"/>
    <mergeCell ref="C138:J138"/>
    <mergeCell ref="C126:J126"/>
    <mergeCell ref="C123:J123"/>
  </mergeCells>
  <dataValidations count="3">
    <dataValidation type="list" allowBlank="1" showInputMessage="1" showErrorMessage="1" sqref="E38 E53 E68 E82" xr:uid="{4111AF3F-471C-40A7-B97C-35803499C532}">
      <formula1>"1,2"</formula1>
    </dataValidation>
    <dataValidation type="list" allowBlank="1" showInputMessage="1" showErrorMessage="1" sqref="E37 E52 E67 E81" xr:uid="{70F9A4AA-CD33-4BCF-81D4-442C8ED8C03A}">
      <formula1>"NON,1,2"</formula1>
    </dataValidation>
    <dataValidation type="list" allowBlank="1" showInputMessage="1" showErrorMessage="1" sqref="E97" xr:uid="{700C1984-C4AD-45F8-9446-8261224064D2}">
      <formula1>"Elastique,Plastique"</formula1>
    </dataValidation>
  </dataValidations>
  <pageMargins left="0.7" right="0.7" top="0.75" bottom="0.75" header="0.3" footer="0.3"/>
  <pageSetup paperSize="9" scale="97" orientation="portrait" horizontalDpi="4294967295" verticalDpi="4294967295" r:id="rId1"/>
  <rowBreaks count="1" manualBreakCount="1">
    <brk id="157" min="1" max="10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1A3118B-28FD-406A-9909-C8CACB577DBB}">
          <x14:formula1>
            <xm:f>Data!$A$3:$A$34</xm:f>
          </x14:formula1>
          <xm:sqref>E4 E13 E16 E23 E34 E50 E65 E79 E103 E95 E111 E115</xm:sqref>
        </x14:dataValidation>
        <x14:dataValidation type="list" allowBlank="1" showInputMessage="1" showErrorMessage="1" xr:uid="{92F31FB2-262D-4FE0-9578-147E21407FFF}">
          <x14:formula1>
            <xm:f>Profilés!$A$4:$A$182</xm:f>
          </x14:formula1>
          <xm:sqref>H34 H50 H65 H79 H103 H95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0EE7F-5FDA-482E-B3E2-E4D9021DFF86}">
  <sheetPr codeName="Feuil18">
    <tabColor rgb="FF0070C0"/>
  </sheetPr>
  <dimension ref="B2:X140"/>
  <sheetViews>
    <sheetView zoomScaleNormal="100" zoomScaleSheetLayoutView="100" workbookViewId="0">
      <selection activeCell="E4" sqref="E4:I4"/>
    </sheetView>
  </sheetViews>
  <sheetFormatPr baseColWidth="10" defaultColWidth="10.7109375" defaultRowHeight="15" x14ac:dyDescent="0.25"/>
  <cols>
    <col min="1" max="1" width="10.7109375" style="359"/>
    <col min="2" max="2" width="2.140625" style="359" customWidth="1"/>
    <col min="3" max="12" width="10" style="359" customWidth="1"/>
    <col min="13" max="13" width="2.140625" style="359" customWidth="1"/>
    <col min="14" max="17" width="10.7109375" style="359"/>
    <col min="18" max="18" width="13.5703125" style="359" bestFit="1" customWidth="1"/>
    <col min="19" max="19" width="10.7109375" style="359"/>
    <col min="20" max="22" width="25.7109375" style="359" customWidth="1"/>
    <col min="23" max="16384" width="10.7109375" style="359"/>
  </cols>
  <sheetData>
    <row r="2" spans="2:24" ht="15" customHeight="1" x14ac:dyDescent="0.25">
      <c r="B2" s="451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3"/>
    </row>
    <row r="3" spans="2:24" ht="15" customHeight="1" x14ac:dyDescent="0.25">
      <c r="B3" s="369"/>
      <c r="C3" s="739" t="str">
        <f>IF(Configuration!Y4="EN","Rotational stiffness of connection","Rigidité en rotation d'assemblage")</f>
        <v>Rigidité en rotation d'assemblage</v>
      </c>
      <c r="D3" s="377"/>
      <c r="E3" s="377"/>
      <c r="G3" s="377"/>
      <c r="H3" s="377"/>
      <c r="I3" s="377"/>
      <c r="J3" s="377"/>
      <c r="K3" s="377"/>
      <c r="L3" s="645" t="s">
        <v>1844</v>
      </c>
      <c r="M3" s="455"/>
      <c r="R3" s="462" t="s">
        <v>1438</v>
      </c>
      <c r="S3" s="581" t="s">
        <v>1440</v>
      </c>
      <c r="T3" s="359" t="s">
        <v>1448</v>
      </c>
      <c r="U3" s="359" t="s">
        <v>1449</v>
      </c>
      <c r="V3" s="359" t="s">
        <v>1450</v>
      </c>
      <c r="W3" s="359">
        <f>MATCH(E5,T3:V3,0)</f>
        <v>1</v>
      </c>
      <c r="X3" s="581" t="s">
        <v>1921</v>
      </c>
    </row>
    <row r="4" spans="2:24" ht="15" customHeight="1" x14ac:dyDescent="0.25">
      <c r="B4" s="369"/>
      <c r="C4" s="377"/>
      <c r="D4" s="288" t="str">
        <f>IF(Configuration!Y4="EN","Connection type:","Type d'attache :")</f>
        <v>Type d'attache :</v>
      </c>
      <c r="E4" s="1064" t="s">
        <v>1446</v>
      </c>
      <c r="F4" s="1064"/>
      <c r="G4" s="1064"/>
      <c r="H4" s="1064"/>
      <c r="I4" s="1064"/>
      <c r="J4" s="288" t="s">
        <v>1439</v>
      </c>
      <c r="K4" s="204">
        <f>VLOOKUP(E4,R4:S8,2,FALSE)</f>
        <v>2.7</v>
      </c>
      <c r="L4" s="377"/>
      <c r="M4" s="455"/>
      <c r="R4" s="288" t="s">
        <v>1445</v>
      </c>
      <c r="S4" s="377">
        <v>2.7</v>
      </c>
      <c r="T4" s="725" t="s">
        <v>1453</v>
      </c>
      <c r="U4" s="725" t="s">
        <v>1454</v>
      </c>
      <c r="V4" s="725" t="s">
        <v>1453</v>
      </c>
      <c r="X4" s="377">
        <v>2</v>
      </c>
    </row>
    <row r="5" spans="2:24" ht="15" customHeight="1" x14ac:dyDescent="0.25">
      <c r="B5" s="369"/>
      <c r="C5" s="377"/>
      <c r="D5" s="288" t="str">
        <f>IF(Configuration!Y4="EN","Laterality:","Latéralité :")</f>
        <v>Latéralité :</v>
      </c>
      <c r="E5" s="1064" t="s">
        <v>1448</v>
      </c>
      <c r="F5" s="1064"/>
      <c r="G5" s="1064"/>
      <c r="H5" s="1064"/>
      <c r="I5" s="377"/>
      <c r="J5" s="377"/>
      <c r="K5" s="377"/>
      <c r="L5" s="377"/>
      <c r="M5" s="455"/>
      <c r="R5" s="288" t="s">
        <v>1444</v>
      </c>
      <c r="S5" s="377">
        <v>3.1</v>
      </c>
      <c r="T5" s="725" t="s">
        <v>1455</v>
      </c>
      <c r="U5" s="725" t="s">
        <v>1456</v>
      </c>
      <c r="V5" s="725" t="s">
        <v>1455</v>
      </c>
      <c r="X5" s="377">
        <v>2</v>
      </c>
    </row>
    <row r="6" spans="2:24" ht="15" customHeight="1" x14ac:dyDescent="0.25">
      <c r="B6" s="369"/>
      <c r="K6" s="377"/>
      <c r="L6" s="377"/>
      <c r="M6" s="455"/>
      <c r="R6" s="288" t="s">
        <v>1446</v>
      </c>
      <c r="S6" s="377">
        <v>2.7</v>
      </c>
      <c r="T6" s="725" t="s">
        <v>1457</v>
      </c>
      <c r="U6" s="725" t="s">
        <v>1458</v>
      </c>
      <c r="V6" s="725" t="s">
        <v>1457</v>
      </c>
      <c r="X6" s="377">
        <v>2</v>
      </c>
    </row>
    <row r="7" spans="2:24" ht="15" customHeight="1" x14ac:dyDescent="0.25">
      <c r="B7" s="369"/>
      <c r="C7" s="288" t="s">
        <v>1265</v>
      </c>
      <c r="D7" s="678">
        <v>12000</v>
      </c>
      <c r="E7" s="521" t="s">
        <v>629</v>
      </c>
      <c r="F7" s="288" t="s">
        <v>951</v>
      </c>
      <c r="G7" s="678">
        <v>15296</v>
      </c>
      <c r="H7" s="521" t="s">
        <v>629</v>
      </c>
      <c r="I7" s="726" t="s">
        <v>1442</v>
      </c>
      <c r="J7" s="203">
        <f>IF(D7&lt;=(2/3)*G7,1,(1.5*D7/G7)^K4)</f>
        <v>1.5519420533193482</v>
      </c>
      <c r="K7" s="726" t="s">
        <v>1920</v>
      </c>
      <c r="L7" s="203">
        <f>VLOOKUP(E4,R4:X8,7,FALSE)</f>
        <v>2</v>
      </c>
      <c r="M7" s="455"/>
      <c r="R7" s="288" t="s">
        <v>1447</v>
      </c>
      <c r="S7" s="377">
        <v>2.7</v>
      </c>
      <c r="T7" s="725" t="s">
        <v>1459</v>
      </c>
      <c r="U7" s="725" t="s">
        <v>1460</v>
      </c>
      <c r="V7" s="725" t="s">
        <v>1459</v>
      </c>
      <c r="X7" s="377">
        <v>3</v>
      </c>
    </row>
    <row r="8" spans="2:24" ht="15" customHeight="1" x14ac:dyDescent="0.25">
      <c r="B8" s="369"/>
      <c r="K8" s="377"/>
      <c r="L8" s="377"/>
      <c r="M8" s="455"/>
      <c r="R8" s="288" t="s">
        <v>1441</v>
      </c>
      <c r="S8" s="377">
        <v>2.7</v>
      </c>
      <c r="T8" s="725" t="s">
        <v>1461</v>
      </c>
      <c r="U8" s="725" t="s">
        <v>1459</v>
      </c>
      <c r="V8" s="725" t="s">
        <v>1459</v>
      </c>
      <c r="X8" s="377">
        <v>3</v>
      </c>
    </row>
    <row r="9" spans="2:24" ht="15.75" x14ac:dyDescent="0.25">
      <c r="B9" s="369"/>
      <c r="C9" s="727" t="str">
        <f>IF(Configuration!Y4="EN","Stiffness coefficients","Coefficients de rigidité")</f>
        <v>Coefficients de rigidité</v>
      </c>
      <c r="K9" s="377"/>
      <c r="L9" s="377"/>
      <c r="M9" s="455"/>
    </row>
    <row r="10" spans="2:24" ht="18" x14ac:dyDescent="0.25">
      <c r="B10" s="369"/>
      <c r="G10" s="288" t="str">
        <f>IF(Configuration!Y4="EN","Stiffness coefficients ki to be considered","Coefficients de rigidité ki à prendre en compte")</f>
        <v>Coefficients de rigidité ki à prendre en compte</v>
      </c>
      <c r="H10" s="1062" t="str">
        <f>VLOOKUP(E4,R4:V8,MATCH(E5,R3:V3,0),FALSE)</f>
        <v>k1 ; k2 ; k3 ; k4 ; k5 ; k10</v>
      </c>
      <c r="I10" s="1062"/>
      <c r="J10" s="1062"/>
      <c r="K10" s="728" t="str">
        <f>IF(S10=1,"","( keq )")</f>
        <v>( keq )</v>
      </c>
      <c r="L10" s="377"/>
      <c r="M10" s="455"/>
      <c r="R10" s="288" t="s">
        <v>1451</v>
      </c>
      <c r="S10" s="204">
        <f>COUNTA(D14:D23)</f>
        <v>6</v>
      </c>
    </row>
    <row r="11" spans="2:24" ht="18" x14ac:dyDescent="0.25">
      <c r="B11" s="369"/>
      <c r="D11" s="377" t="s">
        <v>1430</v>
      </c>
      <c r="E11" s="377" t="s">
        <v>1431</v>
      </c>
      <c r="F11" s="377" t="s">
        <v>1432</v>
      </c>
      <c r="G11" s="377" t="s">
        <v>1433</v>
      </c>
      <c r="H11" s="377" t="s">
        <v>1435</v>
      </c>
      <c r="I11" s="377" t="s">
        <v>1437</v>
      </c>
      <c r="J11" s="377" t="s">
        <v>1434</v>
      </c>
      <c r="K11" s="377" t="s">
        <v>1436</v>
      </c>
      <c r="L11" s="377"/>
      <c r="M11" s="455"/>
    </row>
    <row r="12" spans="2:24" x14ac:dyDescent="0.25">
      <c r="B12" s="369"/>
      <c r="D12" s="678">
        <v>2.4</v>
      </c>
      <c r="E12" s="678"/>
      <c r="F12" s="678"/>
      <c r="G12" s="678"/>
      <c r="H12" s="678"/>
      <c r="I12" s="678"/>
      <c r="J12" s="678"/>
      <c r="K12" s="678"/>
      <c r="L12" s="377"/>
      <c r="M12" s="455"/>
    </row>
    <row r="13" spans="2:24" ht="18" x14ac:dyDescent="0.25">
      <c r="B13" s="369"/>
      <c r="C13" s="377" t="s">
        <v>880</v>
      </c>
      <c r="D13" s="377" t="s">
        <v>1462</v>
      </c>
      <c r="E13" s="377" t="s">
        <v>1476</v>
      </c>
      <c r="F13" s="377" t="s">
        <v>1463</v>
      </c>
      <c r="G13" s="377" t="s">
        <v>1464</v>
      </c>
      <c r="H13" s="377" t="s">
        <v>1465</v>
      </c>
      <c r="I13" s="377" t="s">
        <v>1466</v>
      </c>
      <c r="J13" s="377" t="s">
        <v>1467</v>
      </c>
      <c r="K13" s="377" t="s">
        <v>1468</v>
      </c>
      <c r="L13" s="377" t="s">
        <v>1471</v>
      </c>
      <c r="M13" s="455"/>
    </row>
    <row r="14" spans="2:24" x14ac:dyDescent="0.25">
      <c r="B14" s="369"/>
      <c r="C14" s="377">
        <v>1</v>
      </c>
      <c r="D14" s="678">
        <v>484</v>
      </c>
      <c r="E14" s="737">
        <v>1.9</v>
      </c>
      <c r="F14" s="678">
        <v>12.8</v>
      </c>
      <c r="G14" s="678">
        <v>10.8</v>
      </c>
      <c r="H14" s="678"/>
      <c r="I14" s="678">
        <v>5.7</v>
      </c>
      <c r="J14" s="678"/>
      <c r="K14" s="678"/>
      <c r="L14" s="203" cm="1">
        <f t="array" ref="L14">IF(D14=0,"",1/SUMPRODUCT(IF(E14:K14&lt;&gt;0,E14:K14^-1,0)))</f>
        <v>1.1461686158142783</v>
      </c>
      <c r="M14" s="455"/>
    </row>
    <row r="15" spans="2:24" x14ac:dyDescent="0.25">
      <c r="B15" s="369"/>
      <c r="C15" s="377">
        <v>2</v>
      </c>
      <c r="D15" s="678">
        <v>404</v>
      </c>
      <c r="E15" s="737">
        <v>1.5</v>
      </c>
      <c r="F15" s="678">
        <v>10</v>
      </c>
      <c r="G15" s="678">
        <v>7</v>
      </c>
      <c r="H15" s="678"/>
      <c r="I15" s="678">
        <v>5.7</v>
      </c>
      <c r="J15" s="678"/>
      <c r="K15" s="678"/>
      <c r="L15" s="203" cm="1">
        <f t="array" ref="L15">IF(D15=0,"",1/SUMPRODUCT(IF(E15:K15&lt;&gt;0,E15:K15^-1,0)))</f>
        <v>0.92169092169092171</v>
      </c>
      <c r="M15" s="455"/>
    </row>
    <row r="16" spans="2:24" x14ac:dyDescent="0.25">
      <c r="B16" s="369"/>
      <c r="C16" s="377">
        <v>3</v>
      </c>
      <c r="D16" s="678">
        <v>324</v>
      </c>
      <c r="E16" s="737">
        <v>1.9</v>
      </c>
      <c r="F16" s="678">
        <v>12.5</v>
      </c>
      <c r="G16" s="678">
        <v>8.8000000000000007</v>
      </c>
      <c r="H16" s="678"/>
      <c r="I16" s="678">
        <v>5.7</v>
      </c>
      <c r="J16" s="678"/>
      <c r="K16" s="678"/>
      <c r="L16" s="203" cm="1">
        <f t="array" ref="L16">IF(D16=0,"",1/SUMPRODUCT(IF(E16:K16&lt;&gt;0,E16:K16^-1,0)))</f>
        <v>1.1168308366434514</v>
      </c>
      <c r="M16" s="455"/>
    </row>
    <row r="17" spans="2:21" x14ac:dyDescent="0.25">
      <c r="B17" s="369"/>
      <c r="C17" s="377">
        <v>4</v>
      </c>
      <c r="D17" s="678">
        <v>204</v>
      </c>
      <c r="E17" s="737">
        <v>1.9</v>
      </c>
      <c r="F17" s="678">
        <v>12.5</v>
      </c>
      <c r="G17" s="678">
        <v>8.8000000000000007</v>
      </c>
      <c r="H17" s="678"/>
      <c r="I17" s="678">
        <v>5.7</v>
      </c>
      <c r="J17" s="678"/>
      <c r="K17" s="678"/>
      <c r="L17" s="203" cm="1">
        <f t="array" ref="L17">IF(D17=0,"",1/SUMPRODUCT(IF(E17:K17&lt;&gt;0,E17:K17^-1,0)))</f>
        <v>1.1168308366434514</v>
      </c>
      <c r="M17" s="455"/>
    </row>
    <row r="18" spans="2:21" x14ac:dyDescent="0.25">
      <c r="B18" s="369"/>
      <c r="C18" s="377">
        <v>5</v>
      </c>
      <c r="D18" s="678">
        <v>124</v>
      </c>
      <c r="E18" s="737">
        <v>1.5</v>
      </c>
      <c r="F18" s="678">
        <v>10</v>
      </c>
      <c r="G18" s="678">
        <v>7</v>
      </c>
      <c r="H18" s="678"/>
      <c r="I18" s="678">
        <v>5.7</v>
      </c>
      <c r="J18" s="678"/>
      <c r="K18" s="678"/>
      <c r="L18" s="203" cm="1">
        <f t="array" ref="L18">IF(D18=0,"",1/SUMPRODUCT(IF(E18:K18&lt;&gt;0,E18:K18^-1,0)))</f>
        <v>0.92169092169092171</v>
      </c>
      <c r="M18" s="455"/>
    </row>
    <row r="19" spans="2:21" x14ac:dyDescent="0.25">
      <c r="B19" s="369"/>
      <c r="C19" s="377">
        <v>6</v>
      </c>
      <c r="D19" s="678">
        <v>44</v>
      </c>
      <c r="E19" s="737">
        <v>1.9</v>
      </c>
      <c r="F19" s="678">
        <v>12.9</v>
      </c>
      <c r="G19" s="678">
        <v>9.9</v>
      </c>
      <c r="H19" s="678"/>
      <c r="I19" s="678">
        <v>5.7</v>
      </c>
      <c r="J19" s="678"/>
      <c r="K19" s="678"/>
      <c r="L19" s="203" cm="1">
        <f t="array" ref="L19">IF(D19=0,"",1/SUMPRODUCT(IF(E19:K19&lt;&gt;0,E19:K19^-1,0)))</f>
        <v>1.1359971910112361</v>
      </c>
      <c r="M19" s="455"/>
    </row>
    <row r="20" spans="2:21" x14ac:dyDescent="0.25">
      <c r="B20" s="369"/>
      <c r="C20" s="377">
        <v>7</v>
      </c>
      <c r="D20" s="678"/>
      <c r="E20" s="737"/>
      <c r="F20" s="678"/>
      <c r="G20" s="678"/>
      <c r="H20" s="678"/>
      <c r="I20" s="678"/>
      <c r="J20" s="678"/>
      <c r="K20" s="678"/>
      <c r="L20" s="203" t="str" cm="1">
        <f t="array" ref="L20">IF(D20=0,"",1/SUMPRODUCT(IF(E20:K20&lt;&gt;0,E20:K20^-1,0)))</f>
        <v/>
      </c>
      <c r="M20" s="455"/>
    </row>
    <row r="21" spans="2:21" x14ac:dyDescent="0.25">
      <c r="B21" s="369"/>
      <c r="C21" s="377">
        <v>8</v>
      </c>
      <c r="D21" s="678"/>
      <c r="E21" s="737"/>
      <c r="F21" s="678"/>
      <c r="G21" s="678"/>
      <c r="H21" s="678"/>
      <c r="I21" s="678"/>
      <c r="J21" s="678"/>
      <c r="K21" s="678"/>
      <c r="L21" s="203" t="str" cm="1">
        <f t="array" ref="L21">IF(D21=0,"",1/SUMPRODUCT(IF(E21:K21&lt;&gt;0,E21:K21^-1,0)))</f>
        <v/>
      </c>
      <c r="M21" s="455"/>
    </row>
    <row r="22" spans="2:21" x14ac:dyDescent="0.25">
      <c r="B22" s="369"/>
      <c r="C22" s="377">
        <v>9</v>
      </c>
      <c r="D22" s="678"/>
      <c r="E22" s="737"/>
      <c r="F22" s="678"/>
      <c r="G22" s="678"/>
      <c r="H22" s="678"/>
      <c r="I22" s="678"/>
      <c r="J22" s="678"/>
      <c r="K22" s="678"/>
      <c r="L22" s="203" t="str" cm="1">
        <f t="array" ref="L22">IF(D22=0,"",1/SUMPRODUCT(IF(E22:K22&lt;&gt;0,E22:K22^-1,0)))</f>
        <v/>
      </c>
      <c r="M22" s="455"/>
    </row>
    <row r="23" spans="2:21" x14ac:dyDescent="0.25">
      <c r="B23" s="369"/>
      <c r="C23" s="377">
        <v>10</v>
      </c>
      <c r="D23" s="678"/>
      <c r="E23" s="737"/>
      <c r="F23" s="678"/>
      <c r="G23" s="678"/>
      <c r="H23" s="678"/>
      <c r="I23" s="678"/>
      <c r="J23" s="678"/>
      <c r="K23" s="678"/>
      <c r="L23" s="203" t="str" cm="1">
        <f t="array" ref="L23">IF(D23=0,"",1/SUMPRODUCT(IF(E23:K23&lt;&gt;0,E23:K23^-1,0)))</f>
        <v/>
      </c>
      <c r="M23" s="455"/>
    </row>
    <row r="24" spans="2:21" x14ac:dyDescent="0.25">
      <c r="B24" s="369"/>
      <c r="M24" s="455"/>
    </row>
    <row r="25" spans="2:21" ht="18" x14ac:dyDescent="0.25">
      <c r="B25" s="369"/>
      <c r="D25" s="288" t="s">
        <v>1473</v>
      </c>
      <c r="E25" s="648" cm="1">
        <f t="array" ref="E25">SUMPRODUCT(D14:D23^2,L14:L23)/SUMPRODUCT(D14:D23,L14:L23)</f>
        <v>356.33353888411222</v>
      </c>
      <c r="F25" s="521" t="s">
        <v>240</v>
      </c>
      <c r="H25" s="288" t="s">
        <v>1477</v>
      </c>
      <c r="I25" s="1063" cm="1">
        <f t="array" ref="I25">0.001*(21000*(E25)^2)/((SUMPRODUCT(IF(D12:K12&lt;&gt;0,D12:K12^-1,0)))+(E26)^-1)</f>
        <v>4241642.655859597</v>
      </c>
      <c r="J25" s="1063"/>
      <c r="K25" s="521" t="s">
        <v>629</v>
      </c>
      <c r="M25" s="455"/>
    </row>
    <row r="26" spans="2:21" ht="18" x14ac:dyDescent="0.25">
      <c r="B26" s="369"/>
      <c r="D26" s="288" t="s">
        <v>1472</v>
      </c>
      <c r="E26" s="203">
        <f>SUMPRODUCT(D14:D23,L14:L23)/E25</f>
        <v>4.7176838310633347</v>
      </c>
      <c r="F26" s="521" t="s">
        <v>240</v>
      </c>
      <c r="H26" s="288" t="s">
        <v>1922</v>
      </c>
      <c r="I26" s="1063">
        <f>I25/J7</f>
        <v>2733119.2210349753</v>
      </c>
      <c r="J26" s="1063"/>
      <c r="K26" s="521" t="s">
        <v>629</v>
      </c>
      <c r="L26" s="377"/>
      <c r="M26" s="455"/>
      <c r="R26" s="729" t="s">
        <v>1504</v>
      </c>
    </row>
    <row r="27" spans="2:21" ht="18" x14ac:dyDescent="0.25">
      <c r="B27" s="369"/>
      <c r="H27" s="288" t="s">
        <v>1923</v>
      </c>
      <c r="I27" s="1063">
        <f>I25/L7</f>
        <v>2120821.3279297985</v>
      </c>
      <c r="J27" s="1063"/>
      <c r="K27" s="521" t="s">
        <v>629</v>
      </c>
      <c r="M27" s="455"/>
      <c r="S27" s="288" t="s">
        <v>1485</v>
      </c>
      <c r="T27" s="730">
        <f>(J30*F31)/(J31*F30)</f>
        <v>0.19247646401787138</v>
      </c>
      <c r="U27" s="521" t="s">
        <v>1481</v>
      </c>
    </row>
    <row r="28" spans="2:21" ht="15.75" x14ac:dyDescent="0.25">
      <c r="B28" s="369"/>
      <c r="C28" s="727" t="str">
        <f>IF(Configuration!Y4="EN","Stiffness conditions","Conditions de rigidité")</f>
        <v>Conditions de rigidité</v>
      </c>
      <c r="M28" s="455"/>
      <c r="T28" s="288" t="s">
        <v>1493</v>
      </c>
      <c r="U28" s="521">
        <v>25</v>
      </c>
    </row>
    <row r="29" spans="2:21" x14ac:dyDescent="0.25">
      <c r="B29" s="369"/>
      <c r="D29" s="288" t="str">
        <f>IF(Configuration!Y4="EN","Connection type:","Type d'assemblage :")</f>
        <v>Type d'assemblage :</v>
      </c>
      <c r="E29" s="1064" t="s">
        <v>1493</v>
      </c>
      <c r="F29" s="1064"/>
      <c r="G29" s="1064"/>
      <c r="H29" s="1064"/>
      <c r="I29" s="1064"/>
      <c r="J29" s="1064"/>
      <c r="K29" s="1064"/>
      <c r="L29" s="1064"/>
      <c r="M29" s="455"/>
      <c r="T29" s="288" t="s">
        <v>1492</v>
      </c>
      <c r="U29" s="521">
        <v>8</v>
      </c>
    </row>
    <row r="30" spans="2:21" ht="17.25" x14ac:dyDescent="0.25">
      <c r="B30" s="369"/>
      <c r="E30" s="288" t="str">
        <f>IF(Configuration!Y4="EN","Beam length: Lb =","Longeur poutre : Lb =")</f>
        <v>Longeur poutre : Lb =</v>
      </c>
      <c r="F30" s="678">
        <v>18</v>
      </c>
      <c r="G30" s="359" t="s">
        <v>522</v>
      </c>
      <c r="I30" s="288" t="str">
        <f>IF(Configuration!Y4="EN","Beam inertia: Ib =","Inertie poutre : Ib =")</f>
        <v>Inertie poutre : Ib =</v>
      </c>
      <c r="J30" s="678">
        <v>5790</v>
      </c>
      <c r="K30" s="359" t="s">
        <v>1484</v>
      </c>
      <c r="M30" s="455"/>
      <c r="T30" s="288" t="s">
        <v>1490</v>
      </c>
      <c r="U30" s="731">
        <f>IF(OR(60/(1+2*T27)&lt;8,60/(1+2*T27)&gt;25),IF(60/(1+2*T27)&lt;8,8,25),60/(1+2*T27))</f>
        <v>25</v>
      </c>
    </row>
    <row r="31" spans="2:21" ht="17.25" x14ac:dyDescent="0.25">
      <c r="B31" s="369"/>
      <c r="E31" s="288" t="str">
        <f>IF(Configuration!Y4="EN","Column height: hc =","Hauteur poteau : hc =")</f>
        <v>Hauteur poteau : hc =</v>
      </c>
      <c r="F31" s="678">
        <v>5</v>
      </c>
      <c r="G31" s="359" t="s">
        <v>522</v>
      </c>
      <c r="I31" s="288" t="str">
        <f>IF(Configuration!Y4="EN","Column inertia: Ic =","Inertie poteau : Ic =")</f>
        <v>Inertie poteau : Ic =</v>
      </c>
      <c r="J31" s="678">
        <v>8356</v>
      </c>
      <c r="K31" s="359" t="s">
        <v>1484</v>
      </c>
      <c r="M31" s="455"/>
      <c r="T31" s="288" t="s">
        <v>1491</v>
      </c>
      <c r="U31" s="731">
        <f>IF(OR(55/(1+3*T27)&lt;8,55/(1+3*T27)&gt;25),IF(55/(1+3*T27)&lt;8,8,25),55/(1+3*T27))</f>
        <v>25</v>
      </c>
    </row>
    <row r="32" spans="2:21" ht="18" x14ac:dyDescent="0.25">
      <c r="B32" s="369"/>
      <c r="E32" s="288" t="s">
        <v>1481</v>
      </c>
      <c r="F32" s="648">
        <f>VLOOKUP(E29,T28:U35,2,FALSE)</f>
        <v>25</v>
      </c>
      <c r="M32" s="455"/>
      <c r="T32" s="288" t="s">
        <v>1487</v>
      </c>
      <c r="U32" s="521">
        <v>18</v>
      </c>
    </row>
    <row r="33" spans="2:23" ht="18" x14ac:dyDescent="0.25">
      <c r="B33" s="369"/>
      <c r="D33" s="288" t="s">
        <v>1486</v>
      </c>
      <c r="E33" s="1063">
        <f>F32*21000000000*J30*10^-8/F30</f>
        <v>1688750</v>
      </c>
      <c r="F33" s="1063"/>
      <c r="G33" s="521" t="s">
        <v>629</v>
      </c>
      <c r="I33" s="288" t="s">
        <v>1497</v>
      </c>
      <c r="J33" s="1063">
        <f>0.5*21000000000*J30*10^-8/F30</f>
        <v>33775</v>
      </c>
      <c r="K33" s="1063"/>
      <c r="L33" s="521" t="s">
        <v>629</v>
      </c>
      <c r="M33" s="455"/>
      <c r="T33" s="288" t="s">
        <v>1489</v>
      </c>
      <c r="U33" s="521">
        <v>10</v>
      </c>
    </row>
    <row r="34" spans="2:23" x14ac:dyDescent="0.25">
      <c r="B34" s="369"/>
      <c r="M34" s="455"/>
      <c r="T34" s="288" t="s">
        <v>1488</v>
      </c>
      <c r="U34" s="521">
        <v>25</v>
      </c>
    </row>
    <row r="35" spans="2:23" x14ac:dyDescent="0.25">
      <c r="B35" s="369"/>
      <c r="D35" s="441" t="str">
        <f>IF(I25&lt;=J33,"Sj,ini ≤ Spin",IF(I25&gt;=E33,"Sj,rig ≤ Sj,ini","Sj,pin &lt; Sj,ini &lt; Sj,rig"))</f>
        <v>Sj,rig ≤ Sj,ini</v>
      </c>
      <c r="G35" s="462" t="str">
        <f>IF(Configuration!Y4="EN","The connection is ","L'assemblage est ")</f>
        <v xml:space="preserve">L'assemblage est </v>
      </c>
      <c r="H35" s="441" t="str">
        <f>IF(I25&lt;=J33,IF(Configuration!Y4="EN","PINNED","ARTICULÉ"),IF(I25&gt;=E33,IF(Configuration!Y4="EN","RIGID","RIGIDE"),IF(Configuration!Y4="EN","SEMI-RIGID","SEMI-RIGIDE")))</f>
        <v>RIGIDE</v>
      </c>
      <c r="M35" s="455"/>
      <c r="T35" s="288" t="s">
        <v>1494</v>
      </c>
      <c r="U35" s="521">
        <v>30</v>
      </c>
    </row>
    <row r="36" spans="2:23" x14ac:dyDescent="0.25">
      <c r="B36" s="369"/>
      <c r="M36" s="455"/>
    </row>
    <row r="37" spans="2:23" ht="18" x14ac:dyDescent="0.25">
      <c r="B37" s="369"/>
      <c r="C37" s="727" t="str">
        <f>IF(Configuration!Y4="EN","Moment-rotation diagram","Diagramme moment-rotation")</f>
        <v>Diagramme moment-rotation</v>
      </c>
      <c r="L37" s="521"/>
      <c r="M37" s="455"/>
      <c r="O37" s="288" t="s">
        <v>1498</v>
      </c>
      <c r="P37" s="377">
        <v>0</v>
      </c>
      <c r="Q37" s="732">
        <f>(2/3)*G7/I25</f>
        <v>2.4041000528996176E-3</v>
      </c>
      <c r="R37" s="732">
        <f>(S46*G7/I25)</f>
        <v>1.077680926533074E-2</v>
      </c>
      <c r="S37" s="377"/>
      <c r="T37" s="288"/>
      <c r="U37" s="377"/>
      <c r="V37" s="732"/>
      <c r="W37" s="732"/>
    </row>
    <row r="38" spans="2:23" x14ac:dyDescent="0.25">
      <c r="B38" s="369"/>
      <c r="L38" s="521"/>
      <c r="M38" s="455"/>
      <c r="O38" s="288"/>
      <c r="P38" s="377">
        <v>0</v>
      </c>
      <c r="Q38" s="568">
        <f>(2/3)*G7</f>
        <v>10197.333333333332</v>
      </c>
      <c r="R38" s="377">
        <f>G7</f>
        <v>15296</v>
      </c>
      <c r="S38" s="377"/>
      <c r="T38" s="288"/>
      <c r="U38" s="377"/>
      <c r="V38" s="568"/>
      <c r="W38" s="377"/>
    </row>
    <row r="39" spans="2:23" ht="18" x14ac:dyDescent="0.25">
      <c r="B39" s="369"/>
      <c r="M39" s="455"/>
      <c r="O39" s="288" t="s">
        <v>1889</v>
      </c>
      <c r="P39" s="377">
        <v>0</v>
      </c>
      <c r="Q39" s="732">
        <f>G7/I26</f>
        <v>5.5965359587232802E-3</v>
      </c>
      <c r="R39" s="913" t="s">
        <v>1891</v>
      </c>
      <c r="S39" s="914">
        <f>I25/S46</f>
        <v>1419344.0399105519</v>
      </c>
      <c r="T39" s="915" t="s">
        <v>629</v>
      </c>
    </row>
    <row r="40" spans="2:23" x14ac:dyDescent="0.25">
      <c r="B40" s="369"/>
      <c r="L40" s="521"/>
      <c r="M40" s="455"/>
      <c r="O40" s="288"/>
      <c r="P40" s="377">
        <v>0</v>
      </c>
      <c r="Q40" s="377">
        <f>G7</f>
        <v>15296</v>
      </c>
      <c r="R40" s="916"/>
      <c r="S40" s="913" t="str">
        <f>IF(S39&lt;=J33,"ARTICULÉ",IF(S39&gt;=E33,"RIGIDE","SEMI-RIGIDE"))</f>
        <v>SEMI-RIGIDE</v>
      </c>
      <c r="T40" s="917" t="str">
        <f>IF(S39&lt;=J33,"Sj ≤ Spin",IF(S39&gt;=E33,"Sj,rig ≤ Sj","Sj,pin &lt; Sj &lt; Sj,rig"))</f>
        <v>Sj,pin &lt; Sj &lt; Sj,rig</v>
      </c>
    </row>
    <row r="41" spans="2:23" ht="18" x14ac:dyDescent="0.25">
      <c r="B41" s="369"/>
      <c r="L41" s="521"/>
      <c r="M41" s="455"/>
      <c r="O41" s="288" t="s">
        <v>1924</v>
      </c>
      <c r="P41" s="377">
        <v>0</v>
      </c>
      <c r="Q41" s="732">
        <f>G7/I27</f>
        <v>7.212300158698854E-3</v>
      </c>
    </row>
    <row r="42" spans="2:23" x14ac:dyDescent="0.25">
      <c r="B42" s="369"/>
      <c r="M42" s="455"/>
      <c r="O42" s="288"/>
      <c r="P42" s="377">
        <v>0</v>
      </c>
      <c r="Q42" s="377">
        <f>G7</f>
        <v>15296</v>
      </c>
    </row>
    <row r="43" spans="2:23" x14ac:dyDescent="0.25">
      <c r="B43" s="369"/>
      <c r="E43" s="377"/>
      <c r="F43" s="377"/>
      <c r="I43" s="377"/>
      <c r="J43" s="377"/>
      <c r="K43" s="377"/>
      <c r="L43" s="377"/>
      <c r="M43" s="455"/>
      <c r="O43" s="288" t="s">
        <v>1480</v>
      </c>
      <c r="P43" s="377">
        <v>0</v>
      </c>
      <c r="Q43" s="732">
        <f>MAX(R37,R50)</f>
        <v>2.102977974274254E-2</v>
      </c>
      <c r="R43" s="377"/>
      <c r="S43" s="377"/>
    </row>
    <row r="44" spans="2:23" x14ac:dyDescent="0.25">
      <c r="B44" s="369"/>
      <c r="C44" s="377"/>
      <c r="D44" s="377"/>
      <c r="E44" s="377"/>
      <c r="F44" s="377"/>
      <c r="G44" s="377"/>
      <c r="H44" s="377"/>
      <c r="I44" s="377"/>
      <c r="J44" s="377"/>
      <c r="K44" s="377"/>
      <c r="L44" s="377"/>
      <c r="M44" s="455"/>
      <c r="P44" s="377">
        <f>G7</f>
        <v>15296</v>
      </c>
      <c r="Q44" s="377">
        <f>P44</f>
        <v>15296</v>
      </c>
      <c r="R44" s="377"/>
      <c r="S44" s="377"/>
    </row>
    <row r="45" spans="2:23" ht="18" x14ac:dyDescent="0.35">
      <c r="B45" s="369"/>
      <c r="C45" s="377"/>
      <c r="D45" s="377"/>
      <c r="E45" s="377"/>
      <c r="F45" s="377"/>
      <c r="G45" s="377"/>
      <c r="H45" s="377"/>
      <c r="I45" s="377"/>
      <c r="J45" s="377"/>
      <c r="K45" s="377"/>
      <c r="L45" s="377"/>
      <c r="M45" s="455"/>
      <c r="O45" s="288" t="s">
        <v>1479</v>
      </c>
      <c r="P45" s="377">
        <v>0</v>
      </c>
      <c r="Q45" s="732">
        <f>MAX(R37,R50)</f>
        <v>2.102977974274254E-2</v>
      </c>
      <c r="R45" s="377"/>
      <c r="S45" s="733" t="s">
        <v>1495</v>
      </c>
    </row>
    <row r="46" spans="2:23" x14ac:dyDescent="0.25">
      <c r="B46" s="369"/>
      <c r="C46" s="377"/>
      <c r="D46" s="377"/>
      <c r="E46" s="377"/>
      <c r="F46" s="377"/>
      <c r="G46" s="377"/>
      <c r="H46" s="377"/>
      <c r="I46" s="377"/>
      <c r="J46" s="377"/>
      <c r="K46" s="377"/>
      <c r="L46" s="377"/>
      <c r="M46" s="455"/>
      <c r="P46" s="568">
        <f>(2/3)*G7</f>
        <v>10197.333333333332</v>
      </c>
      <c r="Q46" s="568">
        <f>P46</f>
        <v>10197.333333333332</v>
      </c>
      <c r="R46" s="377"/>
      <c r="S46" s="435">
        <f>1.5^K4</f>
        <v>2.9884527898725022</v>
      </c>
    </row>
    <row r="47" spans="2:23" x14ac:dyDescent="0.25">
      <c r="B47" s="369"/>
      <c r="C47" s="377"/>
      <c r="D47" s="377"/>
      <c r="E47" s="377"/>
      <c r="F47" s="377"/>
      <c r="G47" s="377"/>
      <c r="H47" s="377"/>
      <c r="I47" s="377"/>
      <c r="J47" s="377"/>
      <c r="K47" s="377"/>
      <c r="L47" s="377"/>
      <c r="M47" s="455"/>
      <c r="O47" s="288" t="s">
        <v>1496</v>
      </c>
      <c r="P47" s="377">
        <v>0</v>
      </c>
      <c r="Q47" s="732">
        <f>MAX(R37,R50)</f>
        <v>2.102977974274254E-2</v>
      </c>
      <c r="R47" s="377"/>
      <c r="S47" s="377"/>
    </row>
    <row r="48" spans="2:23" x14ac:dyDescent="0.25">
      <c r="B48" s="369"/>
      <c r="C48" s="377"/>
      <c r="D48" s="377"/>
      <c r="E48" s="377"/>
      <c r="F48" s="377"/>
      <c r="G48" s="377"/>
      <c r="H48" s="377"/>
      <c r="I48" s="377"/>
      <c r="J48" s="377"/>
      <c r="K48" s="377"/>
      <c r="L48" s="377"/>
      <c r="M48" s="455"/>
      <c r="P48" s="377">
        <f>D7</f>
        <v>12000</v>
      </c>
      <c r="Q48" s="377">
        <f>P48</f>
        <v>12000</v>
      </c>
      <c r="R48" s="377"/>
      <c r="S48" s="377"/>
    </row>
    <row r="49" spans="2:20" x14ac:dyDescent="0.25">
      <c r="B49" s="369"/>
      <c r="C49" s="377"/>
      <c r="D49" s="377"/>
      <c r="E49" s="377"/>
      <c r="F49" s="377"/>
      <c r="G49" s="377"/>
      <c r="H49" s="377"/>
      <c r="I49" s="377"/>
      <c r="J49" s="377"/>
      <c r="K49" s="377"/>
      <c r="L49" s="377"/>
      <c r="M49" s="455"/>
      <c r="P49" s="377"/>
      <c r="Q49" s="377"/>
      <c r="R49" s="377"/>
      <c r="S49" s="377"/>
    </row>
    <row r="50" spans="2:20" ht="18" x14ac:dyDescent="0.25">
      <c r="B50" s="369"/>
      <c r="C50" s="377"/>
      <c r="D50" s="377"/>
      <c r="E50" s="377"/>
      <c r="F50" s="377"/>
      <c r="G50" s="377"/>
      <c r="H50" s="377"/>
      <c r="I50" s="377"/>
      <c r="J50" s="377"/>
      <c r="K50" s="377"/>
      <c r="L50" s="377"/>
      <c r="M50" s="455"/>
      <c r="O50" s="288" t="s">
        <v>1482</v>
      </c>
      <c r="P50" s="377">
        <v>0</v>
      </c>
      <c r="Q50" s="732">
        <f>Q51/E33</f>
        <v>6.0383913150752521E-3</v>
      </c>
      <c r="R50" s="732">
        <f>(S46*R51/E33)-Q50</f>
        <v>2.102977974274254E-2</v>
      </c>
      <c r="S50" s="732">
        <v>0</v>
      </c>
      <c r="T50" s="912">
        <f>T51/E33</f>
        <v>9.0575869726128785E-3</v>
      </c>
    </row>
    <row r="51" spans="2:20" x14ac:dyDescent="0.25">
      <c r="B51" s="369"/>
      <c r="C51" s="377"/>
      <c r="D51" s="377"/>
      <c r="E51" s="377"/>
      <c r="F51" s="377"/>
      <c r="G51" s="377"/>
      <c r="H51" s="377"/>
      <c r="I51" s="377"/>
      <c r="J51" s="377"/>
      <c r="K51" s="377"/>
      <c r="L51" s="377"/>
      <c r="M51" s="455"/>
      <c r="P51" s="377">
        <v>0</v>
      </c>
      <c r="Q51" s="568">
        <f>(2/3)*G7</f>
        <v>10197.333333333332</v>
      </c>
      <c r="R51" s="377">
        <f>G7</f>
        <v>15296</v>
      </c>
      <c r="S51" s="377">
        <v>0</v>
      </c>
      <c r="T51" s="521">
        <f>G7</f>
        <v>15296</v>
      </c>
    </row>
    <row r="52" spans="2:20" x14ac:dyDescent="0.25">
      <c r="B52" s="369"/>
      <c r="C52" s="377"/>
      <c r="D52" s="377"/>
      <c r="E52" s="377"/>
      <c r="F52" s="377"/>
      <c r="G52" s="377"/>
      <c r="H52" s="377"/>
      <c r="I52" s="377"/>
      <c r="J52" s="377"/>
      <c r="K52" s="377"/>
      <c r="L52" s="377"/>
      <c r="M52" s="455"/>
      <c r="P52" s="377"/>
      <c r="Q52" s="377"/>
      <c r="R52" s="377"/>
      <c r="S52" s="377"/>
    </row>
    <row r="53" spans="2:20" ht="18" x14ac:dyDescent="0.25">
      <c r="B53" s="369"/>
      <c r="C53" s="377"/>
      <c r="D53" s="377"/>
      <c r="E53" s="377"/>
      <c r="F53" s="377"/>
      <c r="G53" s="377"/>
      <c r="H53" s="377"/>
      <c r="I53" s="377"/>
      <c r="J53" s="377"/>
      <c r="K53" s="377"/>
      <c r="L53" s="377"/>
      <c r="M53" s="455"/>
      <c r="O53" s="288" t="s">
        <v>1483</v>
      </c>
      <c r="P53" s="377">
        <v>0</v>
      </c>
      <c r="Q53" s="732">
        <f>MAX(R37,R50)</f>
        <v>2.102977974274254E-2</v>
      </c>
      <c r="R53" s="377"/>
      <c r="S53" s="377"/>
    </row>
    <row r="54" spans="2:20" x14ac:dyDescent="0.25">
      <c r="B54" s="369"/>
      <c r="C54" s="377"/>
      <c r="D54" s="377"/>
      <c r="E54" s="377"/>
      <c r="F54" s="377"/>
      <c r="G54" s="377"/>
      <c r="H54" s="377"/>
      <c r="I54" s="377"/>
      <c r="J54" s="377"/>
      <c r="K54" s="377"/>
      <c r="L54" s="377"/>
      <c r="M54" s="455"/>
      <c r="P54" s="377">
        <v>0</v>
      </c>
      <c r="Q54" s="568">
        <f>J33*Q53</f>
        <v>710.2808108111293</v>
      </c>
      <c r="R54" s="377"/>
      <c r="S54" s="377"/>
    </row>
    <row r="55" spans="2:20" x14ac:dyDescent="0.25">
      <c r="B55" s="369"/>
      <c r="C55" s="377"/>
      <c r="D55" s="377"/>
      <c r="E55" s="377"/>
      <c r="F55" s="377"/>
      <c r="G55" s="377"/>
      <c r="H55" s="377"/>
      <c r="I55" s="377"/>
      <c r="J55" s="377"/>
      <c r="K55" s="377"/>
      <c r="L55" s="377"/>
      <c r="M55" s="455"/>
    </row>
    <row r="56" spans="2:20" x14ac:dyDescent="0.25">
      <c r="B56" s="369"/>
      <c r="C56" s="1019" t="s">
        <v>809</v>
      </c>
      <c r="D56" s="1019"/>
      <c r="E56" s="1019"/>
      <c r="F56" s="1019"/>
      <c r="G56" s="1019"/>
      <c r="H56" s="1019"/>
      <c r="I56" s="1019"/>
      <c r="J56" s="1019"/>
      <c r="K56" s="1019"/>
      <c r="L56" s="1019"/>
      <c r="M56" s="455"/>
    </row>
    <row r="57" spans="2:20" ht="15.75" x14ac:dyDescent="0.25">
      <c r="B57" s="369"/>
      <c r="C57" s="734" t="str">
        <f>IF(Configuration!Y4="EN","Column web panel in shear","Panneau d'âme de poteau en cisaillement")</f>
        <v>Panneau d'âme de poteau en cisaillement</v>
      </c>
      <c r="L57" s="645" t="s">
        <v>1845</v>
      </c>
      <c r="M57" s="455"/>
    </row>
    <row r="58" spans="2:20" ht="18" x14ac:dyDescent="0.25">
      <c r="B58" s="369"/>
      <c r="D58" s="288" t="s">
        <v>1391</v>
      </c>
      <c r="E58" s="203">
        <f>0.38*I58/(I59*I60)</f>
        <v>9.4999999999999998E-3</v>
      </c>
      <c r="F58" s="359" t="s">
        <v>240</v>
      </c>
      <c r="G58" s="546" t="s">
        <v>1392</v>
      </c>
      <c r="H58" s="288" t="s">
        <v>1390</v>
      </c>
      <c r="I58" s="678">
        <v>65</v>
      </c>
      <c r="J58" s="359" t="s">
        <v>531</v>
      </c>
      <c r="M58" s="455"/>
    </row>
    <row r="59" spans="2:20" x14ac:dyDescent="0.25">
      <c r="B59" s="369"/>
      <c r="H59" s="288" t="s">
        <v>1393</v>
      </c>
      <c r="I59" s="678">
        <v>2</v>
      </c>
      <c r="M59" s="455"/>
    </row>
    <row r="60" spans="2:20" x14ac:dyDescent="0.25">
      <c r="B60" s="369"/>
      <c r="H60" s="288" t="s">
        <v>1394</v>
      </c>
      <c r="I60" s="678">
        <v>1300</v>
      </c>
      <c r="J60" s="359" t="s">
        <v>240</v>
      </c>
      <c r="M60" s="455"/>
    </row>
    <row r="61" spans="2:20" x14ac:dyDescent="0.25">
      <c r="B61" s="369"/>
      <c r="C61" s="1019" t="s">
        <v>809</v>
      </c>
      <c r="D61" s="1019"/>
      <c r="E61" s="1019"/>
      <c r="F61" s="1019"/>
      <c r="G61" s="1019"/>
      <c r="H61" s="1019"/>
      <c r="I61" s="1019"/>
      <c r="J61" s="1019"/>
      <c r="K61" s="1019"/>
      <c r="L61" s="1019"/>
      <c r="M61" s="455"/>
    </row>
    <row r="62" spans="2:20" ht="15.75" x14ac:dyDescent="0.25">
      <c r="B62" s="369"/>
      <c r="C62" s="734" t="str">
        <f>IF(Configuration!Y4="EN","Column web in compression","Âme de poteau comprimée")</f>
        <v>Âme de poteau comprimée</v>
      </c>
      <c r="L62" s="645" t="s">
        <v>1845</v>
      </c>
      <c r="M62" s="455"/>
    </row>
    <row r="63" spans="2:20" ht="18" x14ac:dyDescent="0.25">
      <c r="B63" s="369"/>
      <c r="D63" s="288" t="s">
        <v>1395</v>
      </c>
      <c r="E63" s="203">
        <f>0.7*I63*I64/I65</f>
        <v>10.76923076923077</v>
      </c>
      <c r="F63" s="359" t="s">
        <v>240</v>
      </c>
      <c r="G63" s="546" t="s">
        <v>1392</v>
      </c>
      <c r="H63" s="288" t="s">
        <v>1396</v>
      </c>
      <c r="I63" s="678">
        <v>500</v>
      </c>
      <c r="J63" s="359" t="s">
        <v>240</v>
      </c>
      <c r="M63" s="455"/>
    </row>
    <row r="64" spans="2:20" ht="18" x14ac:dyDescent="0.25">
      <c r="B64" s="369"/>
      <c r="H64" s="288" t="s">
        <v>1397</v>
      </c>
      <c r="I64" s="678">
        <v>40</v>
      </c>
      <c r="J64" s="359" t="s">
        <v>240</v>
      </c>
      <c r="M64" s="455"/>
    </row>
    <row r="65" spans="2:13" ht="18" x14ac:dyDescent="0.25">
      <c r="B65" s="369"/>
      <c r="H65" s="288" t="s">
        <v>1398</v>
      </c>
      <c r="I65" s="678">
        <v>1300</v>
      </c>
      <c r="J65" s="359" t="s">
        <v>240</v>
      </c>
      <c r="M65" s="455"/>
    </row>
    <row r="66" spans="2:13" x14ac:dyDescent="0.25">
      <c r="B66" s="369"/>
      <c r="C66" s="1019" t="s">
        <v>809</v>
      </c>
      <c r="D66" s="1019"/>
      <c r="E66" s="1019"/>
      <c r="F66" s="1019"/>
      <c r="G66" s="1019"/>
      <c r="H66" s="1019"/>
      <c r="I66" s="1019"/>
      <c r="J66" s="1019"/>
      <c r="K66" s="1019"/>
      <c r="L66" s="1019"/>
      <c r="M66" s="455"/>
    </row>
    <row r="67" spans="2:13" ht="15.75" x14ac:dyDescent="0.25">
      <c r="B67" s="369"/>
      <c r="C67" s="734" t="str">
        <f>IF(Configuration!Y4="EN","Column web in tension","Âme de poteau tendue")</f>
        <v>Âme de poteau tendue</v>
      </c>
      <c r="L67" s="645" t="s">
        <v>1845</v>
      </c>
      <c r="M67" s="455"/>
    </row>
    <row r="68" spans="2:13" ht="18" x14ac:dyDescent="0.25">
      <c r="B68" s="369"/>
      <c r="D68" s="288" t="s">
        <v>1400</v>
      </c>
      <c r="E68" s="203">
        <f>0.7*I68*I69/I70</f>
        <v>10.76923076923077</v>
      </c>
      <c r="F68" s="359" t="s">
        <v>240</v>
      </c>
      <c r="G68" s="546" t="s">
        <v>1392</v>
      </c>
      <c r="H68" s="288" t="s">
        <v>1399</v>
      </c>
      <c r="I68" s="678">
        <v>500</v>
      </c>
      <c r="J68" s="359" t="s">
        <v>240</v>
      </c>
      <c r="M68" s="455"/>
    </row>
    <row r="69" spans="2:13" ht="18" x14ac:dyDescent="0.25">
      <c r="B69" s="369"/>
      <c r="H69" s="288" t="s">
        <v>1397</v>
      </c>
      <c r="I69" s="678">
        <v>40</v>
      </c>
      <c r="J69" s="359" t="s">
        <v>240</v>
      </c>
      <c r="M69" s="455"/>
    </row>
    <row r="70" spans="2:13" ht="18" x14ac:dyDescent="0.25">
      <c r="B70" s="369"/>
      <c r="H70" s="288" t="s">
        <v>1398</v>
      </c>
      <c r="I70" s="678">
        <v>1300</v>
      </c>
      <c r="J70" s="359" t="s">
        <v>240</v>
      </c>
      <c r="M70" s="455"/>
    </row>
    <row r="71" spans="2:13" x14ac:dyDescent="0.25">
      <c r="B71" s="369"/>
      <c r="C71" s="1019" t="s">
        <v>809</v>
      </c>
      <c r="D71" s="1019"/>
      <c r="E71" s="1019"/>
      <c r="F71" s="1019"/>
      <c r="G71" s="1019"/>
      <c r="H71" s="1019"/>
      <c r="I71" s="1019"/>
      <c r="J71" s="1019"/>
      <c r="K71" s="1019"/>
      <c r="L71" s="1019"/>
      <c r="M71" s="455"/>
    </row>
    <row r="72" spans="2:13" x14ac:dyDescent="0.25">
      <c r="B72" s="369"/>
      <c r="C72" s="454" t="str">
        <f>IF(Configuration!Y4="EN","Column flange in bending (for a single bolt row in tension)","Semelle de poteau fléchie (pour une seule rangée de boulons tendus)")</f>
        <v>Semelle de poteau fléchie (pour une seule rangée de boulons tendus)</v>
      </c>
      <c r="L72" s="645" t="s">
        <v>1845</v>
      </c>
      <c r="M72" s="455"/>
    </row>
    <row r="73" spans="2:13" ht="18" x14ac:dyDescent="0.25">
      <c r="B73" s="369"/>
      <c r="D73" s="288" t="s">
        <v>1401</v>
      </c>
      <c r="E73" s="203">
        <f>0.9*I73*I74^3/(I75^3)</f>
        <v>7.4420662276708942</v>
      </c>
      <c r="F73" s="359" t="s">
        <v>240</v>
      </c>
      <c r="G73" s="546" t="s">
        <v>1392</v>
      </c>
      <c r="H73" s="288" t="s">
        <v>1402</v>
      </c>
      <c r="I73" s="678">
        <v>500</v>
      </c>
      <c r="J73" s="359" t="s">
        <v>240</v>
      </c>
      <c r="M73" s="455"/>
    </row>
    <row r="74" spans="2:13" ht="18" x14ac:dyDescent="0.25">
      <c r="B74" s="369"/>
      <c r="H74" s="288" t="s">
        <v>1403</v>
      </c>
      <c r="I74" s="678">
        <v>40</v>
      </c>
      <c r="J74" s="359" t="s">
        <v>240</v>
      </c>
      <c r="M74" s="455"/>
    </row>
    <row r="75" spans="2:13" x14ac:dyDescent="0.25">
      <c r="B75" s="369"/>
      <c r="H75" s="288" t="s">
        <v>714</v>
      </c>
      <c r="I75" s="678">
        <v>157</v>
      </c>
      <c r="J75" s="359" t="s">
        <v>240</v>
      </c>
      <c r="M75" s="455"/>
    </row>
    <row r="76" spans="2:13" x14ac:dyDescent="0.25">
      <c r="B76" s="369"/>
      <c r="C76" s="1019" t="s">
        <v>809</v>
      </c>
      <c r="D76" s="1019"/>
      <c r="E76" s="1019"/>
      <c r="F76" s="1019"/>
      <c r="G76" s="1019"/>
      <c r="H76" s="1019"/>
      <c r="I76" s="1019"/>
      <c r="J76" s="1019"/>
      <c r="K76" s="1019"/>
      <c r="L76" s="1019"/>
      <c r="M76" s="455"/>
    </row>
    <row r="77" spans="2:13" x14ac:dyDescent="0.25">
      <c r="B77" s="369"/>
      <c r="C77" s="454" t="str">
        <f>IF(Configuration!Y4="EN","End plate in bending (for a single bolt row in tension)","Platine d'about fléchie (pour une seule rangée de boulons tendus)")</f>
        <v>Platine d'about fléchie (pour une seule rangée de boulons tendus)</v>
      </c>
      <c r="L77" s="645" t="s">
        <v>1845</v>
      </c>
      <c r="M77" s="455"/>
    </row>
    <row r="78" spans="2:13" ht="18" x14ac:dyDescent="0.25">
      <c r="B78" s="369"/>
      <c r="D78" s="288" t="s">
        <v>1404</v>
      </c>
      <c r="E78" s="203">
        <f>0.9*I78*I79^3/(I80^3)</f>
        <v>7.4420662276708942</v>
      </c>
      <c r="F78" s="359" t="s">
        <v>240</v>
      </c>
      <c r="G78" s="546" t="s">
        <v>1392</v>
      </c>
      <c r="H78" s="288" t="s">
        <v>1402</v>
      </c>
      <c r="I78" s="678">
        <v>500</v>
      </c>
      <c r="J78" s="359" t="s">
        <v>240</v>
      </c>
      <c r="M78" s="455"/>
    </row>
    <row r="79" spans="2:13" ht="18" x14ac:dyDescent="0.25">
      <c r="B79" s="369"/>
      <c r="H79" s="288" t="s">
        <v>802</v>
      </c>
      <c r="I79" s="678">
        <v>40</v>
      </c>
      <c r="J79" s="359" t="s">
        <v>240</v>
      </c>
      <c r="M79" s="455"/>
    </row>
    <row r="80" spans="2:13" x14ac:dyDescent="0.25">
      <c r="B80" s="369"/>
      <c r="H80" s="288" t="s">
        <v>714</v>
      </c>
      <c r="I80" s="678">
        <v>157</v>
      </c>
      <c r="J80" s="359" t="s">
        <v>240</v>
      </c>
      <c r="M80" s="455"/>
    </row>
    <row r="81" spans="2:13" x14ac:dyDescent="0.25">
      <c r="B81" s="369"/>
      <c r="C81" s="1019" t="s">
        <v>809</v>
      </c>
      <c r="D81" s="1019"/>
      <c r="E81" s="1019"/>
      <c r="F81" s="1019"/>
      <c r="G81" s="1019"/>
      <c r="H81" s="1019"/>
      <c r="I81" s="1019"/>
      <c r="J81" s="1019"/>
      <c r="K81" s="1019"/>
      <c r="L81" s="1019"/>
      <c r="M81" s="455"/>
    </row>
    <row r="82" spans="2:13" ht="15.75" x14ac:dyDescent="0.25">
      <c r="B82" s="369"/>
      <c r="C82" s="734" t="str">
        <f>IF(Configuration!Y4="EN","Flange cleat in bending","Cornière de semelle fléchie")</f>
        <v>Cornière de semelle fléchie</v>
      </c>
      <c r="L82" s="645" t="s">
        <v>1845</v>
      </c>
      <c r="M82" s="455"/>
    </row>
    <row r="83" spans="2:13" ht="18" x14ac:dyDescent="0.25">
      <c r="B83" s="369"/>
      <c r="D83" s="288" t="s">
        <v>1405</v>
      </c>
      <c r="E83" s="203">
        <f>0.9*I83*I84^3/(I85^3)</f>
        <v>7.4420662276708942</v>
      </c>
      <c r="F83" s="359" t="s">
        <v>240</v>
      </c>
      <c r="G83" s="546" t="s">
        <v>1392</v>
      </c>
      <c r="H83" s="288" t="s">
        <v>1402</v>
      </c>
      <c r="I83" s="678">
        <v>500</v>
      </c>
      <c r="J83" s="359" t="s">
        <v>240</v>
      </c>
      <c r="M83" s="455"/>
    </row>
    <row r="84" spans="2:13" ht="18" x14ac:dyDescent="0.25">
      <c r="B84" s="369"/>
      <c r="H84" s="288" t="s">
        <v>1406</v>
      </c>
      <c r="I84" s="678">
        <v>40</v>
      </c>
      <c r="J84" s="359" t="s">
        <v>240</v>
      </c>
      <c r="M84" s="455"/>
    </row>
    <row r="85" spans="2:13" x14ac:dyDescent="0.25">
      <c r="B85" s="369"/>
      <c r="H85" s="288" t="s">
        <v>714</v>
      </c>
      <c r="I85" s="678">
        <v>157</v>
      </c>
      <c r="J85" s="359" t="s">
        <v>240</v>
      </c>
      <c r="M85" s="455"/>
    </row>
    <row r="86" spans="2:13" x14ac:dyDescent="0.25">
      <c r="B86" s="369"/>
      <c r="C86" s="1019" t="s">
        <v>809</v>
      </c>
      <c r="D86" s="1019"/>
      <c r="E86" s="1019"/>
      <c r="F86" s="1019"/>
      <c r="G86" s="1019"/>
      <c r="H86" s="1019"/>
      <c r="I86" s="1019"/>
      <c r="J86" s="1019"/>
      <c r="K86" s="1019"/>
      <c r="L86" s="1019"/>
      <c r="M86" s="455"/>
    </row>
    <row r="87" spans="2:13" x14ac:dyDescent="0.25">
      <c r="B87" s="369"/>
      <c r="C87" s="454" t="str">
        <f>IF(Configuration!Y4="EN","Bolts in tension (for a single bolt row in tension)","Boulons tendus (pour une seule rangée de boulons tendus)")</f>
        <v>Boulons tendus (pour une seule rangée de boulons tendus)</v>
      </c>
      <c r="L87" s="645" t="s">
        <v>1845</v>
      </c>
      <c r="M87" s="455"/>
    </row>
    <row r="88" spans="2:13" ht="18" x14ac:dyDescent="0.25">
      <c r="B88" s="369"/>
      <c r="D88" s="288" t="s">
        <v>1407</v>
      </c>
      <c r="E88" s="203">
        <f>1.6*I89/I90</f>
        <v>5.7090909090909099</v>
      </c>
      <c r="F88" s="359" t="s">
        <v>240</v>
      </c>
      <c r="G88" s="546" t="s">
        <v>1392</v>
      </c>
      <c r="H88" s="288" t="s">
        <v>733</v>
      </c>
      <c r="I88" s="678">
        <v>16</v>
      </c>
      <c r="J88" s="359" t="s">
        <v>240</v>
      </c>
      <c r="M88" s="455"/>
    </row>
    <row r="89" spans="2:13" ht="18" x14ac:dyDescent="0.25">
      <c r="B89" s="369"/>
      <c r="D89" s="288"/>
      <c r="G89" s="546"/>
      <c r="H89" s="288" t="s">
        <v>646</v>
      </c>
      <c r="I89" s="377">
        <f>VLOOKUP(I88,Data!K3:O20,5,FALSE)</f>
        <v>157</v>
      </c>
      <c r="J89" s="359" t="s">
        <v>531</v>
      </c>
      <c r="M89" s="455"/>
    </row>
    <row r="90" spans="2:13" ht="18" x14ac:dyDescent="0.25">
      <c r="B90" s="369"/>
      <c r="H90" s="288" t="s">
        <v>1427</v>
      </c>
      <c r="I90" s="678">
        <v>44</v>
      </c>
      <c r="J90" s="359" t="s">
        <v>240</v>
      </c>
      <c r="M90" s="455"/>
    </row>
    <row r="91" spans="2:13" x14ac:dyDescent="0.25">
      <c r="B91" s="369"/>
      <c r="C91" s="1019" t="s">
        <v>809</v>
      </c>
      <c r="D91" s="1019"/>
      <c r="E91" s="1019"/>
      <c r="F91" s="1019"/>
      <c r="G91" s="1019"/>
      <c r="H91" s="1019"/>
      <c r="I91" s="1019"/>
      <c r="J91" s="1019"/>
      <c r="K91" s="1019"/>
      <c r="L91" s="1019"/>
      <c r="M91" s="455"/>
    </row>
    <row r="92" spans="2:13" ht="15.75" x14ac:dyDescent="0.25">
      <c r="B92" s="369"/>
      <c r="C92" s="734" t="str">
        <f>IF(Configuration!Y4="EN","Bolts in shear","Boulons en cisaillement")</f>
        <v>Boulons en cisaillement</v>
      </c>
      <c r="L92" s="645" t="s">
        <v>1845</v>
      </c>
      <c r="M92" s="455"/>
    </row>
    <row r="93" spans="2:13" ht="18" x14ac:dyDescent="0.25">
      <c r="B93" s="369"/>
      <c r="E93" s="288" t="s">
        <v>1410</v>
      </c>
      <c r="F93" s="203">
        <f>16*I93*I94^2*I95/(210000*16)</f>
        <v>3.0476190476190474</v>
      </c>
      <c r="G93" s="359" t="s">
        <v>240</v>
      </c>
      <c r="H93" s="288" t="s">
        <v>1500</v>
      </c>
      <c r="I93" s="678">
        <v>8</v>
      </c>
      <c r="J93" s="377"/>
      <c r="L93" s="377"/>
      <c r="M93" s="455"/>
    </row>
    <row r="94" spans="2:13" x14ac:dyDescent="0.25">
      <c r="B94" s="369"/>
      <c r="H94" s="288" t="s">
        <v>733</v>
      </c>
      <c r="I94" s="678">
        <v>10</v>
      </c>
      <c r="J94" s="359" t="s">
        <v>240</v>
      </c>
      <c r="M94" s="455"/>
    </row>
    <row r="95" spans="2:13" ht="18" x14ac:dyDescent="0.25">
      <c r="B95" s="369"/>
      <c r="F95" s="288" t="s">
        <v>763</v>
      </c>
      <c r="G95" s="678">
        <v>8.8000000000000007</v>
      </c>
      <c r="H95" s="288" t="s">
        <v>645</v>
      </c>
      <c r="I95" s="377">
        <f>10*VLOOKUP(G95,Data!F3:H12,3,FALSE)</f>
        <v>800</v>
      </c>
      <c r="J95" s="359" t="s">
        <v>1176</v>
      </c>
      <c r="M95" s="455"/>
    </row>
    <row r="96" spans="2:13" x14ac:dyDescent="0.25">
      <c r="B96" s="369"/>
      <c r="C96" s="1019" t="s">
        <v>809</v>
      </c>
      <c r="D96" s="1019"/>
      <c r="E96" s="1019"/>
      <c r="F96" s="1019"/>
      <c r="G96" s="1019"/>
      <c r="H96" s="1019"/>
      <c r="I96" s="1019"/>
      <c r="J96" s="1019"/>
      <c r="K96" s="1019"/>
      <c r="L96" s="1019"/>
      <c r="M96" s="455"/>
    </row>
    <row r="97" spans="2:13" x14ac:dyDescent="0.25">
      <c r="B97" s="369"/>
      <c r="C97" s="454" t="str">
        <f>IF(Configuration!Y4="EN","Bolts in bearing (for each component j on which the bolt bears)","Boulons en pression diamétrale (pour chaque composant j sur lequel le boulon s'appuie)")</f>
        <v>Boulons en pression diamétrale (pour chaque composant j sur lequel le boulon s'appuie)</v>
      </c>
      <c r="L97" s="645" t="s">
        <v>1845</v>
      </c>
      <c r="M97" s="455"/>
    </row>
    <row r="98" spans="2:13" ht="18" x14ac:dyDescent="0.25">
      <c r="B98" s="369"/>
      <c r="E98" s="288" t="s">
        <v>1411</v>
      </c>
      <c r="F98" s="203">
        <f>24*E99*E100*E103*J102*J104/210000</f>
        <v>84.000000000000028</v>
      </c>
      <c r="G98" s="359" t="s">
        <v>240</v>
      </c>
      <c r="M98" s="455"/>
    </row>
    <row r="99" spans="2:13" ht="18" x14ac:dyDescent="0.25">
      <c r="B99" s="369"/>
      <c r="C99" s="735" t="s">
        <v>1392</v>
      </c>
      <c r="D99" s="288" t="s">
        <v>1409</v>
      </c>
      <c r="E99" s="678">
        <v>6</v>
      </c>
      <c r="I99" s="521" t="s">
        <v>1414</v>
      </c>
      <c r="M99" s="455"/>
    </row>
    <row r="100" spans="2:13" ht="18" x14ac:dyDescent="0.25">
      <c r="B100" s="369"/>
      <c r="D100" s="288" t="s">
        <v>1412</v>
      </c>
      <c r="E100" s="435">
        <f>IF(E101&gt;E102,E102,E101)</f>
        <v>1.0208333333333335</v>
      </c>
      <c r="F100" s="359" t="s">
        <v>240</v>
      </c>
      <c r="G100" s="1065" t="s">
        <v>1422</v>
      </c>
      <c r="H100" s="1065"/>
      <c r="I100" s="288" t="s">
        <v>1415</v>
      </c>
      <c r="J100" s="678">
        <v>100</v>
      </c>
      <c r="K100" s="359" t="s">
        <v>240</v>
      </c>
      <c r="M100" s="455"/>
    </row>
    <row r="101" spans="2:13" ht="18" x14ac:dyDescent="0.25">
      <c r="B101" s="369"/>
      <c r="D101" s="288" t="s">
        <v>1413</v>
      </c>
      <c r="E101" s="435">
        <f>IF(0.5+0.25*J100/J102&gt;1.25,1.25,0.5+0.25*J100/J102)</f>
        <v>1.0208333333333335</v>
      </c>
      <c r="F101" s="359" t="s">
        <v>240</v>
      </c>
      <c r="G101" s="1065" t="s">
        <v>1420</v>
      </c>
      <c r="H101" s="1065"/>
      <c r="I101" s="288" t="s">
        <v>1416</v>
      </c>
      <c r="J101" s="678">
        <v>220</v>
      </c>
      <c r="K101" s="359" t="s">
        <v>240</v>
      </c>
      <c r="M101" s="455"/>
    </row>
    <row r="102" spans="2:13" ht="18" x14ac:dyDescent="0.25">
      <c r="B102" s="369"/>
      <c r="D102" s="288" t="s">
        <v>1417</v>
      </c>
      <c r="E102" s="377">
        <f>IF(0.375+0.25*J101/J102&gt;1.25,1.25,0.375+0.25*J101/J102)</f>
        <v>1.25</v>
      </c>
      <c r="F102" s="359" t="s">
        <v>240</v>
      </c>
      <c r="G102" s="1065" t="s">
        <v>1420</v>
      </c>
      <c r="H102" s="1065"/>
      <c r="I102" s="288" t="s">
        <v>733</v>
      </c>
      <c r="J102" s="678">
        <v>48</v>
      </c>
      <c r="K102" s="359" t="s">
        <v>240</v>
      </c>
      <c r="M102" s="455"/>
    </row>
    <row r="103" spans="2:13" ht="18" x14ac:dyDescent="0.25">
      <c r="B103" s="369"/>
      <c r="D103" s="288" t="s">
        <v>1419</v>
      </c>
      <c r="E103" s="377">
        <f>1.25*J103/16</f>
        <v>3.125</v>
      </c>
      <c r="F103" s="359" t="s">
        <v>240</v>
      </c>
      <c r="G103" s="1065" t="s">
        <v>1421</v>
      </c>
      <c r="H103" s="1065"/>
      <c r="I103" s="288" t="s">
        <v>1418</v>
      </c>
      <c r="J103" s="678">
        <v>40</v>
      </c>
      <c r="K103" s="359" t="s">
        <v>240</v>
      </c>
      <c r="M103" s="455"/>
    </row>
    <row r="104" spans="2:13" ht="18" x14ac:dyDescent="0.25">
      <c r="B104" s="369"/>
      <c r="D104" s="288"/>
      <c r="E104" s="377"/>
      <c r="G104" s="288" t="s">
        <v>763</v>
      </c>
      <c r="H104" s="678">
        <v>8.8000000000000007</v>
      </c>
      <c r="I104" s="288" t="s">
        <v>645</v>
      </c>
      <c r="J104" s="377">
        <f>10*VLOOKUP(H104,Data!F3:H12,3,FALSE)</f>
        <v>800</v>
      </c>
      <c r="K104" s="359" t="s">
        <v>1176</v>
      </c>
      <c r="M104" s="455"/>
    </row>
    <row r="105" spans="2:13" x14ac:dyDescent="0.25">
      <c r="B105" s="369"/>
      <c r="C105" s="1019" t="s">
        <v>809</v>
      </c>
      <c r="D105" s="1019"/>
      <c r="E105" s="1019"/>
      <c r="F105" s="1019"/>
      <c r="G105" s="1019"/>
      <c r="H105" s="1019"/>
      <c r="I105" s="1019"/>
      <c r="J105" s="1019"/>
      <c r="K105" s="1019"/>
      <c r="L105" s="1019"/>
      <c r="M105" s="455"/>
    </row>
    <row r="106" spans="2:13" x14ac:dyDescent="0.25">
      <c r="B106" s="369"/>
      <c r="C106" s="454" t="str">
        <f>IF(Configuration!Y4="EN","Concrete in compression (including grout)","Béton comprimé (scellement compris)")</f>
        <v>Béton comprimé (scellement compris)</v>
      </c>
      <c r="L106" s="645" t="s">
        <v>1845</v>
      </c>
      <c r="M106" s="455"/>
    </row>
    <row r="107" spans="2:13" ht="18" x14ac:dyDescent="0.25">
      <c r="B107" s="369"/>
      <c r="E107" s="288" t="s">
        <v>1503</v>
      </c>
      <c r="F107" s="203">
        <f>J109*SQRT(J107*J108)/(1.275*210000)</f>
        <v>21.662350440606481</v>
      </c>
      <c r="G107" s="359" t="s">
        <v>240</v>
      </c>
      <c r="H107" s="546" t="s">
        <v>1392</v>
      </c>
      <c r="I107" s="288" t="s">
        <v>1423</v>
      </c>
      <c r="J107" s="678">
        <v>60</v>
      </c>
      <c r="K107" s="359" t="s">
        <v>240</v>
      </c>
      <c r="M107" s="455"/>
    </row>
    <row r="108" spans="2:13" ht="18" x14ac:dyDescent="0.25">
      <c r="B108" s="369"/>
      <c r="I108" s="288" t="s">
        <v>1402</v>
      </c>
      <c r="J108" s="678">
        <v>520</v>
      </c>
      <c r="K108" s="359" t="s">
        <v>240</v>
      </c>
      <c r="M108" s="455"/>
    </row>
    <row r="109" spans="2:13" ht="18" x14ac:dyDescent="0.25">
      <c r="B109" s="369"/>
      <c r="G109" s="288" t="s">
        <v>1502</v>
      </c>
      <c r="H109" s="678" t="s">
        <v>472</v>
      </c>
      <c r="I109" s="288" t="s">
        <v>1501</v>
      </c>
      <c r="J109" s="568">
        <f>1000*VLOOKUP(H109,Data!A40:H128,8,FALSE)</f>
        <v>32836.568031330789</v>
      </c>
      <c r="K109" s="359" t="s">
        <v>1184</v>
      </c>
      <c r="M109" s="455"/>
    </row>
    <row r="110" spans="2:13" x14ac:dyDescent="0.25">
      <c r="B110" s="369"/>
      <c r="C110" s="1019" t="s">
        <v>809</v>
      </c>
      <c r="D110" s="1019"/>
      <c r="E110" s="1019"/>
      <c r="F110" s="1019"/>
      <c r="G110" s="1019"/>
      <c r="H110" s="1019"/>
      <c r="I110" s="1019"/>
      <c r="J110" s="1019"/>
      <c r="K110" s="1019"/>
      <c r="L110" s="1019"/>
      <c r="M110" s="455"/>
    </row>
    <row r="111" spans="2:13" x14ac:dyDescent="0.25">
      <c r="B111" s="369"/>
      <c r="C111" s="454" t="str">
        <f>IF(Configuration!Y4="EN","Base plate in bending under tension - With prying action","Plaque d'about de pied de poteau fléchie sous l'effet de la traction - Avec effet de levier")</f>
        <v>Plaque d'about de pied de poteau fléchie sous l'effet de la traction - Avec effet de levier</v>
      </c>
      <c r="L111" s="760" t="s">
        <v>1845</v>
      </c>
      <c r="M111" s="455"/>
    </row>
    <row r="112" spans="2:13" x14ac:dyDescent="0.25">
      <c r="B112" s="369"/>
      <c r="C112" s="736" t="str">
        <f>IF(Configuration!Y4="EN","(for a single bolt row in tension)","(pour une seule rangée de boulons tendus)")</f>
        <v>(pour une seule rangée de boulons tendus)</v>
      </c>
      <c r="M112" s="455"/>
    </row>
    <row r="113" spans="2:13" ht="18" x14ac:dyDescent="0.25">
      <c r="B113" s="369"/>
      <c r="D113" s="288" t="s">
        <v>1424</v>
      </c>
      <c r="E113" s="203">
        <f>0.85*I113*I114^3/I115^3</f>
        <v>7.0286181039114002</v>
      </c>
      <c r="F113" s="359" t="s">
        <v>240</v>
      </c>
      <c r="G113" s="546" t="s">
        <v>1392</v>
      </c>
      <c r="H113" s="288" t="s">
        <v>1402</v>
      </c>
      <c r="I113" s="678">
        <v>500</v>
      </c>
      <c r="J113" s="359" t="s">
        <v>240</v>
      </c>
      <c r="M113" s="455"/>
    </row>
    <row r="114" spans="2:13" ht="18" x14ac:dyDescent="0.25">
      <c r="B114" s="369"/>
      <c r="H114" s="288" t="s">
        <v>802</v>
      </c>
      <c r="I114" s="678">
        <v>40</v>
      </c>
      <c r="J114" s="359" t="s">
        <v>240</v>
      </c>
      <c r="M114" s="455"/>
    </row>
    <row r="115" spans="2:13" x14ac:dyDescent="0.25">
      <c r="B115" s="369"/>
      <c r="H115" s="288" t="s">
        <v>714</v>
      </c>
      <c r="I115" s="678">
        <v>157</v>
      </c>
      <c r="J115" s="359" t="s">
        <v>240</v>
      </c>
      <c r="M115" s="455"/>
    </row>
    <row r="116" spans="2:13" x14ac:dyDescent="0.25">
      <c r="B116" s="369"/>
      <c r="C116" s="1019" t="s">
        <v>809</v>
      </c>
      <c r="D116" s="1019"/>
      <c r="E116" s="1019"/>
      <c r="F116" s="1019"/>
      <c r="G116" s="1019"/>
      <c r="H116" s="1019"/>
      <c r="I116" s="1019"/>
      <c r="J116" s="1019"/>
      <c r="K116" s="1019"/>
      <c r="L116" s="1019"/>
      <c r="M116" s="455"/>
    </row>
    <row r="117" spans="2:13" x14ac:dyDescent="0.25">
      <c r="B117" s="369"/>
      <c r="C117" s="454" t="str">
        <f>IF(Configuration!Y4="EN","Base plate in bending under tension - Without prying action","Plaque d'about de pied de poteau fléchie sous l'effet de la traction - Sans effet de levier")</f>
        <v>Plaque d'about de pied de poteau fléchie sous l'effet de la traction - Sans effet de levier</v>
      </c>
      <c r="L117" s="760" t="s">
        <v>1845</v>
      </c>
      <c r="M117" s="455"/>
    </row>
    <row r="118" spans="2:13" x14ac:dyDescent="0.25">
      <c r="B118" s="369"/>
      <c r="C118" s="736" t="str">
        <f>IF(Configuration!Y4="EN","(for a single bolt row in tension)","(pour une seule rangée de boulons tendus)")</f>
        <v>(pour une seule rangée de boulons tendus)</v>
      </c>
      <c r="M118" s="455"/>
    </row>
    <row r="119" spans="2:13" ht="18" x14ac:dyDescent="0.25">
      <c r="B119" s="369"/>
      <c r="D119" s="288" t="s">
        <v>1425</v>
      </c>
      <c r="E119" s="203">
        <f>0.425*I119*I120^3/I121^3</f>
        <v>3.5143090519557001</v>
      </c>
      <c r="F119" s="359" t="s">
        <v>240</v>
      </c>
      <c r="G119" s="546" t="s">
        <v>1392</v>
      </c>
      <c r="H119" s="288" t="s">
        <v>1402</v>
      </c>
      <c r="I119" s="678">
        <v>500</v>
      </c>
      <c r="J119" s="359" t="s">
        <v>240</v>
      </c>
      <c r="M119" s="455"/>
    </row>
    <row r="120" spans="2:13" ht="18" x14ac:dyDescent="0.25">
      <c r="B120" s="369"/>
      <c r="H120" s="288" t="s">
        <v>802</v>
      </c>
      <c r="I120" s="678">
        <v>40</v>
      </c>
      <c r="J120" s="359" t="s">
        <v>240</v>
      </c>
      <c r="M120" s="455"/>
    </row>
    <row r="121" spans="2:13" x14ac:dyDescent="0.25">
      <c r="B121" s="369"/>
      <c r="H121" s="288" t="s">
        <v>714</v>
      </c>
      <c r="I121" s="678">
        <v>157</v>
      </c>
      <c r="J121" s="359" t="s">
        <v>240</v>
      </c>
      <c r="M121" s="455"/>
    </row>
    <row r="122" spans="2:13" x14ac:dyDescent="0.25">
      <c r="B122" s="369"/>
      <c r="C122" s="1019" t="s">
        <v>809</v>
      </c>
      <c r="D122" s="1019"/>
      <c r="E122" s="1019"/>
      <c r="F122" s="1019"/>
      <c r="G122" s="1019"/>
      <c r="H122" s="1019"/>
      <c r="I122" s="1019"/>
      <c r="J122" s="1019"/>
      <c r="K122" s="1019"/>
      <c r="L122" s="1019"/>
      <c r="M122" s="455"/>
    </row>
    <row r="123" spans="2:13" x14ac:dyDescent="0.25">
      <c r="B123" s="369"/>
      <c r="C123" s="454" t="str">
        <f>IF(Configuration!Y4="EN","Anchor bolts in tension - With prying action","Boulons d'ancrage tendus - Avec effet de levier")</f>
        <v>Boulons d'ancrage tendus - Avec effet de levier</v>
      </c>
      <c r="L123" s="645" t="s">
        <v>1845</v>
      </c>
      <c r="M123" s="455"/>
    </row>
    <row r="124" spans="2:13" ht="18" x14ac:dyDescent="0.25">
      <c r="B124" s="369"/>
      <c r="D124" s="288" t="s">
        <v>1426</v>
      </c>
      <c r="E124" s="203">
        <f>1.6*I125/I126</f>
        <v>6.1416666666666666</v>
      </c>
      <c r="F124" s="359" t="s">
        <v>240</v>
      </c>
      <c r="G124" s="546" t="s">
        <v>1392</v>
      </c>
      <c r="H124" s="288" t="s">
        <v>733</v>
      </c>
      <c r="I124" s="678">
        <v>48</v>
      </c>
      <c r="J124" s="359" t="s">
        <v>240</v>
      </c>
      <c r="M124" s="455"/>
    </row>
    <row r="125" spans="2:13" ht="18" x14ac:dyDescent="0.25">
      <c r="B125" s="369"/>
      <c r="H125" s="288" t="s">
        <v>646</v>
      </c>
      <c r="I125" s="377">
        <f>VLOOKUP(I124,Data!K3:O20,5,FALSE)</f>
        <v>1474</v>
      </c>
      <c r="J125" s="359" t="s">
        <v>531</v>
      </c>
      <c r="M125" s="455"/>
    </row>
    <row r="126" spans="2:13" ht="18" x14ac:dyDescent="0.25">
      <c r="B126" s="369"/>
      <c r="H126" s="288" t="s">
        <v>1427</v>
      </c>
      <c r="I126" s="377">
        <f>8*I124</f>
        <v>384</v>
      </c>
      <c r="J126" s="359" t="s">
        <v>240</v>
      </c>
      <c r="M126" s="455"/>
    </row>
    <row r="127" spans="2:13" x14ac:dyDescent="0.25">
      <c r="B127" s="369"/>
      <c r="C127" s="1019" t="s">
        <v>809</v>
      </c>
      <c r="D127" s="1019"/>
      <c r="E127" s="1019"/>
      <c r="F127" s="1019"/>
      <c r="G127" s="1019"/>
      <c r="H127" s="1019"/>
      <c r="I127" s="1019"/>
      <c r="J127" s="1019"/>
      <c r="K127" s="1019"/>
      <c r="L127" s="1019"/>
      <c r="M127" s="455"/>
    </row>
    <row r="128" spans="2:13" x14ac:dyDescent="0.25">
      <c r="B128" s="369"/>
      <c r="C128" s="454" t="str">
        <f>IF(Configuration!Y4="EN","Anchor bolts in tension - Without prying action","Boulons d'ancrage tendus - Sans effet de levier")</f>
        <v>Boulons d'ancrage tendus - Sans effet de levier</v>
      </c>
      <c r="L128" s="645" t="s">
        <v>1845</v>
      </c>
      <c r="M128" s="455"/>
    </row>
    <row r="129" spans="2:13" ht="18" x14ac:dyDescent="0.25">
      <c r="B129" s="369"/>
      <c r="D129" s="288" t="s">
        <v>1428</v>
      </c>
      <c r="E129" s="203">
        <f>2*I130/I131</f>
        <v>7.677083333333333</v>
      </c>
      <c r="F129" s="359" t="s">
        <v>240</v>
      </c>
      <c r="G129" s="546" t="s">
        <v>1392</v>
      </c>
      <c r="H129" s="288" t="s">
        <v>733</v>
      </c>
      <c r="I129" s="678">
        <v>48</v>
      </c>
      <c r="J129" s="359" t="s">
        <v>240</v>
      </c>
      <c r="M129" s="455"/>
    </row>
    <row r="130" spans="2:13" ht="18" x14ac:dyDescent="0.25">
      <c r="B130" s="369"/>
      <c r="H130" s="288" t="s">
        <v>646</v>
      </c>
      <c r="I130" s="377">
        <f>VLOOKUP(I129,Data!K3:O20,5,FALSE)</f>
        <v>1474</v>
      </c>
      <c r="J130" s="359" t="s">
        <v>531</v>
      </c>
      <c r="M130" s="455"/>
    </row>
    <row r="131" spans="2:13" ht="18" x14ac:dyDescent="0.25">
      <c r="B131" s="369"/>
      <c r="H131" s="288" t="s">
        <v>1443</v>
      </c>
      <c r="I131" s="377">
        <f>8*I129</f>
        <v>384</v>
      </c>
      <c r="J131" s="359" t="s">
        <v>240</v>
      </c>
      <c r="M131" s="455"/>
    </row>
    <row r="132" spans="2:13" x14ac:dyDescent="0.25">
      <c r="B132" s="369"/>
      <c r="C132" s="1019" t="s">
        <v>809</v>
      </c>
      <c r="D132" s="1019"/>
      <c r="E132" s="1019"/>
      <c r="F132" s="1019"/>
      <c r="G132" s="1019"/>
      <c r="H132" s="1019"/>
      <c r="I132" s="1019"/>
      <c r="J132" s="1019"/>
      <c r="K132" s="1019"/>
      <c r="L132" s="1019"/>
      <c r="M132" s="455"/>
    </row>
    <row r="133" spans="2:13" x14ac:dyDescent="0.25">
      <c r="B133" s="369"/>
      <c r="C133" s="454" t="str">
        <f>IF(Configuration!Y4="EN","Prying action check","Vérification de l'effet de levier")</f>
        <v>Vérification de l'effet de levier</v>
      </c>
      <c r="L133" s="645" t="s">
        <v>1845</v>
      </c>
      <c r="M133" s="455"/>
    </row>
    <row r="134" spans="2:13" ht="18" x14ac:dyDescent="0.25">
      <c r="B134" s="369"/>
      <c r="C134" s="288" t="s">
        <v>1443</v>
      </c>
      <c r="D134" s="568">
        <f>8*I136</f>
        <v>384</v>
      </c>
      <c r="E134" s="359" t="s">
        <v>240</v>
      </c>
      <c r="F134" s="377" t="str">
        <f>IF(D134&lt;=I134,"≤","&gt;")</f>
        <v>≤</v>
      </c>
      <c r="H134" s="288" t="s">
        <v>1429</v>
      </c>
      <c r="I134" s="648">
        <f>8.8*I135^3*I137/(I138*I139^3)</f>
        <v>1452.4640069907409</v>
      </c>
      <c r="J134" s="359" t="s">
        <v>240</v>
      </c>
      <c r="M134" s="455"/>
    </row>
    <row r="135" spans="2:13" x14ac:dyDescent="0.25">
      <c r="B135" s="369"/>
      <c r="G135" s="546" t="s">
        <v>1392</v>
      </c>
      <c r="H135" s="288" t="s">
        <v>714</v>
      </c>
      <c r="I135" s="678">
        <v>157</v>
      </c>
      <c r="J135" s="359" t="s">
        <v>240</v>
      </c>
      <c r="M135" s="455"/>
    </row>
    <row r="136" spans="2:13" x14ac:dyDescent="0.25">
      <c r="B136" s="369"/>
      <c r="G136" s="546"/>
      <c r="H136" s="288" t="s">
        <v>733</v>
      </c>
      <c r="I136" s="678">
        <v>48</v>
      </c>
      <c r="J136" s="359" t="s">
        <v>240</v>
      </c>
      <c r="M136" s="455"/>
    </row>
    <row r="137" spans="2:13" ht="18" x14ac:dyDescent="0.25">
      <c r="B137" s="369"/>
      <c r="H137" s="288" t="s">
        <v>646</v>
      </c>
      <c r="I137" s="377">
        <f>VLOOKUP(I136,Data!K3:O20,5,FALSE)</f>
        <v>1474</v>
      </c>
      <c r="J137" s="359" t="s">
        <v>531</v>
      </c>
      <c r="M137" s="455"/>
    </row>
    <row r="138" spans="2:13" ht="18" x14ac:dyDescent="0.25">
      <c r="B138" s="369"/>
      <c r="D138" s="521" t="str">
        <f>IF(D134&lt;=I134,IF(Configuration!Y4="EN","⚠ Prying action may occur","⚠ Un effet de levier peut se produire"),IF(Configuration!Y4="EN","No prying action","Aucun effet de levier"))</f>
        <v>⚠ Un effet de levier peut se produire</v>
      </c>
      <c r="H138" s="288" t="s">
        <v>1402</v>
      </c>
      <c r="I138" s="678">
        <v>540</v>
      </c>
      <c r="J138" s="359" t="s">
        <v>240</v>
      </c>
      <c r="M138" s="455"/>
    </row>
    <row r="139" spans="2:13" x14ac:dyDescent="0.25">
      <c r="B139" s="369"/>
      <c r="H139" s="288" t="s">
        <v>628</v>
      </c>
      <c r="I139" s="678">
        <v>40</v>
      </c>
      <c r="J139" s="359" t="s">
        <v>240</v>
      </c>
      <c r="M139" s="455"/>
    </row>
    <row r="140" spans="2:13" x14ac:dyDescent="0.25">
      <c r="B140" s="458"/>
      <c r="C140" s="460"/>
      <c r="D140" s="460"/>
      <c r="E140" s="460"/>
      <c r="F140" s="460"/>
      <c r="G140" s="460"/>
      <c r="H140" s="460"/>
      <c r="I140" s="460"/>
      <c r="J140" s="460"/>
      <c r="K140" s="460"/>
      <c r="L140" s="460"/>
      <c r="M140" s="461"/>
    </row>
  </sheetData>
  <sheetProtection algorithmName="SHA-512" hashValue="0WfVIp8t+FxNbr/g7gEJatXHZB4UJywy6MYO8to35t0T/tYbTLPB4IPJayydwUHKFNEK39FM7iyXDWX+WEJh9g==" saltValue="1Lx9KOkVnCfgYGWrh4iRhA==" spinCount="100000" sheet="1" objects="1" scenarios="1"/>
  <mergeCells count="28">
    <mergeCell ref="C132:L132"/>
    <mergeCell ref="E4:I4"/>
    <mergeCell ref="E5:H5"/>
    <mergeCell ref="I26:J26"/>
    <mergeCell ref="C56:L56"/>
    <mergeCell ref="C61:L61"/>
    <mergeCell ref="C66:L66"/>
    <mergeCell ref="C71:L71"/>
    <mergeCell ref="C76:L76"/>
    <mergeCell ref="C81:L81"/>
    <mergeCell ref="C86:L86"/>
    <mergeCell ref="C91:L91"/>
    <mergeCell ref="C96:L96"/>
    <mergeCell ref="C105:L105"/>
    <mergeCell ref="C110:L110"/>
    <mergeCell ref="C116:L116"/>
    <mergeCell ref="C122:L122"/>
    <mergeCell ref="C127:L127"/>
    <mergeCell ref="H10:J10"/>
    <mergeCell ref="I25:J25"/>
    <mergeCell ref="E33:F33"/>
    <mergeCell ref="J33:K33"/>
    <mergeCell ref="E29:L29"/>
    <mergeCell ref="G100:H100"/>
    <mergeCell ref="G101:H101"/>
    <mergeCell ref="G102:H102"/>
    <mergeCell ref="G103:H103"/>
    <mergeCell ref="I27:J27"/>
  </mergeCells>
  <dataValidations count="4">
    <dataValidation type="list" allowBlank="1" showInputMessage="1" showErrorMessage="1" sqref="E4" xr:uid="{5D1F7DBD-9FC2-463F-981D-8F350991FDEA}">
      <formula1>$R$4:$R$8</formula1>
    </dataValidation>
    <dataValidation type="list" allowBlank="1" showInputMessage="1" showErrorMessage="1" sqref="E5" xr:uid="{4DB4874C-5C1B-4D7A-873D-543A17223C43}">
      <formula1>$T$3:$V$3</formula1>
    </dataValidation>
    <dataValidation type="list" allowBlank="1" showInputMessage="1" showErrorMessage="1" sqref="E29:L29" xr:uid="{405F25A4-D74A-42C6-BC46-4FD695498D76}">
      <formula1>$T$28:$T$35</formula1>
    </dataValidation>
    <dataValidation type="list" allowBlank="1" showInputMessage="1" showErrorMessage="1" sqref="I59" xr:uid="{1BF5028C-72D1-455F-8C63-2A27C08C848E}">
      <formula1>"1,2"</formula1>
    </dataValidation>
  </dataValidations>
  <pageMargins left="0.7" right="0.7" top="0.75" bottom="0.75" header="0.3" footer="0.3"/>
  <pageSetup paperSize="9" scale="82" orientation="portrait" horizontalDpi="4294967295" verticalDpi="4294967295" r:id="rId1"/>
  <rowBreaks count="3" manualBreakCount="3">
    <brk id="55" min="1" max="12" man="1"/>
    <brk id="96" min="1" max="12" man="1"/>
    <brk id="140" min="1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380420C-5602-4E94-BD46-CD78727F8949}">
          <x14:formula1>
            <xm:f>Data!$K$3:$K$20</xm:f>
          </x14:formula1>
          <xm:sqref>I94 I88 J102 I136 I129 I124</xm:sqref>
        </x14:dataValidation>
        <x14:dataValidation type="list" allowBlank="1" showInputMessage="1" showErrorMessage="1" xr:uid="{0714EC44-92B6-45E7-8106-3B04A269ECF3}">
          <x14:formula1>
            <xm:f>Data!$A$40:$A$128</xm:f>
          </x14:formula1>
          <xm:sqref>H109</xm:sqref>
        </x14:dataValidation>
        <x14:dataValidation type="list" allowBlank="1" showInputMessage="1" showErrorMessage="1" xr:uid="{AA1C728E-6EF7-4702-AA48-B08CDBF62A08}">
          <x14:formula1>
            <xm:f>Data!$F$3:$F$12</xm:f>
          </x14:formula1>
          <xm:sqref>G95 H104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40DC8-6EC0-45A5-BD7D-654585DD1FE8}">
  <sheetPr codeName="Feuil19">
    <tabColor rgb="FF0070C0"/>
  </sheetPr>
  <dimension ref="B2:V71"/>
  <sheetViews>
    <sheetView zoomScaleNormal="100" zoomScaleSheetLayoutView="100" workbookViewId="0">
      <selection activeCell="J5" sqref="J5"/>
    </sheetView>
  </sheetViews>
  <sheetFormatPr baseColWidth="10" defaultColWidth="10.7109375" defaultRowHeight="15" x14ac:dyDescent="0.25"/>
  <cols>
    <col min="1" max="1" width="10.7109375" style="240"/>
    <col min="2" max="2" width="2.140625" style="240" customWidth="1"/>
    <col min="3" max="3" width="11.42578125" style="240" customWidth="1"/>
    <col min="4" max="7" width="10.7109375" style="240"/>
    <col min="8" max="10" width="10.7109375" style="240" customWidth="1"/>
    <col min="11" max="11" width="2.140625" style="240" customWidth="1"/>
    <col min="12" max="16384" width="10.7109375" style="240"/>
  </cols>
  <sheetData>
    <row r="2" spans="2:11" x14ac:dyDescent="0.25">
      <c r="B2" s="808"/>
      <c r="C2" s="809"/>
      <c r="D2" s="809"/>
      <c r="E2" s="809"/>
      <c r="F2" s="809"/>
      <c r="G2" s="809"/>
      <c r="H2" s="809"/>
      <c r="I2" s="809"/>
      <c r="J2" s="809"/>
      <c r="K2" s="810"/>
    </row>
    <row r="3" spans="2:11" x14ac:dyDescent="0.25">
      <c r="B3" s="811"/>
      <c r="C3" s="739" t="s">
        <v>1562</v>
      </c>
      <c r="D3" s="377"/>
      <c r="E3" s="377"/>
      <c r="F3" s="377"/>
      <c r="G3" s="377"/>
      <c r="H3" s="377"/>
      <c r="I3" s="377"/>
      <c r="J3" s="377"/>
      <c r="K3" s="812"/>
    </row>
    <row r="4" spans="2:11" x14ac:dyDescent="0.25">
      <c r="B4" s="811"/>
      <c r="C4" s="377"/>
      <c r="D4" s="377"/>
      <c r="E4" s="377"/>
      <c r="F4" s="377"/>
      <c r="G4" s="377"/>
      <c r="H4" s="377"/>
      <c r="I4" s="377"/>
      <c r="J4" s="377"/>
      <c r="K4" s="812"/>
    </row>
    <row r="5" spans="2:11" ht="18" x14ac:dyDescent="0.35">
      <c r="B5" s="811"/>
      <c r="C5" s="360" t="s">
        <v>1267</v>
      </c>
      <c r="D5" s="678"/>
      <c r="E5" s="521" t="s">
        <v>632</v>
      </c>
      <c r="F5" s="377"/>
      <c r="G5" s="377"/>
      <c r="H5" s="377"/>
      <c r="I5" s="288" t="s">
        <v>1282</v>
      </c>
      <c r="J5" s="678" t="s">
        <v>1256</v>
      </c>
      <c r="K5" s="812"/>
    </row>
    <row r="6" spans="2:11" ht="18" x14ac:dyDescent="0.35">
      <c r="B6" s="811"/>
      <c r="C6" s="360" t="s">
        <v>1268</v>
      </c>
      <c r="D6" s="678">
        <v>22800</v>
      </c>
      <c r="E6" s="521" t="s">
        <v>632</v>
      </c>
      <c r="F6" s="377"/>
      <c r="I6" s="360" t="s">
        <v>1848</v>
      </c>
      <c r="J6" s="678" t="s">
        <v>1664</v>
      </c>
      <c r="K6" s="812"/>
    </row>
    <row r="7" spans="2:11" ht="18" x14ac:dyDescent="0.35">
      <c r="B7" s="811"/>
      <c r="C7" s="360" t="s">
        <v>1265</v>
      </c>
      <c r="D7" s="678"/>
      <c r="E7" s="521" t="s">
        <v>629</v>
      </c>
      <c r="F7" s="377"/>
      <c r="I7" s="288" t="s">
        <v>1543</v>
      </c>
      <c r="J7" s="678">
        <v>2</v>
      </c>
      <c r="K7" s="812"/>
    </row>
    <row r="8" spans="2:11" ht="18" x14ac:dyDescent="0.25">
      <c r="B8" s="811"/>
      <c r="C8" s="288" t="s">
        <v>1262</v>
      </c>
      <c r="D8" s="678">
        <v>250</v>
      </c>
      <c r="E8" s="521" t="s">
        <v>240</v>
      </c>
      <c r="F8" s="377"/>
      <c r="G8" s="288"/>
      <c r="H8" s="568"/>
      <c r="I8" s="288" t="s">
        <v>1564</v>
      </c>
      <c r="J8" s="204">
        <f>COUNTA(E13:E22)</f>
        <v>3</v>
      </c>
      <c r="K8" s="812"/>
    </row>
    <row r="9" spans="2:11" ht="18" x14ac:dyDescent="0.25">
      <c r="B9" s="811"/>
      <c r="C9" s="288" t="s">
        <v>1542</v>
      </c>
      <c r="D9" s="204">
        <f>D7+D6*0.001*D8</f>
        <v>5700</v>
      </c>
      <c r="E9" s="521" t="s">
        <v>629</v>
      </c>
      <c r="F9" s="377"/>
      <c r="H9" s="288" t="s">
        <v>1241</v>
      </c>
      <c r="I9" s="204">
        <f>IF(J5="OUI",E13-0.5*F13,E13)</f>
        <v>400</v>
      </c>
      <c r="J9" s="521" t="s">
        <v>240</v>
      </c>
      <c r="K9" s="812"/>
    </row>
    <row r="10" spans="2:11" ht="18" x14ac:dyDescent="0.25">
      <c r="B10" s="811"/>
      <c r="C10" s="377"/>
      <c r="D10" s="377"/>
      <c r="E10" s="377"/>
      <c r="F10" s="377"/>
      <c r="H10" s="288" t="s">
        <v>1266</v>
      </c>
      <c r="I10" s="648">
        <f>SUMPRODUCT(E13:E22,H13:H22)/1000</f>
        <v>7270.2749999999996</v>
      </c>
      <c r="J10" s="521" t="s">
        <v>629</v>
      </c>
      <c r="K10" s="812"/>
    </row>
    <row r="11" spans="2:11" x14ac:dyDescent="0.25">
      <c r="B11" s="811"/>
      <c r="C11" s="377"/>
      <c r="D11" s="377"/>
      <c r="E11" s="377"/>
      <c r="F11" s="377"/>
      <c r="G11" s="377"/>
      <c r="H11" s="377"/>
      <c r="I11" s="377"/>
      <c r="J11" s="377"/>
      <c r="K11" s="812"/>
    </row>
    <row r="12" spans="2:11" ht="18" x14ac:dyDescent="0.25">
      <c r="B12" s="811"/>
      <c r="C12" s="377"/>
      <c r="D12" s="813" t="s">
        <v>880</v>
      </c>
      <c r="E12" s="813" t="s">
        <v>1545</v>
      </c>
      <c r="F12" s="813" t="s">
        <v>1546</v>
      </c>
      <c r="G12" s="813" t="s">
        <v>1547</v>
      </c>
      <c r="H12" s="813" t="s">
        <v>1548</v>
      </c>
      <c r="I12" s="813" t="s">
        <v>1549</v>
      </c>
      <c r="J12" s="377"/>
      <c r="K12" s="812"/>
    </row>
    <row r="13" spans="2:11" x14ac:dyDescent="0.25">
      <c r="B13" s="811"/>
      <c r="C13" s="377"/>
      <c r="D13" s="814">
        <v>1</v>
      </c>
      <c r="E13" s="835">
        <v>400</v>
      </c>
      <c r="F13" s="814">
        <f t="shared" ref="F13:F15" si="0">IF(E13-E14=0,"",E13-E14)</f>
        <v>150</v>
      </c>
      <c r="G13" s="835">
        <v>12508</v>
      </c>
      <c r="H13" s="814">
        <f>G13</f>
        <v>12508</v>
      </c>
      <c r="I13" s="815">
        <f>H13*$D$9/$I$10</f>
        <v>9806.4516129032254</v>
      </c>
      <c r="J13" s="377"/>
      <c r="K13" s="812"/>
    </row>
    <row r="14" spans="2:11" x14ac:dyDescent="0.25">
      <c r="B14" s="811"/>
      <c r="C14" s="377"/>
      <c r="D14" s="814">
        <v>2</v>
      </c>
      <c r="E14" s="835">
        <v>250</v>
      </c>
      <c r="F14" s="814">
        <f t="shared" si="0"/>
        <v>150</v>
      </c>
      <c r="G14" s="835">
        <v>12508</v>
      </c>
      <c r="H14" s="815">
        <f>IF(E14=0,"",IF(J6="Elastique",$G$13*E14/$E$13,IF(J5="OUI",G14,MIN(G14,(G13*E14/E13)))))</f>
        <v>7817.5</v>
      </c>
      <c r="I14" s="815">
        <f t="shared" ref="I14:I22" si="1">IF(E14=0,"",H14*$D$9/$I$10)</f>
        <v>6129.0322580645161</v>
      </c>
      <c r="J14" s="377"/>
      <c r="K14" s="812"/>
    </row>
    <row r="15" spans="2:11" x14ac:dyDescent="0.25">
      <c r="B15" s="811"/>
      <c r="C15" s="377"/>
      <c r="D15" s="814">
        <v>3</v>
      </c>
      <c r="E15" s="835">
        <v>100</v>
      </c>
      <c r="F15" s="814">
        <f t="shared" si="0"/>
        <v>100</v>
      </c>
      <c r="G15" s="835">
        <v>12508</v>
      </c>
      <c r="H15" s="815">
        <f>IF(E15=0,"",IF(J6="Elastique",$G$13*E15/$E$13,MIN(G15,(H14*E15/E14))))</f>
        <v>3127</v>
      </c>
      <c r="I15" s="815">
        <f t="shared" si="1"/>
        <v>2451.6129032258063</v>
      </c>
      <c r="J15" s="377"/>
      <c r="K15" s="812"/>
    </row>
    <row r="16" spans="2:11" x14ac:dyDescent="0.25">
      <c r="B16" s="811"/>
      <c r="C16" s="377"/>
      <c r="D16" s="814">
        <v>4</v>
      </c>
      <c r="E16" s="835"/>
      <c r="F16" s="814" t="str">
        <f>IF(E16-E17=0,"",E16-E17)</f>
        <v/>
      </c>
      <c r="G16" s="835"/>
      <c r="H16" s="815" t="str">
        <f t="shared" ref="H16:H22" si="2">IF(E16=0,"",IF(J7="Elastique",$G$13*E16/$E$13,MIN(G16,(H15*E16/E15))))</f>
        <v/>
      </c>
      <c r="I16" s="815" t="str">
        <f t="shared" si="1"/>
        <v/>
      </c>
      <c r="J16" s="377"/>
      <c r="K16" s="812"/>
    </row>
    <row r="17" spans="2:11" x14ac:dyDescent="0.25">
      <c r="B17" s="811"/>
      <c r="C17" s="377"/>
      <c r="D17" s="814">
        <v>5</v>
      </c>
      <c r="E17" s="835"/>
      <c r="F17" s="814" t="str">
        <f t="shared" ref="F17:F22" si="3">IF(E17-E18=0,"",E17-E18)</f>
        <v/>
      </c>
      <c r="G17" s="835"/>
      <c r="H17" s="815" t="str">
        <f t="shared" si="2"/>
        <v/>
      </c>
      <c r="I17" s="815" t="str">
        <f t="shared" si="1"/>
        <v/>
      </c>
      <c r="J17" s="377"/>
      <c r="K17" s="812"/>
    </row>
    <row r="18" spans="2:11" x14ac:dyDescent="0.25">
      <c r="B18" s="811"/>
      <c r="C18" s="377"/>
      <c r="D18" s="814">
        <v>6</v>
      </c>
      <c r="E18" s="835"/>
      <c r="F18" s="814" t="str">
        <f t="shared" si="3"/>
        <v/>
      </c>
      <c r="G18" s="835"/>
      <c r="H18" s="815" t="str">
        <f t="shared" si="2"/>
        <v/>
      </c>
      <c r="I18" s="815" t="str">
        <f t="shared" si="1"/>
        <v/>
      </c>
      <c r="J18" s="377"/>
      <c r="K18" s="812"/>
    </row>
    <row r="19" spans="2:11" x14ac:dyDescent="0.25">
      <c r="B19" s="811"/>
      <c r="C19" s="377"/>
      <c r="D19" s="814">
        <v>7</v>
      </c>
      <c r="E19" s="835"/>
      <c r="F19" s="814" t="str">
        <f t="shared" si="3"/>
        <v/>
      </c>
      <c r="G19" s="835"/>
      <c r="H19" s="815" t="str">
        <f t="shared" si="2"/>
        <v/>
      </c>
      <c r="I19" s="815" t="str">
        <f t="shared" si="1"/>
        <v/>
      </c>
      <c r="J19" s="377"/>
      <c r="K19" s="812"/>
    </row>
    <row r="20" spans="2:11" x14ac:dyDescent="0.25">
      <c r="B20" s="811"/>
      <c r="C20" s="377"/>
      <c r="D20" s="814">
        <v>8</v>
      </c>
      <c r="E20" s="835"/>
      <c r="F20" s="814" t="str">
        <f t="shared" si="3"/>
        <v/>
      </c>
      <c r="G20" s="835"/>
      <c r="H20" s="815" t="str">
        <f t="shared" si="2"/>
        <v/>
      </c>
      <c r="I20" s="815" t="str">
        <f t="shared" si="1"/>
        <v/>
      </c>
      <c r="J20" s="377"/>
      <c r="K20" s="812"/>
    </row>
    <row r="21" spans="2:11" x14ac:dyDescent="0.25">
      <c r="B21" s="811"/>
      <c r="C21" s="377"/>
      <c r="D21" s="814">
        <v>9</v>
      </c>
      <c r="E21" s="835"/>
      <c r="F21" s="814" t="str">
        <f t="shared" si="3"/>
        <v/>
      </c>
      <c r="G21" s="835"/>
      <c r="H21" s="815" t="str">
        <f t="shared" si="2"/>
        <v/>
      </c>
      <c r="I21" s="815" t="str">
        <f t="shared" si="1"/>
        <v/>
      </c>
      <c r="J21" s="377"/>
      <c r="K21" s="812"/>
    </row>
    <row r="22" spans="2:11" x14ac:dyDescent="0.25">
      <c r="B22" s="811"/>
      <c r="C22" s="377"/>
      <c r="D22" s="816">
        <v>10</v>
      </c>
      <c r="E22" s="836"/>
      <c r="F22" s="816" t="str">
        <f t="shared" si="3"/>
        <v/>
      </c>
      <c r="G22" s="836"/>
      <c r="H22" s="817" t="str">
        <f t="shared" si="2"/>
        <v/>
      </c>
      <c r="I22" s="817" t="str">
        <f t="shared" si="1"/>
        <v/>
      </c>
      <c r="J22" s="377"/>
      <c r="K22" s="812"/>
    </row>
    <row r="23" spans="2:11" x14ac:dyDescent="0.25">
      <c r="B23" s="811"/>
      <c r="C23" s="377"/>
      <c r="D23" s="377"/>
      <c r="E23" s="377"/>
      <c r="F23" s="377"/>
      <c r="G23" s="377"/>
      <c r="H23" s="377"/>
      <c r="I23" s="377"/>
      <c r="J23" s="377"/>
      <c r="K23" s="812"/>
    </row>
    <row r="24" spans="2:11" ht="18" x14ac:dyDescent="0.35">
      <c r="B24" s="811"/>
      <c r="D24" s="818" t="s">
        <v>1550</v>
      </c>
      <c r="G24" s="360" t="s">
        <v>1544</v>
      </c>
      <c r="H24" s="204">
        <f>D6/(J7*J8)</f>
        <v>3800</v>
      </c>
      <c r="I24" s="521" t="s">
        <v>632</v>
      </c>
      <c r="J24" s="377"/>
      <c r="K24" s="812"/>
    </row>
    <row r="25" spans="2:11" x14ac:dyDescent="0.25">
      <c r="B25" s="811"/>
      <c r="K25" s="812"/>
    </row>
    <row r="26" spans="2:11" x14ac:dyDescent="0.25">
      <c r="B26" s="811"/>
      <c r="D26" s="818" t="s">
        <v>1561</v>
      </c>
      <c r="K26" s="812"/>
    </row>
    <row r="27" spans="2:11" x14ac:dyDescent="0.25">
      <c r="B27" s="811"/>
      <c r="D27" s="813" t="s">
        <v>880</v>
      </c>
      <c r="E27" s="813" t="s">
        <v>1257</v>
      </c>
      <c r="F27" s="813">
        <v>1</v>
      </c>
      <c r="G27" s="813">
        <v>2</v>
      </c>
      <c r="H27" s="813">
        <v>3</v>
      </c>
      <c r="I27" s="813">
        <v>4</v>
      </c>
      <c r="K27" s="812"/>
    </row>
    <row r="28" spans="2:11" ht="18" x14ac:dyDescent="0.25">
      <c r="B28" s="811"/>
      <c r="D28" s="814">
        <v>1</v>
      </c>
      <c r="E28" s="814" t="s">
        <v>1551</v>
      </c>
      <c r="F28" s="815" t="str">
        <f t="shared" ref="F28:F37" si="4">IF($J$7=2,"",IF($I13="","",($I13/$J$7)+$D$5/($J$7*$J$8)))</f>
        <v/>
      </c>
      <c r="G28" s="815">
        <f t="shared" ref="G28:H37" si="5">IF($I13="","",($I13/$J$7)+$D$5/($J$7*$J$8))</f>
        <v>4903.2258064516127</v>
      </c>
      <c r="H28" s="815">
        <f t="shared" si="5"/>
        <v>4903.2258064516127</v>
      </c>
      <c r="I28" s="815" t="str">
        <f t="shared" ref="I28:I37" si="6">IF($J$7=2,"",IF($I13="","",($I13/$J$7)+$D$5/($J$7*$J$8)))</f>
        <v/>
      </c>
      <c r="K28" s="812"/>
    </row>
    <row r="29" spans="2:11" ht="18" x14ac:dyDescent="0.25">
      <c r="B29" s="811"/>
      <c r="D29" s="814">
        <v>2</v>
      </c>
      <c r="E29" s="814" t="s">
        <v>1554</v>
      </c>
      <c r="F29" s="815" t="str">
        <f t="shared" si="4"/>
        <v/>
      </c>
      <c r="G29" s="815">
        <f t="shared" si="5"/>
        <v>3064.516129032258</v>
      </c>
      <c r="H29" s="815">
        <f t="shared" si="5"/>
        <v>3064.516129032258</v>
      </c>
      <c r="I29" s="815" t="str">
        <f t="shared" si="6"/>
        <v/>
      </c>
      <c r="K29" s="812"/>
    </row>
    <row r="30" spans="2:11" ht="18" x14ac:dyDescent="0.25">
      <c r="B30" s="811"/>
      <c r="D30" s="814">
        <v>3</v>
      </c>
      <c r="E30" s="814" t="s">
        <v>1555</v>
      </c>
      <c r="F30" s="815" t="str">
        <f t="shared" si="4"/>
        <v/>
      </c>
      <c r="G30" s="815">
        <f t="shared" si="5"/>
        <v>1225.8064516129032</v>
      </c>
      <c r="H30" s="815">
        <f t="shared" si="5"/>
        <v>1225.8064516129032</v>
      </c>
      <c r="I30" s="815" t="str">
        <f t="shared" si="6"/>
        <v/>
      </c>
      <c r="K30" s="812"/>
    </row>
    <row r="31" spans="2:11" ht="18" x14ac:dyDescent="0.25">
      <c r="B31" s="811"/>
      <c r="D31" s="814">
        <v>4</v>
      </c>
      <c r="E31" s="814" t="s">
        <v>1556</v>
      </c>
      <c r="F31" s="815" t="str">
        <f t="shared" si="4"/>
        <v/>
      </c>
      <c r="G31" s="815" t="str">
        <f t="shared" si="5"/>
        <v/>
      </c>
      <c r="H31" s="815" t="str">
        <f t="shared" si="5"/>
        <v/>
      </c>
      <c r="I31" s="815" t="str">
        <f t="shared" si="6"/>
        <v/>
      </c>
      <c r="K31" s="812"/>
    </row>
    <row r="32" spans="2:11" ht="18" x14ac:dyDescent="0.25">
      <c r="B32" s="811"/>
      <c r="D32" s="814">
        <v>5</v>
      </c>
      <c r="E32" s="814" t="s">
        <v>1557</v>
      </c>
      <c r="F32" s="815" t="str">
        <f t="shared" si="4"/>
        <v/>
      </c>
      <c r="G32" s="815" t="str">
        <f t="shared" si="5"/>
        <v/>
      </c>
      <c r="H32" s="815" t="str">
        <f t="shared" si="5"/>
        <v/>
      </c>
      <c r="I32" s="815" t="str">
        <f t="shared" si="6"/>
        <v/>
      </c>
      <c r="K32" s="812"/>
    </row>
    <row r="33" spans="2:22" ht="18" x14ac:dyDescent="0.25">
      <c r="B33" s="811"/>
      <c r="D33" s="814">
        <v>6</v>
      </c>
      <c r="E33" s="814" t="s">
        <v>1558</v>
      </c>
      <c r="F33" s="815" t="str">
        <f t="shared" si="4"/>
        <v/>
      </c>
      <c r="G33" s="815" t="str">
        <f t="shared" si="5"/>
        <v/>
      </c>
      <c r="H33" s="815" t="str">
        <f t="shared" si="5"/>
        <v/>
      </c>
      <c r="I33" s="815" t="str">
        <f t="shared" si="6"/>
        <v/>
      </c>
      <c r="K33" s="812"/>
    </row>
    <row r="34" spans="2:22" ht="18" x14ac:dyDescent="0.25">
      <c r="B34" s="811"/>
      <c r="D34" s="814">
        <v>7</v>
      </c>
      <c r="E34" s="814" t="s">
        <v>1559</v>
      </c>
      <c r="F34" s="815" t="str">
        <f t="shared" si="4"/>
        <v/>
      </c>
      <c r="G34" s="815" t="str">
        <f t="shared" si="5"/>
        <v/>
      </c>
      <c r="H34" s="815" t="str">
        <f t="shared" si="5"/>
        <v/>
      </c>
      <c r="I34" s="815" t="str">
        <f t="shared" si="6"/>
        <v/>
      </c>
      <c r="K34" s="812"/>
    </row>
    <row r="35" spans="2:22" ht="18" x14ac:dyDescent="0.25">
      <c r="B35" s="811"/>
      <c r="D35" s="814">
        <v>8</v>
      </c>
      <c r="E35" s="814" t="s">
        <v>1560</v>
      </c>
      <c r="F35" s="815" t="str">
        <f t="shared" si="4"/>
        <v/>
      </c>
      <c r="G35" s="815" t="str">
        <f t="shared" si="5"/>
        <v/>
      </c>
      <c r="H35" s="815" t="str">
        <f t="shared" si="5"/>
        <v/>
      </c>
      <c r="I35" s="815" t="str">
        <f t="shared" si="6"/>
        <v/>
      </c>
      <c r="K35" s="812"/>
    </row>
    <row r="36" spans="2:22" ht="18" x14ac:dyDescent="0.25">
      <c r="B36" s="811"/>
      <c r="D36" s="814">
        <v>9</v>
      </c>
      <c r="E36" s="814" t="s">
        <v>1553</v>
      </c>
      <c r="F36" s="815" t="str">
        <f t="shared" si="4"/>
        <v/>
      </c>
      <c r="G36" s="815" t="str">
        <f t="shared" si="5"/>
        <v/>
      </c>
      <c r="H36" s="815" t="str">
        <f t="shared" si="5"/>
        <v/>
      </c>
      <c r="I36" s="815" t="str">
        <f t="shared" si="6"/>
        <v/>
      </c>
      <c r="K36" s="812"/>
    </row>
    <row r="37" spans="2:22" ht="18" x14ac:dyDescent="0.25">
      <c r="B37" s="811"/>
      <c r="D37" s="816">
        <v>10</v>
      </c>
      <c r="E37" s="816" t="s">
        <v>1552</v>
      </c>
      <c r="F37" s="817" t="str">
        <f t="shared" si="4"/>
        <v/>
      </c>
      <c r="G37" s="817" t="str">
        <f t="shared" si="5"/>
        <v/>
      </c>
      <c r="H37" s="817" t="str">
        <f t="shared" si="5"/>
        <v/>
      </c>
      <c r="I37" s="817" t="str">
        <f t="shared" si="6"/>
        <v/>
      </c>
      <c r="K37" s="812"/>
    </row>
    <row r="38" spans="2:22" x14ac:dyDescent="0.25">
      <c r="B38" s="811"/>
      <c r="K38" s="812"/>
    </row>
    <row r="39" spans="2:22" x14ac:dyDescent="0.25">
      <c r="B39" s="811"/>
      <c r="C39" s="1019" t="s">
        <v>809</v>
      </c>
      <c r="D39" s="1019"/>
      <c r="E39" s="1019"/>
      <c r="F39" s="1019"/>
      <c r="G39" s="1019"/>
      <c r="H39" s="1019"/>
      <c r="I39" s="1019"/>
      <c r="J39" s="1019"/>
      <c r="K39" s="812"/>
    </row>
    <row r="40" spans="2:22" x14ac:dyDescent="0.25">
      <c r="B40" s="811"/>
      <c r="C40" s="739" t="s">
        <v>1563</v>
      </c>
      <c r="K40" s="812"/>
    </row>
    <row r="41" spans="2:22" ht="18" x14ac:dyDescent="0.35">
      <c r="B41" s="811"/>
      <c r="H41" s="360" t="s">
        <v>1735</v>
      </c>
      <c r="I41" s="837">
        <v>150</v>
      </c>
      <c r="J41" s="240" t="s">
        <v>240</v>
      </c>
      <c r="K41" s="812"/>
      <c r="M41" s="807" t="s">
        <v>1736</v>
      </c>
    </row>
    <row r="42" spans="2:22" ht="18" x14ac:dyDescent="0.35">
      <c r="B42" s="811"/>
      <c r="C42" s="360" t="s">
        <v>1680</v>
      </c>
      <c r="D42" s="678">
        <v>3000</v>
      </c>
      <c r="E42" s="521" t="s">
        <v>632</v>
      </c>
      <c r="H42" s="360" t="s">
        <v>1734</v>
      </c>
      <c r="I42" s="837">
        <v>120</v>
      </c>
      <c r="J42" s="240" t="s">
        <v>240</v>
      </c>
      <c r="K42" s="812"/>
      <c r="N42" s="649">
        <v>1</v>
      </c>
      <c r="O42" s="649">
        <v>2</v>
      </c>
      <c r="P42" s="649">
        <v>3</v>
      </c>
      <c r="Q42" s="649">
        <v>4</v>
      </c>
      <c r="R42" s="649">
        <v>5</v>
      </c>
      <c r="S42" s="649">
        <v>6</v>
      </c>
      <c r="T42" s="649" t="s">
        <v>560</v>
      </c>
    </row>
    <row r="43" spans="2:22" ht="18" x14ac:dyDescent="0.35">
      <c r="B43" s="811"/>
      <c r="C43" s="360" t="s">
        <v>1681</v>
      </c>
      <c r="D43" s="678">
        <v>-5000</v>
      </c>
      <c r="E43" s="521" t="s">
        <v>632</v>
      </c>
      <c r="H43" s="288" t="s">
        <v>1684</v>
      </c>
      <c r="I43" s="837">
        <v>5</v>
      </c>
      <c r="J43" s="819" t="str">
        <f>IF(I43&gt;7,"Max 7 !!","")</f>
        <v/>
      </c>
      <c r="K43" s="812"/>
      <c r="M43" s="360" t="s">
        <v>1678</v>
      </c>
      <c r="N43" s="649">
        <f t="shared" ref="N43:S43" si="7">IF($I$44&lt;(N$42+1),0,N$42*$I$42)</f>
        <v>120</v>
      </c>
      <c r="O43" s="649">
        <f t="shared" si="7"/>
        <v>240</v>
      </c>
      <c r="P43" s="649">
        <f t="shared" si="7"/>
        <v>360</v>
      </c>
      <c r="Q43" s="649">
        <f t="shared" si="7"/>
        <v>0</v>
      </c>
      <c r="R43" s="649">
        <f t="shared" si="7"/>
        <v>0</v>
      </c>
      <c r="S43" s="649">
        <f t="shared" si="7"/>
        <v>0</v>
      </c>
      <c r="T43" s="819">
        <f>MAX(N43:S43)/2</f>
        <v>180</v>
      </c>
      <c r="V43" s="360"/>
    </row>
    <row r="44" spans="2:22" ht="18" x14ac:dyDescent="0.35">
      <c r="B44" s="811"/>
      <c r="C44" s="360" t="s">
        <v>1682</v>
      </c>
      <c r="D44" s="678">
        <v>2800</v>
      </c>
      <c r="E44" s="521" t="s">
        <v>629</v>
      </c>
      <c r="H44" s="288" t="s">
        <v>1683</v>
      </c>
      <c r="I44" s="837">
        <v>4</v>
      </c>
      <c r="J44" s="819" t="str">
        <f>IF(I44&gt;7,"Max 7 !!","")</f>
        <v/>
      </c>
      <c r="K44" s="812"/>
      <c r="M44" s="360" t="s">
        <v>1679</v>
      </c>
      <c r="N44" s="649">
        <f t="shared" ref="N44:S44" si="8">IF($I$43&lt;(N$42+1),0,N$42*$I$41)</f>
        <v>150</v>
      </c>
      <c r="O44" s="649">
        <f t="shared" si="8"/>
        <v>300</v>
      </c>
      <c r="P44" s="649">
        <f t="shared" si="8"/>
        <v>450</v>
      </c>
      <c r="Q44" s="649">
        <f t="shared" si="8"/>
        <v>600</v>
      </c>
      <c r="R44" s="649">
        <f t="shared" si="8"/>
        <v>0</v>
      </c>
      <c r="S44" s="649">
        <f t="shared" si="8"/>
        <v>0</v>
      </c>
      <c r="T44" s="819">
        <f>MAX(N44:S44)/2</f>
        <v>300</v>
      </c>
    </row>
    <row r="45" spans="2:22" ht="18" x14ac:dyDescent="0.35">
      <c r="B45" s="811"/>
      <c r="H45" s="288" t="s">
        <v>1696</v>
      </c>
      <c r="I45" s="173">
        <f>I44*I43</f>
        <v>20</v>
      </c>
      <c r="K45" s="812"/>
      <c r="M45" s="360" t="s">
        <v>1719</v>
      </c>
      <c r="N45" s="820">
        <f>SUM(N51:T51,N54:T54,N57:T57,N60:T60,N63:T63,N66:T66,N69:T69)</f>
        <v>1260000</v>
      </c>
    </row>
    <row r="46" spans="2:22" x14ac:dyDescent="0.25">
      <c r="B46" s="811"/>
      <c r="K46" s="812"/>
    </row>
    <row r="47" spans="2:22" x14ac:dyDescent="0.25">
      <c r="B47" s="811"/>
      <c r="C47" s="818" t="s">
        <v>1693</v>
      </c>
      <c r="F47" s="821" t="s">
        <v>1694</v>
      </c>
      <c r="K47" s="812"/>
      <c r="M47" s="818" t="s">
        <v>1695</v>
      </c>
    </row>
    <row r="48" spans="2:22" ht="18" x14ac:dyDescent="0.35">
      <c r="B48" s="811"/>
      <c r="C48" s="822" t="s">
        <v>1711</v>
      </c>
      <c r="D48" s="822">
        <v>1</v>
      </c>
      <c r="E48" s="822">
        <v>2</v>
      </c>
      <c r="F48" s="822">
        <v>3</v>
      </c>
      <c r="G48" s="822">
        <v>4</v>
      </c>
      <c r="H48" s="822">
        <v>5</v>
      </c>
      <c r="I48" s="822">
        <v>6</v>
      </c>
      <c r="J48" s="822">
        <v>7</v>
      </c>
      <c r="K48" s="812"/>
      <c r="M48" s="822" t="s">
        <v>1685</v>
      </c>
      <c r="N48" s="822">
        <v>1</v>
      </c>
      <c r="O48" s="822">
        <v>2</v>
      </c>
      <c r="P48" s="822">
        <v>3</v>
      </c>
      <c r="Q48" s="822">
        <v>4</v>
      </c>
      <c r="R48" s="822">
        <v>5</v>
      </c>
      <c r="S48" s="822">
        <v>6</v>
      </c>
      <c r="T48" s="822">
        <v>7</v>
      </c>
    </row>
    <row r="49" spans="2:20" ht="37.5" customHeight="1" x14ac:dyDescent="0.25">
      <c r="B49" s="811"/>
      <c r="C49" s="823" t="s">
        <v>1720</v>
      </c>
      <c r="D49" s="824">
        <f>IF(N50&lt;&gt;0,($D$43/$I$45)+(1000*$D$44*N50)/$N$45,IF(N49&lt;&gt;0,($D$43/$I$45),0))</f>
        <v>-916.66666666666663</v>
      </c>
      <c r="E49" s="824">
        <f>IF(O50&lt;&gt;0,($D$43/$I$45)+(1000*$D$44*O50)/$N$45,IF(O49&lt;&gt;0,($D$43/$I$45),IF(P50&lt;&gt;0,$D$43/$I$45,0)))</f>
        <v>-583.33333333333326</v>
      </c>
      <c r="F49" s="824">
        <f t="shared" ref="F49:J49" si="9">IF(P50&lt;&gt;0,($D$43/$I$45)+(1000*$D$44*P50)/$N$45,IF(P49&lt;&gt;0,($D$43/$I$45),IF(Q50&lt;&gt;0,$D$43/$I$45,0)))</f>
        <v>-250</v>
      </c>
      <c r="G49" s="824">
        <f>IF(Q50&lt;&gt;0,($D$43/$I$45)+(1000*$D$44*Q50)/$N$45,IF(Q49&lt;&gt;0,($D$43/$I$45),IF(R50&lt;&gt;0,$D$43/$I$45,0)))</f>
        <v>83.333333333333314</v>
      </c>
      <c r="H49" s="824">
        <f>IF(R50&lt;&gt;0,($D$43/$I$45)+(1000*$D$44*R50)/$N$45,IF(R49&lt;&gt;0,($D$43/$I$45),IF(S50&lt;&gt;0,$D$43/$I$45,0)))</f>
        <v>416.66666666666663</v>
      </c>
      <c r="I49" s="824">
        <f t="shared" si="9"/>
        <v>0</v>
      </c>
      <c r="J49" s="824">
        <f t="shared" si="9"/>
        <v>0</v>
      </c>
      <c r="K49" s="812"/>
      <c r="M49" s="814" t="s">
        <v>1698</v>
      </c>
      <c r="N49" s="825">
        <f>$T$43</f>
        <v>180</v>
      </c>
      <c r="O49" s="825">
        <f>IF($N$44=0,0,$T$43)</f>
        <v>180</v>
      </c>
      <c r="P49" s="825">
        <f>IF($O$44=0,0,$T$43)</f>
        <v>180</v>
      </c>
      <c r="Q49" s="825">
        <f>IF($P$44=0,0,$T$43)</f>
        <v>180</v>
      </c>
      <c r="R49" s="825">
        <f>IF($Q$44=0,0,$T$43)</f>
        <v>180</v>
      </c>
      <c r="S49" s="825">
        <f>IF($R$44=0,0,$T$43)</f>
        <v>0</v>
      </c>
      <c r="T49" s="825">
        <f>IF($S$44=0,0,$T$43)</f>
        <v>0</v>
      </c>
    </row>
    <row r="50" spans="2:20" ht="18" x14ac:dyDescent="0.35">
      <c r="B50" s="811"/>
      <c r="C50" s="826" t="s">
        <v>1723</v>
      </c>
      <c r="D50" s="827">
        <f>IF(N49&lt;&gt;0,($D$42/$I$45)-(1000*$D$44*N49)/$N$45,IF(N50&lt;&gt;0,($D$42/$I$45),0))</f>
        <v>-250</v>
      </c>
      <c r="E50" s="827">
        <f t="shared" ref="E50:J50" si="10">IF(O49&lt;&gt;0,($D$42/$I$45)-(1000*$D$44*O49)/$N$45,IF(O50&lt;&gt;0,($D$42/$I$45),IF(O52&lt;&gt;0,$D$42/$I$45,0)))</f>
        <v>-250</v>
      </c>
      <c r="F50" s="827">
        <f t="shared" si="10"/>
        <v>-250</v>
      </c>
      <c r="G50" s="827">
        <f t="shared" si="10"/>
        <v>-250</v>
      </c>
      <c r="H50" s="827">
        <f t="shared" si="10"/>
        <v>-250</v>
      </c>
      <c r="I50" s="827">
        <f t="shared" si="10"/>
        <v>0</v>
      </c>
      <c r="J50" s="827">
        <f t="shared" si="10"/>
        <v>0</v>
      </c>
      <c r="K50" s="812"/>
      <c r="M50" s="828" t="s">
        <v>1699</v>
      </c>
      <c r="N50" s="829">
        <f>-$T$44</f>
        <v>-300</v>
      </c>
      <c r="O50" s="829">
        <f>IF(N$44=0,0,-$T$44+N$44)</f>
        <v>-150</v>
      </c>
      <c r="P50" s="829">
        <f t="shared" ref="P50:T50" si="11">IF(O$44=0,0,-$T$44+O$44)</f>
        <v>0</v>
      </c>
      <c r="Q50" s="829">
        <f t="shared" si="11"/>
        <v>150</v>
      </c>
      <c r="R50" s="829">
        <f t="shared" si="11"/>
        <v>300</v>
      </c>
      <c r="S50" s="829">
        <f t="shared" si="11"/>
        <v>0</v>
      </c>
      <c r="T50" s="829">
        <f t="shared" si="11"/>
        <v>0</v>
      </c>
    </row>
    <row r="51" spans="2:20" ht="18.75" x14ac:dyDescent="0.35">
      <c r="B51" s="811"/>
      <c r="C51" s="830" t="s">
        <v>1692</v>
      </c>
      <c r="D51" s="831">
        <f>SQRT(D49^2+D50^2)</f>
        <v>950.14618758261497</v>
      </c>
      <c r="E51" s="831">
        <f t="shared" ref="E51:J51" si="12">SQRT(E49^2+E50^2)</f>
        <v>634.64775882199228</v>
      </c>
      <c r="F51" s="831">
        <f t="shared" si="12"/>
        <v>353.55339059327378</v>
      </c>
      <c r="G51" s="831">
        <f t="shared" si="12"/>
        <v>263.52313834736492</v>
      </c>
      <c r="H51" s="831">
        <f t="shared" si="12"/>
        <v>485.91265790377497</v>
      </c>
      <c r="I51" s="831">
        <f t="shared" si="12"/>
        <v>0</v>
      </c>
      <c r="J51" s="831">
        <f t="shared" si="12"/>
        <v>0</v>
      </c>
      <c r="K51" s="812"/>
      <c r="M51" s="832" t="s">
        <v>1712</v>
      </c>
      <c r="N51" s="831">
        <f>N49^2+N50^2</f>
        <v>122400</v>
      </c>
      <c r="O51" s="831">
        <f t="shared" ref="O51:T51" si="13">O49^2+O50^2</f>
        <v>54900</v>
      </c>
      <c r="P51" s="831">
        <f t="shared" si="13"/>
        <v>32400</v>
      </c>
      <c r="Q51" s="831">
        <f t="shared" si="13"/>
        <v>54900</v>
      </c>
      <c r="R51" s="831">
        <f t="shared" si="13"/>
        <v>122400</v>
      </c>
      <c r="S51" s="831">
        <f t="shared" si="13"/>
        <v>0</v>
      </c>
      <c r="T51" s="831">
        <f t="shared" si="13"/>
        <v>0</v>
      </c>
    </row>
    <row r="52" spans="2:20" ht="37.5" customHeight="1" x14ac:dyDescent="0.25">
      <c r="B52" s="811"/>
      <c r="C52" s="823" t="s">
        <v>1721</v>
      </c>
      <c r="D52" s="824">
        <f>IF(N53&lt;&gt;0,($D$43/$I$45)+(1000*$D$44*N53)/$N$45,IF(N52&lt;&gt;0,($D$43/$I$45),IF(O53&lt;&gt;0,$D$43/$I$45,0)))</f>
        <v>-916.66666666666663</v>
      </c>
      <c r="E52" s="824">
        <f t="shared" ref="E52:J52" si="14">IF(O53&lt;&gt;0,($D$43/$I$45)+(1000*$D$44*O53)/$N$45,IF(O52&lt;&gt;0,($D$43/$I$45),IF(P53&lt;&gt;0,$D$43/$I$45,0)))</f>
        <v>-583.33333333333326</v>
      </c>
      <c r="F52" s="824">
        <f t="shared" si="14"/>
        <v>-250</v>
      </c>
      <c r="G52" s="824">
        <f t="shared" si="14"/>
        <v>83.333333333333314</v>
      </c>
      <c r="H52" s="824">
        <f t="shared" si="14"/>
        <v>416.66666666666663</v>
      </c>
      <c r="I52" s="824">
        <f t="shared" si="14"/>
        <v>0</v>
      </c>
      <c r="J52" s="824">
        <f t="shared" si="14"/>
        <v>0</v>
      </c>
      <c r="K52" s="812"/>
      <c r="M52" s="814" t="s">
        <v>1697</v>
      </c>
      <c r="N52" s="825">
        <f>IF($N$43=0,0,$T$43-$N$43)</f>
        <v>60</v>
      </c>
      <c r="O52" s="825">
        <f>IF(N$44=0,0,IF($N$43=0,0,$T$43-$N$43))</f>
        <v>60</v>
      </c>
      <c r="P52" s="825">
        <f t="shared" ref="P52:T52" si="15">IF(O$44=0,0,IF($N$43=0,0,$T$43-$N$43))</f>
        <v>60</v>
      </c>
      <c r="Q52" s="825">
        <f t="shared" si="15"/>
        <v>60</v>
      </c>
      <c r="R52" s="825">
        <f t="shared" si="15"/>
        <v>60</v>
      </c>
      <c r="S52" s="825">
        <f t="shared" si="15"/>
        <v>0</v>
      </c>
      <c r="T52" s="825">
        <f t="shared" si="15"/>
        <v>0</v>
      </c>
    </row>
    <row r="53" spans="2:20" ht="18" x14ac:dyDescent="0.35">
      <c r="B53" s="811"/>
      <c r="C53" s="826" t="s">
        <v>1724</v>
      </c>
      <c r="D53" s="827">
        <f t="shared" ref="D53:J53" si="16">IF(N52&lt;&gt;0,($D$42/$I$45)-(1000*$D$44*N52)/$N$45,IF(N53&lt;&gt;0,($D$42/$I$45),IF(N55&lt;&gt;0,$D$42/$I$45,0)))</f>
        <v>16.666666666666657</v>
      </c>
      <c r="E53" s="827">
        <f t="shared" si="16"/>
        <v>16.666666666666657</v>
      </c>
      <c r="F53" s="827">
        <f t="shared" si="16"/>
        <v>16.666666666666657</v>
      </c>
      <c r="G53" s="827">
        <f t="shared" si="16"/>
        <v>16.666666666666657</v>
      </c>
      <c r="H53" s="827">
        <f t="shared" si="16"/>
        <v>16.666666666666657</v>
      </c>
      <c r="I53" s="827">
        <f t="shared" si="16"/>
        <v>0</v>
      </c>
      <c r="J53" s="827">
        <f t="shared" si="16"/>
        <v>0</v>
      </c>
      <c r="K53" s="812"/>
      <c r="M53" s="828" t="s">
        <v>1700</v>
      </c>
      <c r="N53" s="829">
        <f>IF($N$43=0,0,-$T$44)</f>
        <v>-300</v>
      </c>
      <c r="O53" s="829">
        <f>IF($N$43=0,0,IF(N$44=0,0,-$T$44+N$44))</f>
        <v>-150</v>
      </c>
      <c r="P53" s="829">
        <f t="shared" ref="P53:T53" si="17">IF($N$43=0,0,IF(O$44=0,0,-$T$44+O$44))</f>
        <v>0</v>
      </c>
      <c r="Q53" s="829">
        <f t="shared" si="17"/>
        <v>150</v>
      </c>
      <c r="R53" s="829">
        <f t="shared" si="17"/>
        <v>300</v>
      </c>
      <c r="S53" s="829">
        <f t="shared" si="17"/>
        <v>0</v>
      </c>
      <c r="T53" s="829">
        <f t="shared" si="17"/>
        <v>0</v>
      </c>
    </row>
    <row r="54" spans="2:20" ht="18.75" x14ac:dyDescent="0.35">
      <c r="B54" s="811"/>
      <c r="C54" s="830" t="s">
        <v>1691</v>
      </c>
      <c r="D54" s="831">
        <f>SQRT(D52^2+D53^2)</f>
        <v>916.81816929833781</v>
      </c>
      <c r="E54" s="831">
        <f t="shared" ref="E54" si="18">SQRT(E52^2+E53^2)</f>
        <v>583.5713800003864</v>
      </c>
      <c r="F54" s="831">
        <f t="shared" ref="F54" si="19">SQRT(F52^2+F53^2)</f>
        <v>250.55493963954848</v>
      </c>
      <c r="G54" s="831">
        <f t="shared" ref="G54" si="20">SQRT(G52^2+G53^2)</f>
        <v>84.983658559879729</v>
      </c>
      <c r="H54" s="831">
        <f t="shared" ref="H54" si="21">SQRT(H52^2+H53^2)</f>
        <v>416.99986677322676</v>
      </c>
      <c r="I54" s="831">
        <f t="shared" ref="I54" si="22">SQRT(I52^2+I53^2)</f>
        <v>0</v>
      </c>
      <c r="J54" s="831">
        <f t="shared" ref="J54" si="23">SQRT(J52^2+J53^2)</f>
        <v>0</v>
      </c>
      <c r="K54" s="812"/>
      <c r="M54" s="832" t="s">
        <v>1713</v>
      </c>
      <c r="N54" s="831">
        <f>N52^2+N53^2</f>
        <v>93600</v>
      </c>
      <c r="O54" s="831">
        <f t="shared" ref="O54" si="24">O52^2+O53^2</f>
        <v>26100</v>
      </c>
      <c r="P54" s="831">
        <f t="shared" ref="P54" si="25">P52^2+P53^2</f>
        <v>3600</v>
      </c>
      <c r="Q54" s="831">
        <f t="shared" ref="Q54" si="26">Q52^2+Q53^2</f>
        <v>26100</v>
      </c>
      <c r="R54" s="831">
        <f t="shared" ref="R54" si="27">R52^2+R53^2</f>
        <v>93600</v>
      </c>
      <c r="S54" s="831">
        <f t="shared" ref="S54" si="28">S52^2+S53^2</f>
        <v>0</v>
      </c>
      <c r="T54" s="831">
        <f t="shared" ref="T54" si="29">T52^2+T53^2</f>
        <v>0</v>
      </c>
    </row>
    <row r="55" spans="2:20" ht="37.5" customHeight="1" x14ac:dyDescent="0.25">
      <c r="B55" s="811"/>
      <c r="C55" s="823" t="s">
        <v>1722</v>
      </c>
      <c r="D55" s="824">
        <f>IF(N56&lt;&gt;0,($D$43/$I$45)+(1000*$D$44*N56)/$N$45,IF(N55&lt;&gt;0,($D$43/$I$45),IF(O56&lt;&gt;0,$D$43/$I$45,0)))</f>
        <v>-916.66666666666663</v>
      </c>
      <c r="E55" s="824">
        <f t="shared" ref="E55:J55" si="30">IF(O56&lt;&gt;0,($D$43/$I$45)+(1000*$D$44*O56)/$N$45,IF(O55&lt;&gt;0,($D$43/$I$45),IF(P56&lt;&gt;0,$D$43/$I$45,0)))</f>
        <v>-583.33333333333326</v>
      </c>
      <c r="F55" s="824">
        <f t="shared" si="30"/>
        <v>-250</v>
      </c>
      <c r="G55" s="824">
        <f t="shared" si="30"/>
        <v>83.333333333333314</v>
      </c>
      <c r="H55" s="824">
        <f t="shared" si="30"/>
        <v>416.66666666666663</v>
      </c>
      <c r="I55" s="824">
        <f t="shared" si="30"/>
        <v>0</v>
      </c>
      <c r="J55" s="824">
        <f t="shared" si="30"/>
        <v>0</v>
      </c>
      <c r="K55" s="812"/>
      <c r="M55" s="814" t="s">
        <v>1701</v>
      </c>
      <c r="N55" s="825">
        <f>IF($O$43=0,0,$T$43-$O$43)</f>
        <v>-60</v>
      </c>
      <c r="O55" s="825">
        <f>IF(N$44=0,0,IF($O$43=0,0,$T$43-$O$43))</f>
        <v>-60</v>
      </c>
      <c r="P55" s="825">
        <f t="shared" ref="P55:T55" si="31">IF(O$44=0,0,IF($O$43=0,0,$T$43-$O$43))</f>
        <v>-60</v>
      </c>
      <c r="Q55" s="825">
        <f t="shared" si="31"/>
        <v>-60</v>
      </c>
      <c r="R55" s="825">
        <f t="shared" si="31"/>
        <v>-60</v>
      </c>
      <c r="S55" s="825">
        <f t="shared" si="31"/>
        <v>0</v>
      </c>
      <c r="T55" s="825">
        <f t="shared" si="31"/>
        <v>0</v>
      </c>
    </row>
    <row r="56" spans="2:20" ht="18" x14ac:dyDescent="0.35">
      <c r="B56" s="811"/>
      <c r="C56" s="826" t="s">
        <v>1725</v>
      </c>
      <c r="D56" s="827">
        <f t="shared" ref="D56:J56" si="32">IF(N55&lt;&gt;0,($D$42/$I$45)-(1000*$D$44*N55)/$N$45,IF(N56&lt;&gt;0,($D$42/$I$45),IF(N58&lt;&gt;0,$D$42/$I$45,0)))</f>
        <v>283.33333333333337</v>
      </c>
      <c r="E56" s="827">
        <f t="shared" si="32"/>
        <v>283.33333333333337</v>
      </c>
      <c r="F56" s="827">
        <f t="shared" si="32"/>
        <v>283.33333333333337</v>
      </c>
      <c r="G56" s="827">
        <f t="shared" si="32"/>
        <v>283.33333333333337</v>
      </c>
      <c r="H56" s="827">
        <f t="shared" si="32"/>
        <v>283.33333333333337</v>
      </c>
      <c r="I56" s="827">
        <f t="shared" si="32"/>
        <v>0</v>
      </c>
      <c r="J56" s="827">
        <f t="shared" si="32"/>
        <v>0</v>
      </c>
      <c r="K56" s="812"/>
      <c r="M56" s="828" t="s">
        <v>1702</v>
      </c>
      <c r="N56" s="829">
        <f>IF($O$43=0,0,-$T$44)</f>
        <v>-300</v>
      </c>
      <c r="O56" s="829">
        <f>IF($O$43=0,0,IF(N$44=0,0,-$T$44+N$44))</f>
        <v>-150</v>
      </c>
      <c r="P56" s="829">
        <f t="shared" ref="P56:T56" si="33">IF($O$43=0,0,IF(O$44=0,0,-$T$44+O$44))</f>
        <v>0</v>
      </c>
      <c r="Q56" s="829">
        <f t="shared" si="33"/>
        <v>150</v>
      </c>
      <c r="R56" s="829">
        <f t="shared" si="33"/>
        <v>300</v>
      </c>
      <c r="S56" s="829">
        <f t="shared" si="33"/>
        <v>0</v>
      </c>
      <c r="T56" s="829">
        <f t="shared" si="33"/>
        <v>0</v>
      </c>
    </row>
    <row r="57" spans="2:20" ht="18.75" x14ac:dyDescent="0.35">
      <c r="B57" s="811"/>
      <c r="C57" s="830" t="s">
        <v>1690</v>
      </c>
      <c r="D57" s="831">
        <f>SQRT(D55^2+D56^2)</f>
        <v>959.45586430828359</v>
      </c>
      <c r="E57" s="831">
        <f t="shared" ref="E57" si="34">SQRT(E55^2+E56^2)</f>
        <v>648.50254861145731</v>
      </c>
      <c r="F57" s="831">
        <f t="shared" ref="F57" si="35">SQRT(F55^2+F56^2)</f>
        <v>377.85946829182114</v>
      </c>
      <c r="G57" s="831">
        <f t="shared" ref="G57" si="36">SQRT(G55^2+G56^2)</f>
        <v>295.33408577782251</v>
      </c>
      <c r="H57" s="831">
        <f t="shared" ref="H57" si="37">SQRT(H55^2+H56^2)</f>
        <v>503.87388192769913</v>
      </c>
      <c r="I57" s="831">
        <f t="shared" ref="I57" si="38">SQRT(I55^2+I56^2)</f>
        <v>0</v>
      </c>
      <c r="J57" s="831">
        <f t="shared" ref="J57" si="39">SQRT(J55^2+J56^2)</f>
        <v>0</v>
      </c>
      <c r="K57" s="812"/>
      <c r="M57" s="832" t="s">
        <v>1714</v>
      </c>
      <c r="N57" s="831">
        <f>N55^2+N56^2</f>
        <v>93600</v>
      </c>
      <c r="O57" s="831">
        <f t="shared" ref="O57" si="40">O55^2+O56^2</f>
        <v>26100</v>
      </c>
      <c r="P57" s="831">
        <f t="shared" ref="P57" si="41">P55^2+P56^2</f>
        <v>3600</v>
      </c>
      <c r="Q57" s="831">
        <f t="shared" ref="Q57" si="42">Q55^2+Q56^2</f>
        <v>26100</v>
      </c>
      <c r="R57" s="831">
        <f t="shared" ref="R57" si="43">R55^2+R56^2</f>
        <v>93600</v>
      </c>
      <c r="S57" s="831">
        <f t="shared" ref="S57" si="44">S55^2+S56^2</f>
        <v>0</v>
      </c>
      <c r="T57" s="831">
        <f t="shared" ref="T57" si="45">T55^2+T56^2</f>
        <v>0</v>
      </c>
    </row>
    <row r="58" spans="2:20" ht="37.5" customHeight="1" x14ac:dyDescent="0.25">
      <c r="B58" s="811"/>
      <c r="C58" s="823" t="s">
        <v>1733</v>
      </c>
      <c r="D58" s="824">
        <f>IF(N59&lt;&gt;0,($D$43/$I$45)+(1000*$D$44*N59)/$N$45,IF(N58&lt;&gt;0,($D$43/$I$45),IF(O59&lt;&gt;0,$D$43/$I$45,0)))</f>
        <v>-916.66666666666663</v>
      </c>
      <c r="E58" s="824">
        <f t="shared" ref="E58:J58" si="46">IF(O59&lt;&gt;0,($D$43/$I$45)+(1000*$D$44*O59)/$N$45,IF(O58&lt;&gt;0,($D$43/$I$45),IF(P59&lt;&gt;0,$D$43/$I$45,0)))</f>
        <v>-583.33333333333326</v>
      </c>
      <c r="F58" s="824">
        <f t="shared" si="46"/>
        <v>-250</v>
      </c>
      <c r="G58" s="824">
        <f t="shared" si="46"/>
        <v>83.333333333333314</v>
      </c>
      <c r="H58" s="824">
        <f t="shared" si="46"/>
        <v>416.66666666666663</v>
      </c>
      <c r="I58" s="824">
        <f t="shared" si="46"/>
        <v>0</v>
      </c>
      <c r="J58" s="824">
        <f t="shared" si="46"/>
        <v>0</v>
      </c>
      <c r="K58" s="812"/>
      <c r="M58" s="814" t="s">
        <v>1703</v>
      </c>
      <c r="N58" s="825">
        <f>IF($P$43=0,0,$T$43-$P$43)</f>
        <v>-180</v>
      </c>
      <c r="O58" s="825">
        <f>IF(N$44=0,0,IF($P$43=0,0,$T$43-$P$43))</f>
        <v>-180</v>
      </c>
      <c r="P58" s="825">
        <f t="shared" ref="P58:T58" si="47">IF(O$44=0,0,IF($P$43=0,0,$T$43-$P$43))</f>
        <v>-180</v>
      </c>
      <c r="Q58" s="825">
        <f t="shared" si="47"/>
        <v>-180</v>
      </c>
      <c r="R58" s="825">
        <f t="shared" si="47"/>
        <v>-180</v>
      </c>
      <c r="S58" s="825">
        <f t="shared" si="47"/>
        <v>0</v>
      </c>
      <c r="T58" s="825">
        <f t="shared" si="47"/>
        <v>0</v>
      </c>
    </row>
    <row r="59" spans="2:20" ht="18" x14ac:dyDescent="0.35">
      <c r="B59" s="811"/>
      <c r="C59" s="826" t="s">
        <v>1726</v>
      </c>
      <c r="D59" s="827">
        <f t="shared" ref="D59:J59" si="48">IF(N58&lt;&gt;0,($D$42/$I$45)-(1000*$D$44*N58)/$N$45,IF(N59&lt;&gt;0,($D$42/$I$45),IF(N61&lt;&gt;0,$D$42/$I$45,0)))</f>
        <v>550</v>
      </c>
      <c r="E59" s="827">
        <f t="shared" si="48"/>
        <v>550</v>
      </c>
      <c r="F59" s="827">
        <f t="shared" si="48"/>
        <v>550</v>
      </c>
      <c r="G59" s="827">
        <f t="shared" si="48"/>
        <v>550</v>
      </c>
      <c r="H59" s="827">
        <f t="shared" si="48"/>
        <v>550</v>
      </c>
      <c r="I59" s="827">
        <f t="shared" si="48"/>
        <v>0</v>
      </c>
      <c r="J59" s="827">
        <f t="shared" si="48"/>
        <v>0</v>
      </c>
      <c r="K59" s="812"/>
      <c r="M59" s="828" t="s">
        <v>1704</v>
      </c>
      <c r="N59" s="829">
        <f>IF($P$43=0,0,-$T$44)</f>
        <v>-300</v>
      </c>
      <c r="O59" s="829">
        <f>IF($P$43=0,0,IF(N$44=0,0,-$T$44+N$44))</f>
        <v>-150</v>
      </c>
      <c r="P59" s="829">
        <f t="shared" ref="P59:T59" si="49">IF($P$43=0,0,IF(O$44=0,0,-$T$44+O$44))</f>
        <v>0</v>
      </c>
      <c r="Q59" s="829">
        <f t="shared" si="49"/>
        <v>150</v>
      </c>
      <c r="R59" s="829">
        <f t="shared" si="49"/>
        <v>300</v>
      </c>
      <c r="S59" s="829">
        <f t="shared" si="49"/>
        <v>0</v>
      </c>
      <c r="T59" s="829">
        <f t="shared" si="49"/>
        <v>0</v>
      </c>
    </row>
    <row r="60" spans="2:20" ht="18.75" x14ac:dyDescent="0.35">
      <c r="B60" s="811"/>
      <c r="C60" s="830" t="s">
        <v>1689</v>
      </c>
      <c r="D60" s="831">
        <f>SQRT(D58^2+D59^2)</f>
        <v>1069.007847388305</v>
      </c>
      <c r="E60" s="831">
        <f t="shared" ref="E60" si="50">SQRT(E58^2+E59^2)</f>
        <v>801.73423138704618</v>
      </c>
      <c r="F60" s="831">
        <f t="shared" ref="F60" si="51">SQRT(F58^2+F59^2)</f>
        <v>604.15229867972857</v>
      </c>
      <c r="G60" s="831">
        <f t="shared" ref="G60" si="52">SQRT(G58^2+G59^2)</f>
        <v>556.27730894262118</v>
      </c>
      <c r="H60" s="831">
        <f t="shared" ref="H60" si="53">SQRT(H58^2+H59^2)</f>
        <v>690.00805148281495</v>
      </c>
      <c r="I60" s="831">
        <f t="shared" ref="I60" si="54">SQRT(I58^2+I59^2)</f>
        <v>0</v>
      </c>
      <c r="J60" s="831">
        <f t="shared" ref="J60" si="55">SQRT(J58^2+J59^2)</f>
        <v>0</v>
      </c>
      <c r="K60" s="812"/>
      <c r="M60" s="832" t="s">
        <v>1715</v>
      </c>
      <c r="N60" s="831">
        <f>N58^2+N59^2</f>
        <v>122400</v>
      </c>
      <c r="O60" s="831">
        <f t="shared" ref="O60" si="56">O58^2+O59^2</f>
        <v>54900</v>
      </c>
      <c r="P60" s="831">
        <f t="shared" ref="P60" si="57">P58^2+P59^2</f>
        <v>32400</v>
      </c>
      <c r="Q60" s="831">
        <f t="shared" ref="Q60" si="58">Q58^2+Q59^2</f>
        <v>54900</v>
      </c>
      <c r="R60" s="831">
        <f t="shared" ref="R60" si="59">R58^2+R59^2</f>
        <v>122400</v>
      </c>
      <c r="S60" s="831">
        <f t="shared" ref="S60" si="60">S58^2+S59^2</f>
        <v>0</v>
      </c>
      <c r="T60" s="831">
        <f t="shared" ref="T60" si="61">T58^2+T59^2</f>
        <v>0</v>
      </c>
    </row>
    <row r="61" spans="2:20" ht="37.5" customHeight="1" x14ac:dyDescent="0.25">
      <c r="B61" s="811"/>
      <c r="C61" s="823" t="s">
        <v>1732</v>
      </c>
      <c r="D61" s="824">
        <f>IF(N62&lt;&gt;0,($D$43/$I$45)+(1000*$D$44*N62)/$N$45,IF(N61&lt;&gt;0,($D$43/$I$45),IF(O62&lt;&gt;0,$D$43/$I$45,0)))</f>
        <v>0</v>
      </c>
      <c r="E61" s="824">
        <f t="shared" ref="E61:J61" si="62">IF(O62&lt;&gt;0,($D$43/$I$45)+(1000*$D$44*O62)/$N$45,IF(O61&lt;&gt;0,($D$43/$I$45),IF(P62&lt;&gt;0,$D$43/$I$45,0)))</f>
        <v>0</v>
      </c>
      <c r="F61" s="824">
        <f t="shared" si="62"/>
        <v>0</v>
      </c>
      <c r="G61" s="824">
        <f t="shared" si="62"/>
        <v>0</v>
      </c>
      <c r="H61" s="824">
        <f t="shared" si="62"/>
        <v>0</v>
      </c>
      <c r="I61" s="824">
        <f t="shared" si="62"/>
        <v>0</v>
      </c>
      <c r="J61" s="824">
        <f t="shared" si="62"/>
        <v>0</v>
      </c>
      <c r="K61" s="812"/>
      <c r="M61" s="814" t="s">
        <v>1705</v>
      </c>
      <c r="N61" s="825">
        <f>IF($Q$43=0,0,$T$43-$Q$43)</f>
        <v>0</v>
      </c>
      <c r="O61" s="825">
        <f>IF(N$44=0,0,IF($Q$43=0,0,$T$43-$Q$43))</f>
        <v>0</v>
      </c>
      <c r="P61" s="825">
        <f t="shared" ref="P61:T61" si="63">IF(O$44=0,0,IF($Q$43=0,0,$T$43-$Q$43))</f>
        <v>0</v>
      </c>
      <c r="Q61" s="825">
        <f t="shared" si="63"/>
        <v>0</v>
      </c>
      <c r="R61" s="825">
        <f t="shared" si="63"/>
        <v>0</v>
      </c>
      <c r="S61" s="825">
        <f t="shared" si="63"/>
        <v>0</v>
      </c>
      <c r="T61" s="825">
        <f t="shared" si="63"/>
        <v>0</v>
      </c>
    </row>
    <row r="62" spans="2:20" ht="18" x14ac:dyDescent="0.35">
      <c r="B62" s="811"/>
      <c r="C62" s="826" t="s">
        <v>1727</v>
      </c>
      <c r="D62" s="827">
        <f t="shared" ref="D62:J62" si="64">IF(N61&lt;&gt;0,($D$42/$I$45)-(1000*$D$44*N61)/$N$45,IF(N62&lt;&gt;0,($D$42/$I$45),IF(N64&lt;&gt;0,$D$42/$I$45,0)))</f>
        <v>0</v>
      </c>
      <c r="E62" s="827">
        <f t="shared" si="64"/>
        <v>0</v>
      </c>
      <c r="F62" s="827">
        <f t="shared" si="64"/>
        <v>0</v>
      </c>
      <c r="G62" s="827">
        <f t="shared" si="64"/>
        <v>0</v>
      </c>
      <c r="H62" s="827">
        <f t="shared" si="64"/>
        <v>0</v>
      </c>
      <c r="I62" s="827">
        <f t="shared" si="64"/>
        <v>0</v>
      </c>
      <c r="J62" s="827">
        <f t="shared" si="64"/>
        <v>0</v>
      </c>
      <c r="K62" s="812"/>
      <c r="M62" s="828" t="s">
        <v>1706</v>
      </c>
      <c r="N62" s="829">
        <f>IF($Q$43=0,0,-$T$44)</f>
        <v>0</v>
      </c>
      <c r="O62" s="829">
        <f>IF($Q$43=0,0,IF(N$44=0,0,-$T$44+N$44))</f>
        <v>0</v>
      </c>
      <c r="P62" s="829">
        <f t="shared" ref="P62:T62" si="65">IF($Q$43=0,0,IF(O$44=0,0,-$T$44+O$44))</f>
        <v>0</v>
      </c>
      <c r="Q62" s="829">
        <f t="shared" si="65"/>
        <v>0</v>
      </c>
      <c r="R62" s="829">
        <f t="shared" si="65"/>
        <v>0</v>
      </c>
      <c r="S62" s="829">
        <f t="shared" si="65"/>
        <v>0</v>
      </c>
      <c r="T62" s="829">
        <f t="shared" si="65"/>
        <v>0</v>
      </c>
    </row>
    <row r="63" spans="2:20" ht="18.75" x14ac:dyDescent="0.35">
      <c r="B63" s="811"/>
      <c r="C63" s="830" t="s">
        <v>1688</v>
      </c>
      <c r="D63" s="831">
        <f>SQRT(D61^2+D62^2)</f>
        <v>0</v>
      </c>
      <c r="E63" s="831">
        <f t="shared" ref="E63" si="66">SQRT(E61^2+E62^2)</f>
        <v>0</v>
      </c>
      <c r="F63" s="831">
        <f t="shared" ref="F63" si="67">SQRT(F61^2+F62^2)</f>
        <v>0</v>
      </c>
      <c r="G63" s="831">
        <f t="shared" ref="G63" si="68">SQRT(G61^2+G62^2)</f>
        <v>0</v>
      </c>
      <c r="H63" s="831">
        <f t="shared" ref="H63" si="69">SQRT(H61^2+H62^2)</f>
        <v>0</v>
      </c>
      <c r="I63" s="831">
        <f t="shared" ref="I63" si="70">SQRT(I61^2+I62^2)</f>
        <v>0</v>
      </c>
      <c r="J63" s="831">
        <f t="shared" ref="J63" si="71">SQRT(J61^2+J62^2)</f>
        <v>0</v>
      </c>
      <c r="K63" s="812"/>
      <c r="M63" s="832" t="s">
        <v>1716</v>
      </c>
      <c r="N63" s="831">
        <f>N61^2+N62^2</f>
        <v>0</v>
      </c>
      <c r="O63" s="831">
        <f t="shared" ref="O63" si="72">O61^2+O62^2</f>
        <v>0</v>
      </c>
      <c r="P63" s="831">
        <f t="shared" ref="P63" si="73">P61^2+P62^2</f>
        <v>0</v>
      </c>
      <c r="Q63" s="831">
        <f t="shared" ref="Q63" si="74">Q61^2+Q62^2</f>
        <v>0</v>
      </c>
      <c r="R63" s="831">
        <f t="shared" ref="R63" si="75">R61^2+R62^2</f>
        <v>0</v>
      </c>
      <c r="S63" s="831">
        <f t="shared" ref="S63" si="76">S61^2+S62^2</f>
        <v>0</v>
      </c>
      <c r="T63" s="831">
        <f t="shared" ref="T63" si="77">T61^2+T62^2</f>
        <v>0</v>
      </c>
    </row>
    <row r="64" spans="2:20" ht="37.5" customHeight="1" x14ac:dyDescent="0.25">
      <c r="B64" s="811"/>
      <c r="C64" s="823" t="s">
        <v>1731</v>
      </c>
      <c r="D64" s="824">
        <f>IF(N65&lt;&gt;0,($D$43/$I$45)+(1000*$D$44*N65)/$N$45,IF(N64&lt;&gt;0,($D$43/$I$45),IF(O65&lt;&gt;0,$D$43/$I$45,0)))</f>
        <v>0</v>
      </c>
      <c r="E64" s="824">
        <f t="shared" ref="E64:J64" si="78">IF(O65&lt;&gt;0,($D$43/$I$45)+(1000*$D$44*O65)/$N$45,IF(O64&lt;&gt;0,($D$43/$I$45),IF(P65&lt;&gt;0,$D$43/$I$45,0)))</f>
        <v>0</v>
      </c>
      <c r="F64" s="824">
        <f t="shared" si="78"/>
        <v>0</v>
      </c>
      <c r="G64" s="824">
        <f t="shared" si="78"/>
        <v>0</v>
      </c>
      <c r="H64" s="824">
        <f t="shared" si="78"/>
        <v>0</v>
      </c>
      <c r="I64" s="824">
        <f t="shared" si="78"/>
        <v>0</v>
      </c>
      <c r="J64" s="824">
        <f t="shared" si="78"/>
        <v>0</v>
      </c>
      <c r="K64" s="812"/>
      <c r="M64" s="814" t="s">
        <v>1707</v>
      </c>
      <c r="N64" s="825">
        <f>IF($R$43=0,0,$T$43-$R$43)</f>
        <v>0</v>
      </c>
      <c r="O64" s="825">
        <f>IF(N$44=0,0,IF($R$43=0,0,$T$43-$R$43))</f>
        <v>0</v>
      </c>
      <c r="P64" s="825">
        <f t="shared" ref="P64:T64" si="79">IF(O$44=0,0,IF($R$43=0,0,$T$43-$R$43))</f>
        <v>0</v>
      </c>
      <c r="Q64" s="825">
        <f t="shared" si="79"/>
        <v>0</v>
      </c>
      <c r="R64" s="825">
        <f t="shared" si="79"/>
        <v>0</v>
      </c>
      <c r="S64" s="825">
        <f t="shared" si="79"/>
        <v>0</v>
      </c>
      <c r="T64" s="825">
        <f t="shared" si="79"/>
        <v>0</v>
      </c>
    </row>
    <row r="65" spans="2:20" ht="18" x14ac:dyDescent="0.35">
      <c r="B65" s="811"/>
      <c r="C65" s="826" t="s">
        <v>1728</v>
      </c>
      <c r="D65" s="827">
        <f t="shared" ref="D65:J65" si="80">IF(N64&lt;&gt;0,($D$42/$I$45)-(1000*$D$44*N64)/$N$45,IF(N65&lt;&gt;0,($D$42/$I$45),IF(N67&lt;&gt;0,$D$42/$I$45,0)))</f>
        <v>0</v>
      </c>
      <c r="E65" s="827">
        <f t="shared" si="80"/>
        <v>0</v>
      </c>
      <c r="F65" s="827">
        <f t="shared" si="80"/>
        <v>0</v>
      </c>
      <c r="G65" s="827">
        <f t="shared" si="80"/>
        <v>0</v>
      </c>
      <c r="H65" s="827">
        <f t="shared" si="80"/>
        <v>0</v>
      </c>
      <c r="I65" s="827">
        <f t="shared" si="80"/>
        <v>0</v>
      </c>
      <c r="J65" s="827">
        <f t="shared" si="80"/>
        <v>0</v>
      </c>
      <c r="K65" s="812"/>
      <c r="M65" s="828" t="s">
        <v>1708</v>
      </c>
      <c r="N65" s="829">
        <f>IF($R$43=0,0,-$T$44)</f>
        <v>0</v>
      </c>
      <c r="O65" s="829">
        <f>IF($R$43=0,0,IF(N$44=0,0,-$T$44+N$44))</f>
        <v>0</v>
      </c>
      <c r="P65" s="829">
        <f t="shared" ref="P65:T65" si="81">IF($R$43=0,0,IF(O$44=0,0,-$T$44+O$44))</f>
        <v>0</v>
      </c>
      <c r="Q65" s="829">
        <f t="shared" si="81"/>
        <v>0</v>
      </c>
      <c r="R65" s="829">
        <f t="shared" si="81"/>
        <v>0</v>
      </c>
      <c r="S65" s="829">
        <f t="shared" si="81"/>
        <v>0</v>
      </c>
      <c r="T65" s="829">
        <f t="shared" si="81"/>
        <v>0</v>
      </c>
    </row>
    <row r="66" spans="2:20" ht="18.75" x14ac:dyDescent="0.35">
      <c r="B66" s="811"/>
      <c r="C66" s="830" t="s">
        <v>1687</v>
      </c>
      <c r="D66" s="831">
        <f>SQRT(D64^2+D65^2)</f>
        <v>0</v>
      </c>
      <c r="E66" s="831">
        <f t="shared" ref="E66" si="82">SQRT(E64^2+E65^2)</f>
        <v>0</v>
      </c>
      <c r="F66" s="831">
        <f t="shared" ref="F66" si="83">SQRT(F64^2+F65^2)</f>
        <v>0</v>
      </c>
      <c r="G66" s="831">
        <f t="shared" ref="G66" si="84">SQRT(G64^2+G65^2)</f>
        <v>0</v>
      </c>
      <c r="H66" s="831">
        <f t="shared" ref="H66" si="85">SQRT(H64^2+H65^2)</f>
        <v>0</v>
      </c>
      <c r="I66" s="831">
        <f t="shared" ref="I66" si="86">SQRT(I64^2+I65^2)</f>
        <v>0</v>
      </c>
      <c r="J66" s="831">
        <f t="shared" ref="J66" si="87">SQRT(J64^2+J65^2)</f>
        <v>0</v>
      </c>
      <c r="K66" s="812"/>
      <c r="M66" s="832" t="s">
        <v>1717</v>
      </c>
      <c r="N66" s="831">
        <f>N64^2+N65^2</f>
        <v>0</v>
      </c>
      <c r="O66" s="831">
        <f t="shared" ref="O66" si="88">O64^2+O65^2</f>
        <v>0</v>
      </c>
      <c r="P66" s="831">
        <f t="shared" ref="P66" si="89">P64^2+P65^2</f>
        <v>0</v>
      </c>
      <c r="Q66" s="831">
        <f t="shared" ref="Q66" si="90">Q64^2+Q65^2</f>
        <v>0</v>
      </c>
      <c r="R66" s="831">
        <f t="shared" ref="R66" si="91">R64^2+R65^2</f>
        <v>0</v>
      </c>
      <c r="S66" s="831">
        <f t="shared" ref="S66" si="92">S64^2+S65^2</f>
        <v>0</v>
      </c>
      <c r="T66" s="831">
        <f t="shared" ref="T66" si="93">T64^2+T65^2</f>
        <v>0</v>
      </c>
    </row>
    <row r="67" spans="2:20" ht="37.5" customHeight="1" x14ac:dyDescent="0.25">
      <c r="B67" s="811"/>
      <c r="C67" s="823" t="s">
        <v>1730</v>
      </c>
      <c r="D67" s="824">
        <f>IF(N68&lt;&gt;0,($D$43/$I$45)+(1000*$D$44*N68)/$N$45,IF(N67&lt;&gt;0,($D$43/$I$45),IF(O68&lt;&gt;0,$D$43/$I$45,0)))</f>
        <v>0</v>
      </c>
      <c r="E67" s="824">
        <f t="shared" ref="E67:J67" si="94">IF(O68&lt;&gt;0,($D$43/$I$45)+(1000*$D$44*O68)/$N$45,IF(O67&lt;&gt;0,($D$43/$I$45),IF(P68&lt;&gt;0,$D$43/$I$45,0)))</f>
        <v>0</v>
      </c>
      <c r="F67" s="824">
        <f t="shared" si="94"/>
        <v>0</v>
      </c>
      <c r="G67" s="824">
        <f t="shared" si="94"/>
        <v>0</v>
      </c>
      <c r="H67" s="824">
        <f t="shared" si="94"/>
        <v>0</v>
      </c>
      <c r="I67" s="824">
        <f t="shared" si="94"/>
        <v>0</v>
      </c>
      <c r="J67" s="824">
        <f t="shared" si="94"/>
        <v>0</v>
      </c>
      <c r="K67" s="812"/>
      <c r="M67" s="814" t="s">
        <v>1709</v>
      </c>
      <c r="N67" s="825">
        <f>IF($S$43=0,0,$T$43-$S$43)</f>
        <v>0</v>
      </c>
      <c r="O67" s="825">
        <f>IF(N$44=0,0,IF($S$43=0,0,$T$43-$S$43))</f>
        <v>0</v>
      </c>
      <c r="P67" s="825">
        <f t="shared" ref="P67:T67" si="95">IF(O$44=0,0,IF($S$43=0,0,$T$43-$S$43))</f>
        <v>0</v>
      </c>
      <c r="Q67" s="825">
        <f t="shared" si="95"/>
        <v>0</v>
      </c>
      <c r="R67" s="825">
        <f t="shared" si="95"/>
        <v>0</v>
      </c>
      <c r="S67" s="825">
        <f t="shared" si="95"/>
        <v>0</v>
      </c>
      <c r="T67" s="825">
        <f t="shared" si="95"/>
        <v>0</v>
      </c>
    </row>
    <row r="68" spans="2:20" ht="18" x14ac:dyDescent="0.35">
      <c r="B68" s="811"/>
      <c r="C68" s="826" t="s">
        <v>1729</v>
      </c>
      <c r="D68" s="827">
        <f t="shared" ref="D68:J68" si="96">IF(N67&lt;&gt;0,($D$42/$I$45)-(1000*$D$44*N67)/$N$45,IF(N68&lt;&gt;0,($D$42/$I$45),IF(N70&lt;&gt;0,$D$42/$I$45,0)))</f>
        <v>0</v>
      </c>
      <c r="E68" s="827">
        <f t="shared" si="96"/>
        <v>0</v>
      </c>
      <c r="F68" s="827">
        <f t="shared" si="96"/>
        <v>0</v>
      </c>
      <c r="G68" s="827">
        <f t="shared" si="96"/>
        <v>0</v>
      </c>
      <c r="H68" s="827">
        <f t="shared" si="96"/>
        <v>0</v>
      </c>
      <c r="I68" s="827">
        <f t="shared" si="96"/>
        <v>0</v>
      </c>
      <c r="J68" s="827">
        <f t="shared" si="96"/>
        <v>0</v>
      </c>
      <c r="K68" s="812"/>
      <c r="M68" s="828" t="s">
        <v>1710</v>
      </c>
      <c r="N68" s="829">
        <f>IF($S$43=0,0,-$T$44)</f>
        <v>0</v>
      </c>
      <c r="O68" s="829">
        <f>IF($S$43=0,0,IF(N$44=0,0,-$T$44+N$44))</f>
        <v>0</v>
      </c>
      <c r="P68" s="829">
        <f t="shared" ref="P68:T68" si="97">IF($S$43=0,0,IF(O$44=0,0,-$T$44+O$44))</f>
        <v>0</v>
      </c>
      <c r="Q68" s="829">
        <f t="shared" si="97"/>
        <v>0</v>
      </c>
      <c r="R68" s="829">
        <f t="shared" si="97"/>
        <v>0</v>
      </c>
      <c r="S68" s="829">
        <f t="shared" si="97"/>
        <v>0</v>
      </c>
      <c r="T68" s="829">
        <f t="shared" si="97"/>
        <v>0</v>
      </c>
    </row>
    <row r="69" spans="2:20" ht="18.75" x14ac:dyDescent="0.35">
      <c r="B69" s="811"/>
      <c r="C69" s="830" t="s">
        <v>1686</v>
      </c>
      <c r="D69" s="831">
        <f>SQRT(D67^2+D68^2)</f>
        <v>0</v>
      </c>
      <c r="E69" s="831">
        <f t="shared" ref="E69" si="98">SQRT(E67^2+E68^2)</f>
        <v>0</v>
      </c>
      <c r="F69" s="831">
        <f t="shared" ref="F69" si="99">SQRT(F67^2+F68^2)</f>
        <v>0</v>
      </c>
      <c r="G69" s="831">
        <f t="shared" ref="G69" si="100">SQRT(G67^2+G68^2)</f>
        <v>0</v>
      </c>
      <c r="H69" s="831">
        <f t="shared" ref="H69" si="101">SQRT(H67^2+H68^2)</f>
        <v>0</v>
      </c>
      <c r="I69" s="831">
        <f t="shared" ref="I69" si="102">SQRT(I67^2+I68^2)</f>
        <v>0</v>
      </c>
      <c r="J69" s="831">
        <f t="shared" ref="J69" si="103">SQRT(J67^2+J68^2)</f>
        <v>0</v>
      </c>
      <c r="K69" s="812"/>
      <c r="M69" s="832" t="s">
        <v>1718</v>
      </c>
      <c r="N69" s="831">
        <f>N67^2+N68^2</f>
        <v>0</v>
      </c>
      <c r="O69" s="831">
        <f t="shared" ref="O69" si="104">O67^2+O68^2</f>
        <v>0</v>
      </c>
      <c r="P69" s="831">
        <f t="shared" ref="P69" si="105">P67^2+P68^2</f>
        <v>0</v>
      </c>
      <c r="Q69" s="831">
        <f t="shared" ref="Q69" si="106">Q67^2+Q68^2</f>
        <v>0</v>
      </c>
      <c r="R69" s="831">
        <f t="shared" ref="R69" si="107">R67^2+R68^2</f>
        <v>0</v>
      </c>
      <c r="S69" s="831">
        <f t="shared" ref="S69" si="108">S67^2+S68^2</f>
        <v>0</v>
      </c>
      <c r="T69" s="831">
        <f t="shared" ref="T69" si="109">T67^2+T68^2</f>
        <v>0</v>
      </c>
    </row>
    <row r="70" spans="2:20" x14ac:dyDescent="0.25">
      <c r="B70" s="811"/>
      <c r="K70" s="812"/>
    </row>
    <row r="71" spans="2:20" x14ac:dyDescent="0.25">
      <c r="B71" s="833"/>
      <c r="C71" s="290"/>
      <c r="D71" s="290"/>
      <c r="E71" s="290"/>
      <c r="F71" s="290"/>
      <c r="G71" s="290"/>
      <c r="H71" s="290"/>
      <c r="I71" s="290"/>
      <c r="J71" s="290"/>
      <c r="K71" s="834"/>
    </row>
  </sheetData>
  <sheetProtection algorithmName="SHA-512" hashValue="85h9jkGj5/qahSRO2/qu5yCRdcAzaKmT8mGqZuYAj3d29j0xgSkBfa5Y7ZDIgCUwM75brJ+nmJEi5mrxmtmVEA==" saltValue="0f5E9DocWeV8Udsq/yKytQ==" spinCount="100000" sheet="1" objects="1" scenarios="1"/>
  <mergeCells count="1">
    <mergeCell ref="C39:J39"/>
  </mergeCells>
  <conditionalFormatting sqref="D49:J69">
    <cfRule type="cellIs" dxfId="14" priority="1" operator="equal">
      <formula>0</formula>
    </cfRule>
  </conditionalFormatting>
  <conditionalFormatting sqref="N49:T69">
    <cfRule type="cellIs" dxfId="13" priority="2" operator="equal">
      <formula>0</formula>
    </cfRule>
  </conditionalFormatting>
  <dataValidations count="3">
    <dataValidation type="list" allowBlank="1" showInputMessage="1" showErrorMessage="1" sqref="J5" xr:uid="{509619C3-C7A1-49AA-931D-47468B447290}">
      <formula1>"OUI,NON"</formula1>
    </dataValidation>
    <dataValidation type="list" allowBlank="1" showInputMessage="1" showErrorMessage="1" sqref="J7" xr:uid="{202671EF-3ED2-4F9B-91A5-17EB9BDD2C7A}">
      <formula1>"2,4"</formula1>
    </dataValidation>
    <dataValidation type="list" allowBlank="1" showInputMessage="1" showErrorMessage="1" sqref="J6" xr:uid="{CF80C885-02D8-4790-8D5F-EA2F01FF7764}">
      <formula1>"Elastique, Plastique"</formula1>
    </dataValidation>
  </dataValidations>
  <pageMargins left="0.7" right="0.7" top="0.75" bottom="0.75" header="0.3" footer="0.3"/>
  <pageSetup paperSize="9" scale="97" orientation="portrait" horizontalDpi="4294967295" verticalDpi="4294967295" r:id="rId1"/>
  <rowBreaks count="1" manualBreakCount="1">
    <brk id="73" min="1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6649-10A2-4E40-9209-7D13AA6C3044}">
  <sheetPr codeName="Feuil13">
    <tabColor rgb="FF0070C0"/>
    <pageSetUpPr fitToPage="1"/>
  </sheetPr>
  <dimension ref="B1:AE51"/>
  <sheetViews>
    <sheetView zoomScaleNormal="100" zoomScaleSheetLayoutView="100" workbookViewId="0">
      <selection activeCell="M5" sqref="M5"/>
    </sheetView>
  </sheetViews>
  <sheetFormatPr baseColWidth="10" defaultColWidth="10.7109375" defaultRowHeight="15" x14ac:dyDescent="0.25"/>
  <cols>
    <col min="1" max="1" width="6.28515625" style="377" customWidth="1"/>
    <col min="2" max="2" width="2.140625" style="377" customWidth="1"/>
    <col min="3" max="10" width="10.7109375" style="377" customWidth="1"/>
    <col min="11" max="11" width="2.140625" style="377" customWidth="1"/>
    <col min="12" max="12" width="6.28515625" style="377" customWidth="1"/>
    <col min="13" max="13" width="10.7109375" style="377"/>
    <col min="14" max="14" width="17.140625" style="377" customWidth="1"/>
    <col min="15" max="15" width="10.7109375" style="377"/>
    <col min="16" max="16" width="11.5703125" style="377" bestFit="1" customWidth="1"/>
    <col min="17" max="16384" width="10.7109375" style="377"/>
  </cols>
  <sheetData>
    <row r="1" spans="2:31" x14ac:dyDescent="0.25">
      <c r="Q1" s="359"/>
      <c r="R1" s="359"/>
      <c r="S1" s="359"/>
    </row>
    <row r="2" spans="2:31" x14ac:dyDescent="0.25">
      <c r="B2" s="444"/>
      <c r="C2" s="445"/>
      <c r="D2" s="445"/>
      <c r="E2" s="445"/>
      <c r="F2" s="445"/>
      <c r="G2" s="445"/>
      <c r="H2" s="445"/>
      <c r="I2" s="445"/>
      <c r="J2" s="445"/>
      <c r="K2" s="446"/>
      <c r="P2" s="387"/>
      <c r="Q2" s="387"/>
      <c r="R2" s="387"/>
      <c r="S2" s="387"/>
      <c r="T2" s="387"/>
      <c r="U2" s="387"/>
    </row>
    <row r="3" spans="2:31" ht="15.75" thickBot="1" x14ac:dyDescent="0.3">
      <c r="B3" s="447"/>
      <c r="C3" s="432" t="str">
        <f>IF(Configuration!Y4="EN","Buckling of double angles using simplified method (CM journal 2010-N°4)","Flambement des doubles cornières selon méthode simplifiée (revue CM 2010-N°4)")</f>
        <v>Flambement des doubles cornières selon méthode simplifiée (revue CM 2010-N°4)</v>
      </c>
      <c r="E3" s="434"/>
      <c r="J3" s="433">
        <f>IF(E9="&gt;","N/A",H4/G15)</f>
        <v>0.43727123511904253</v>
      </c>
      <c r="K3" s="448"/>
      <c r="U3" s="387"/>
      <c r="V3" s="387"/>
    </row>
    <row r="4" spans="2:31" ht="18" x14ac:dyDescent="0.25">
      <c r="B4" s="447"/>
      <c r="C4" s="443" t="str">
        <f>IF(Configuration!Y4="EN",N6&amp;" - "&amp;N5&amp;" - gap = "&amp;O5&amp;" mm - "&amp;M5&amp;" battens",N6&amp;" - "&amp;N5&amp;" - jeu = "&amp;O5&amp;" mm - "&amp;M5&amp;" barettes")</f>
        <v>CAE 110x110x10 - S275 - jeu = 12 mm - 4 barettes</v>
      </c>
      <c r="G4" s="437" t="s">
        <v>689</v>
      </c>
      <c r="H4" s="1071">
        <f>N7</f>
        <v>20000</v>
      </c>
      <c r="I4" s="1071"/>
      <c r="K4" s="448"/>
      <c r="M4" s="840" t="s">
        <v>712</v>
      </c>
      <c r="N4" s="376" t="s">
        <v>423</v>
      </c>
      <c r="O4" s="376" t="s">
        <v>711</v>
      </c>
      <c r="P4" s="841" t="s">
        <v>710</v>
      </c>
      <c r="Q4" s="1081">
        <v>4000</v>
      </c>
      <c r="R4" s="1081"/>
      <c r="S4" s="842" t="s">
        <v>683</v>
      </c>
      <c r="T4" s="907">
        <v>1</v>
      </c>
      <c r="U4" s="843" t="s">
        <v>709</v>
      </c>
      <c r="V4" s="844">
        <v>2</v>
      </c>
      <c r="W4" s="845">
        <f>0.18*$D$9^2+0.77*$D$9+0.39</f>
        <v>1.2599787649476868</v>
      </c>
      <c r="X4" s="846">
        <f>0.86*$D$9^2-0.18*$D$9+0.66</f>
        <v>1.2340986297359464</v>
      </c>
    </row>
    <row r="5" spans="2:31" ht="18" x14ac:dyDescent="0.25">
      <c r="B5" s="447"/>
      <c r="D5" s="288" t="str">
        <f>IF(Configuration!Y4="EN","distance between battens","côte entre barettes")</f>
        <v>côte entre barettes</v>
      </c>
      <c r="E5" s="847">
        <f>MIN(G7,G11)/(M5+1)</f>
        <v>800</v>
      </c>
      <c r="F5" s="377" t="str">
        <f>IF(E5&lt;=H5,"&lt;","&gt;")</f>
        <v>&lt;</v>
      </c>
      <c r="G5" s="288" t="s">
        <v>713</v>
      </c>
      <c r="H5" s="534">
        <f>50*T7</f>
        <v>1076.8948646804251</v>
      </c>
      <c r="K5" s="448"/>
      <c r="M5" s="704">
        <v>4</v>
      </c>
      <c r="N5" s="705" t="s">
        <v>437</v>
      </c>
      <c r="O5" s="705">
        <v>12</v>
      </c>
      <c r="P5" s="848" t="s">
        <v>704</v>
      </c>
      <c r="Q5" s="1082">
        <v>4000</v>
      </c>
      <c r="R5" s="1082"/>
      <c r="S5" s="849" t="s">
        <v>683</v>
      </c>
      <c r="T5" s="908">
        <v>1</v>
      </c>
      <c r="U5" s="850">
        <f>0.1*(2*(VLOOKUP(N6,Cornières!A5:AJ97,35,FALSE))+O5)</f>
        <v>7.32</v>
      </c>
      <c r="V5" s="851">
        <v>3</v>
      </c>
      <c r="W5" s="852">
        <f>0.32*$D$9^2+0.52*$D$9+0.41</f>
        <v>1.16854815889612</v>
      </c>
      <c r="X5" s="853">
        <f>0.66*$D$9^2-0.16*$D$9+0.66</f>
        <v>1.080292777695345</v>
      </c>
    </row>
    <row r="6" spans="2:31" ht="18" x14ac:dyDescent="0.25">
      <c r="B6" s="447"/>
      <c r="C6" s="535" t="str">
        <f>IF(Configuration!Y4="EN","Reduced slenderness about strong axis z'-z'","Elancement réduit sur l'axe fort z'-z'")</f>
        <v>Elancement réduit sur l'axe fort z'-z'</v>
      </c>
      <c r="K6" s="448"/>
      <c r="M6" s="854" t="s">
        <v>699</v>
      </c>
      <c r="N6" s="1079" t="s">
        <v>315</v>
      </c>
      <c r="O6" s="1079"/>
      <c r="P6" s="855" t="s">
        <v>424</v>
      </c>
      <c r="Q6" s="856" t="s">
        <v>216</v>
      </c>
      <c r="R6" s="849" t="s">
        <v>684</v>
      </c>
      <c r="S6" s="849" t="s">
        <v>698</v>
      </c>
      <c r="T6" s="849" t="s">
        <v>697</v>
      </c>
      <c r="U6" s="857" t="s">
        <v>696</v>
      </c>
      <c r="V6" s="851">
        <v>4</v>
      </c>
      <c r="W6" s="852">
        <f>0.56*$D$9^2+0.17*$D$9+0.48</f>
        <v>1.1204674143597737</v>
      </c>
      <c r="X6" s="853">
        <f>0.65*$D$9^2-0.21*$D$9+0.67</f>
        <v>1.0352557485404363</v>
      </c>
    </row>
    <row r="7" spans="2:31" ht="18.75" thickBot="1" x14ac:dyDescent="0.3">
      <c r="B7" s="447"/>
      <c r="C7" s="288" t="s">
        <v>708</v>
      </c>
      <c r="D7" s="1080">
        <f>U7</f>
        <v>1043.397616</v>
      </c>
      <c r="E7" s="1080"/>
      <c r="F7" s="288" t="s">
        <v>702</v>
      </c>
      <c r="G7" s="1078">
        <f>Q4*T4</f>
        <v>4000</v>
      </c>
      <c r="H7" s="1078"/>
      <c r="K7" s="448"/>
      <c r="M7" s="859" t="s">
        <v>689</v>
      </c>
      <c r="N7" s="1077">
        <v>20000</v>
      </c>
      <c r="O7" s="1077"/>
      <c r="P7" s="860">
        <f>VLOOKUP(N5,Data!$A$3:$D$17,2,FALSE)</f>
        <v>27.5</v>
      </c>
      <c r="Q7" s="861">
        <f>100*VLOOKUP(N6,Cornières!A5:AJ97,8,FALSE)</f>
        <v>2118</v>
      </c>
      <c r="R7" s="862">
        <f>VLOOKUP(N6,Cornières!A5:AJ97,9,FALSE)</f>
        <v>237.98</v>
      </c>
      <c r="S7" s="862">
        <f>VLOOKUP(N6,Cornières!A5:AJ97,23,FALSE)</f>
        <v>98.25</v>
      </c>
      <c r="T7" s="863">
        <f>10*VLOOKUP(N6,Cornières!A5:AJ97,26,FALSE)</f>
        <v>21.537897293608502</v>
      </c>
      <c r="U7" s="864">
        <f>0.5*(U5)^2*(Q7/100)+2*R7</f>
        <v>1043.397616</v>
      </c>
      <c r="V7" s="865">
        <v>5</v>
      </c>
      <c r="W7" s="866">
        <f>0.69*$D$9^2-0.05*$D$9+0.53</f>
        <v>1.0782691698244804</v>
      </c>
      <c r="X7" s="867">
        <f>0.69*$D$9^2-0.31*$D$9+0.7</f>
        <v>1.0068936501431378</v>
      </c>
      <c r="AA7" s="359"/>
      <c r="AB7" s="359"/>
      <c r="AC7" s="359"/>
      <c r="AD7" s="288"/>
      <c r="AE7" s="868"/>
    </row>
    <row r="8" spans="2:31" ht="18" x14ac:dyDescent="0.25">
      <c r="B8" s="447"/>
      <c r="C8" s="288" t="s">
        <v>707</v>
      </c>
      <c r="D8" s="1026">
        <f>(PI()^2*21000*D7*10000)/(G7)^2</f>
        <v>135160.22235134663</v>
      </c>
      <c r="E8" s="1026"/>
      <c r="K8" s="448"/>
      <c r="O8" s="288" t="s">
        <v>693</v>
      </c>
      <c r="P8" s="288" t="s">
        <v>692</v>
      </c>
      <c r="Q8" s="858">
        <f>S7</f>
        <v>98.25</v>
      </c>
      <c r="R8" s="288" t="s">
        <v>691</v>
      </c>
      <c r="S8" s="379">
        <f>(PI()^2*21000*Q8*10000)/(T4*Q4)^2</f>
        <v>12727.163300342263</v>
      </c>
      <c r="T8" s="869" t="s">
        <v>690</v>
      </c>
      <c r="U8" s="870">
        <f>(Q7*P7/S8)^0.5</f>
        <v>2.1392597328351943</v>
      </c>
    </row>
    <row r="9" spans="2:31" ht="18" x14ac:dyDescent="0.25">
      <c r="B9" s="447"/>
      <c r="C9" s="869" t="s">
        <v>706</v>
      </c>
      <c r="D9" s="870">
        <f>(2*Q7*P7/D8)^0.5</f>
        <v>0.92836738338977876</v>
      </c>
      <c r="E9" s="521" t="str">
        <f>IF(D9&lt;=F9,"&lt;","&gt;")</f>
        <v>&lt;</v>
      </c>
      <c r="F9" s="521">
        <v>1.8</v>
      </c>
      <c r="G9" s="871" t="s">
        <v>705</v>
      </c>
      <c r="H9" s="872">
        <f>IF(N5="S235",VLOOKUP(M5,V4:X7,2,FALSE),VLOOKUP(M5,V4:X7,3,FALSE))</f>
        <v>1.0352557485404363</v>
      </c>
      <c r="J9" s="288"/>
      <c r="K9" s="448"/>
      <c r="O9" s="288"/>
      <c r="P9" s="288"/>
      <c r="Q9" s="858"/>
      <c r="R9" s="288"/>
      <c r="S9" s="379"/>
      <c r="T9" s="869"/>
      <c r="U9" s="870"/>
    </row>
    <row r="10" spans="2:31" x14ac:dyDescent="0.25">
      <c r="B10" s="447"/>
      <c r="C10" s="535" t="str">
        <f>IF(Configuration!Y4="EN","Reduced slenderness about weak axis y'-y'","Elancement réduit sur l'axe faible y'-y'")</f>
        <v>Elancement réduit sur l'axe faible y'-y'</v>
      </c>
      <c r="D10" s="288"/>
      <c r="E10" s="873"/>
      <c r="J10" s="288"/>
      <c r="K10" s="448"/>
      <c r="O10" s="288"/>
      <c r="P10" s="288"/>
      <c r="Q10" s="858"/>
      <c r="R10" s="288"/>
      <c r="S10" s="379"/>
      <c r="T10" s="869"/>
      <c r="U10" s="870"/>
    </row>
    <row r="11" spans="2:31" ht="18" x14ac:dyDescent="0.25">
      <c r="B11" s="447"/>
      <c r="C11" s="288" t="s">
        <v>703</v>
      </c>
      <c r="D11" s="1080">
        <f>2*R7</f>
        <v>475.96</v>
      </c>
      <c r="E11" s="1080"/>
      <c r="F11" s="288" t="s">
        <v>702</v>
      </c>
      <c r="G11" s="1078">
        <f>Q5*T5</f>
        <v>4000</v>
      </c>
      <c r="H11" s="1078"/>
      <c r="J11" s="288"/>
      <c r="K11" s="448"/>
      <c r="O11" s="288"/>
      <c r="P11" s="288"/>
      <c r="Q11" s="858"/>
      <c r="R11" s="288"/>
      <c r="S11" s="379"/>
      <c r="T11" s="869"/>
      <c r="U11" s="870"/>
    </row>
    <row r="12" spans="2:31" ht="18" x14ac:dyDescent="0.25">
      <c r="B12" s="447"/>
      <c r="C12" s="288" t="s">
        <v>701</v>
      </c>
      <c r="D12" s="1026">
        <f>(PI()^2*21000*D11*10000)/(G11)^2</f>
        <v>61655.171953495192</v>
      </c>
      <c r="E12" s="1026"/>
      <c r="G12" s="869" t="s">
        <v>700</v>
      </c>
      <c r="H12" s="874">
        <f>(2*Q7*P7/D12)^0.5</f>
        <v>1.3745469103440511</v>
      </c>
      <c r="J12" s="288"/>
      <c r="K12" s="448"/>
      <c r="O12" s="288"/>
      <c r="P12" s="288"/>
      <c r="Q12" s="858"/>
      <c r="R12" s="288"/>
      <c r="S12" s="379"/>
      <c r="T12" s="869"/>
      <c r="U12" s="870"/>
    </row>
    <row r="13" spans="2:31" x14ac:dyDescent="0.25">
      <c r="B13" s="447"/>
      <c r="C13" s="535" t="str">
        <f>IF(Configuration!Y4="EN","Buckling resistance","Résistance au flambement")</f>
        <v>Résistance au flambement</v>
      </c>
      <c r="K13" s="448"/>
      <c r="O13" s="288"/>
      <c r="P13" s="288"/>
      <c r="Q13" s="858"/>
      <c r="R13" s="288"/>
      <c r="S13" s="379"/>
      <c r="T13" s="869"/>
      <c r="U13" s="870"/>
    </row>
    <row r="14" spans="2:31" ht="18" x14ac:dyDescent="0.25">
      <c r="B14" s="447"/>
      <c r="D14" s="871" t="s">
        <v>695</v>
      </c>
      <c r="E14" s="875">
        <f>MAX(H9,H12)</f>
        <v>1.3745469103440511</v>
      </c>
      <c r="F14" s="436" t="s">
        <v>679</v>
      </c>
      <c r="G14" s="533">
        <f>0.5*(1+0.34*(E14-0.2)+E14^2)</f>
        <v>1.6443625791266769</v>
      </c>
      <c r="H14" s="871" t="s">
        <v>694</v>
      </c>
      <c r="I14" s="533">
        <f>MIN(1,(1/(G14+SQRT(G14^2-E14^2))))</f>
        <v>0.39263629337735506</v>
      </c>
      <c r="K14" s="448"/>
      <c r="O14" s="288"/>
      <c r="P14" s="288"/>
      <c r="Q14" s="858"/>
      <c r="R14" s="288"/>
      <c r="S14" s="379"/>
      <c r="T14" s="869"/>
      <c r="U14" s="870"/>
    </row>
    <row r="15" spans="2:31" x14ac:dyDescent="0.25">
      <c r="B15" s="447"/>
      <c r="C15" s="288" t="s">
        <v>674</v>
      </c>
      <c r="D15" s="1026">
        <f>2*Q7*P7/G_M0</f>
        <v>116490</v>
      </c>
      <c r="E15" s="1026"/>
      <c r="F15" s="288" t="s">
        <v>673</v>
      </c>
      <c r="G15" s="1068">
        <f>IF(E9="&gt;","non valide",I14*D15)</f>
        <v>45738.201815528089</v>
      </c>
      <c r="H15" s="1068"/>
      <c r="K15" s="448"/>
      <c r="O15" s="521"/>
      <c r="P15" s="288"/>
      <c r="Q15" s="858"/>
      <c r="R15" s="288"/>
      <c r="S15" s="379"/>
      <c r="T15" s="869"/>
      <c r="U15" s="870"/>
    </row>
    <row r="16" spans="2:31" ht="15.75" thickBot="1" x14ac:dyDescent="0.3">
      <c r="B16" s="447"/>
      <c r="C16" s="1019" t="s">
        <v>790</v>
      </c>
      <c r="D16" s="1020"/>
      <c r="E16" s="1020"/>
      <c r="F16" s="1020"/>
      <c r="G16" s="1020"/>
      <c r="H16" s="1020"/>
      <c r="I16" s="1020"/>
      <c r="J16" s="1020"/>
      <c r="K16" s="448"/>
      <c r="M16" s="413"/>
      <c r="N16" s="422"/>
      <c r="O16" s="413"/>
      <c r="P16" s="413"/>
      <c r="Q16" s="413"/>
      <c r="R16" s="413"/>
      <c r="S16" s="413"/>
      <c r="T16" s="413"/>
      <c r="V16" s="387"/>
    </row>
    <row r="17" spans="2:24" x14ac:dyDescent="0.25">
      <c r="B17" s="447"/>
      <c r="C17" s="432" t="str">
        <f>IF(Configuration!Y4="EN","Bar Buckling","Flambement Barre")</f>
        <v>Flambement Barre</v>
      </c>
      <c r="J17" s="433">
        <f>Q18/H26</f>
        <v>0.70733117817166791</v>
      </c>
      <c r="K17" s="448"/>
      <c r="M17" s="909" t="s">
        <v>1898</v>
      </c>
      <c r="N17" s="910" t="s">
        <v>1952</v>
      </c>
      <c r="O17" s="376" t="s">
        <v>687</v>
      </c>
      <c r="P17" s="376" t="s">
        <v>654</v>
      </c>
      <c r="Q17" s="1073">
        <v>7500</v>
      </c>
      <c r="R17" s="1073"/>
      <c r="S17" s="376" t="s">
        <v>686</v>
      </c>
      <c r="T17" s="876" t="s">
        <v>685</v>
      </c>
      <c r="U17" s="877" t="s">
        <v>216</v>
      </c>
      <c r="V17" s="877" t="s">
        <v>684</v>
      </c>
      <c r="W17" s="878" t="s">
        <v>424</v>
      </c>
      <c r="X17" s="400" t="str">
        <f>IF(O18="Y","Wply","Wplz")</f>
        <v>Wplz</v>
      </c>
    </row>
    <row r="18" spans="2:24" ht="15" customHeight="1" thickBot="1" x14ac:dyDescent="0.3">
      <c r="B18" s="447"/>
      <c r="C18" s="437" t="s">
        <v>689</v>
      </c>
      <c r="D18" s="1071">
        <f>Q18</f>
        <v>2400</v>
      </c>
      <c r="E18" s="1071"/>
      <c r="F18" s="288" t="s">
        <v>688</v>
      </c>
      <c r="G18" s="359" t="str">
        <f>N17&amp;" - "&amp;N18</f>
        <v>CARF  90*3 - S235</v>
      </c>
      <c r="K18" s="448"/>
      <c r="M18" s="879" t="s">
        <v>423</v>
      </c>
      <c r="N18" s="705" t="s">
        <v>435</v>
      </c>
      <c r="O18" s="707" t="s">
        <v>677</v>
      </c>
      <c r="P18" s="880" t="s">
        <v>676</v>
      </c>
      <c r="Q18" s="1077">
        <v>2400</v>
      </c>
      <c r="R18" s="1077"/>
      <c r="S18" s="839">
        <v>1</v>
      </c>
      <c r="T18" s="911" t="s">
        <v>675</v>
      </c>
      <c r="U18" s="881" cm="1">
        <f t="array" ref="U18">INDEX(IF(M17="Laminé",Profilés!H4:H440,IF(M17="Cornière",Cornières!H5:H440,IF(M17="SHS",Tubes_SHS!H4:H440,IF(M17="RHS",Tubes_RHS!H4:H440,IF(M17="CHS",Tubes_CHS!H4:H440))))),O19)</f>
        <v>10.208230016469244</v>
      </c>
      <c r="V18" s="882" cm="1">
        <f t="array" ref="V18">INDEX(IF(M17="Laminé",IF(O18="Y",Profilés!I4:I440,Profilés!N4:N440),IF(M17="Cornière",IF(O18="Y",Cornières!N5:N440,Cornières!W5:W440),IF(M17="SHS",Tubes_SHS!I4:I440,IF(M17="RHS",IF(O18="Y",Tubes_RHS!I4:I440,Tubes_RHS!N4:NI440),IF(M17="CHS",Tubes_CHS!I4:I440,U19))))),O19)</f>
        <v>127</v>
      </c>
      <c r="W18" s="883">
        <f>VLOOKUP(N18,Data!$A$3:$D$34,2,FALSE)</f>
        <v>23.5</v>
      </c>
      <c r="X18" s="884" cm="1">
        <f t="array" ref="X18">INDEX(IF(M17="Laminé",IF(O18="Y",Profilés!K4:K440,Profilés!P4:P440),IF(M17="Cornière",IF(O18="Y",Cornières!O5:O440,Cornières!Y5:Y440),IF(M17="SHS",Tubes_SHS!K4:K440,IF(M17="RHS",IF(O18="Y",Tubes_RHS!K4:K440,Tubes_RHS!P4:PI440),IF(M17="CHS",Tubes_CHS!K4:K440,U19))))),O19)</f>
        <v>33</v>
      </c>
    </row>
    <row r="19" spans="2:24" ht="15" customHeight="1" thickBot="1" x14ac:dyDescent="0.3">
      <c r="B19" s="447"/>
      <c r="C19" s="437" t="s">
        <v>683</v>
      </c>
      <c r="D19" s="443">
        <f>T19</f>
        <v>1</v>
      </c>
      <c r="E19" s="436" t="s">
        <v>682</v>
      </c>
      <c r="F19" s="443">
        <f>IF(T18="a0",0.13,IF(T18="a",0.21,IF(T18="b",0.34,IF(T18="c",0.49,0.76))))</f>
        <v>0.49</v>
      </c>
      <c r="G19" s="437" t="s">
        <v>681</v>
      </c>
      <c r="H19" s="1026">
        <f>(PI()^2*21000*V18*10000)/(T19*Q17)^2</f>
        <v>4679.5084333698342</v>
      </c>
      <c r="I19" s="1026"/>
      <c r="K19" s="448"/>
      <c r="M19" s="885" t="s">
        <v>670</v>
      </c>
      <c r="N19" s="706">
        <v>48</v>
      </c>
      <c r="O19" s="916">
        <f>IF(M17="Laminé",MATCH(N17,Profilés!$A$4:$A$440,0),IF(M17="Cornière",MATCH(N17,Cornières!$A$4:$A$440,0),IF(M17="SHS",MATCH(N17,Tubes_SHS!$A$4:$A$440,0),IF(M17="RHS",MATCH(N17,Tubes_RHS!$A$4:$A$440,0),IF(M17="CHS",MATCH(N17,Tubes_CHS!$A$4:$A$440,0),U19)))))</f>
        <v>36</v>
      </c>
      <c r="P19" s="374"/>
      <c r="Q19" s="1075" t="s">
        <v>1884</v>
      </c>
      <c r="R19" s="1076"/>
      <c r="S19" s="838">
        <v>1</v>
      </c>
      <c r="T19" s="886">
        <f>IF(S18="Manuel",S19,S18)</f>
        <v>1</v>
      </c>
    </row>
    <row r="20" spans="2:24" ht="15" customHeight="1" x14ac:dyDescent="0.25">
      <c r="B20" s="447"/>
      <c r="C20" s="887" t="s">
        <v>680</v>
      </c>
      <c r="D20" s="533">
        <f>(U18*W18*100/H19)^0.5</f>
        <v>2.2641700304931982</v>
      </c>
      <c r="E20" s="887" t="s">
        <v>679</v>
      </c>
      <c r="F20" s="872">
        <f>0.5*(1+F19*(D20-0.2)+D20^2)</f>
        <v>3.5689546209626188</v>
      </c>
      <c r="G20" s="887" t="s">
        <v>678</v>
      </c>
      <c r="H20" s="888">
        <f>MIN(1,(1/(F20+SQRT(F20^2-D20^2))))</f>
        <v>0.15803396935965716</v>
      </c>
      <c r="K20" s="448"/>
      <c r="O20" s="374"/>
      <c r="P20" s="374"/>
      <c r="R20" s="374"/>
      <c r="S20" s="374"/>
      <c r="T20" s="373"/>
    </row>
    <row r="21" spans="2:24" x14ac:dyDescent="0.25">
      <c r="B21" s="447"/>
      <c r="C21" s="437" t="s">
        <v>654</v>
      </c>
      <c r="D21" s="1074">
        <f>Q17</f>
        <v>7500</v>
      </c>
      <c r="E21" s="1074"/>
      <c r="F21" s="288" t="s">
        <v>674</v>
      </c>
      <c r="G21" s="1026">
        <f>U18*100*W18/G_M0</f>
        <v>23989.340538702723</v>
      </c>
      <c r="H21" s="1026"/>
      <c r="K21" s="448"/>
      <c r="M21" s="374"/>
      <c r="N21" s="374"/>
      <c r="O21" s="374"/>
      <c r="P21" s="374"/>
      <c r="R21" s="374"/>
      <c r="S21" s="374"/>
      <c r="T21" s="373"/>
    </row>
    <row r="22" spans="2:24" x14ac:dyDescent="0.25">
      <c r="B22" s="447"/>
      <c r="F22" s="288" t="s">
        <v>673</v>
      </c>
      <c r="G22" s="1068">
        <f>H20*G21</f>
        <v>3791.1307076517278</v>
      </c>
      <c r="H22" s="1068"/>
      <c r="K22" s="448"/>
      <c r="M22" s="889"/>
      <c r="N22" s="374"/>
      <c r="O22" s="374"/>
      <c r="P22" s="374"/>
      <c r="R22" s="374"/>
      <c r="S22" s="374"/>
      <c r="T22" s="373"/>
    </row>
    <row r="23" spans="2:24" x14ac:dyDescent="0.25">
      <c r="B23" s="447"/>
      <c r="K23" s="448"/>
      <c r="M23" s="374"/>
      <c r="N23" s="374"/>
      <c r="O23" s="374"/>
      <c r="P23" s="374"/>
      <c r="R23" s="374"/>
      <c r="S23" s="374"/>
      <c r="T23" s="373"/>
    </row>
    <row r="24" spans="2:24" x14ac:dyDescent="0.25">
      <c r="B24" s="447"/>
      <c r="C24" s="535" t="str">
        <f>IF(Configuration!Y4="EN","Bending + Compression","Flexion + Compression")</f>
        <v>Flexion + Compression</v>
      </c>
      <c r="J24" s="890"/>
      <c r="K24" s="448"/>
      <c r="M24" s="374"/>
      <c r="N24" s="374"/>
      <c r="O24" s="374"/>
      <c r="P24" s="374"/>
      <c r="R24" s="374"/>
      <c r="S24" s="374"/>
      <c r="T24" s="373"/>
    </row>
    <row r="25" spans="2:24" x14ac:dyDescent="0.25">
      <c r="B25" s="447"/>
      <c r="D25" s="288" t="s">
        <v>670</v>
      </c>
      <c r="E25" s="891">
        <f>N19</f>
        <v>48</v>
      </c>
      <c r="F25" s="288" t="s">
        <v>669</v>
      </c>
      <c r="G25" s="1069">
        <f>X18*W18/G_M0</f>
        <v>775.5</v>
      </c>
      <c r="H25" s="1069"/>
      <c r="I25" s="892"/>
      <c r="J25" s="892"/>
      <c r="K25" s="448"/>
      <c r="M25" s="374"/>
      <c r="N25" s="374"/>
      <c r="O25" s="374"/>
      <c r="P25" s="374"/>
      <c r="R25" s="374"/>
      <c r="S25" s="374"/>
      <c r="T25" s="373"/>
    </row>
    <row r="26" spans="2:24" x14ac:dyDescent="0.25">
      <c r="B26" s="447"/>
      <c r="D26" s="1020" t="s">
        <v>668</v>
      </c>
      <c r="E26" s="1023" t="s">
        <v>667</v>
      </c>
      <c r="F26" s="1023"/>
      <c r="G26" s="1020" t="s">
        <v>666</v>
      </c>
      <c r="H26" s="1072">
        <f>G22/(1+(0.001*E25*G22)/(2*G25))</f>
        <v>3393.0357858727452</v>
      </c>
      <c r="I26" s="1072"/>
      <c r="K26" s="448"/>
      <c r="M26" s="374"/>
      <c r="N26" s="374"/>
      <c r="O26" s="374"/>
      <c r="P26" s="374"/>
      <c r="R26" s="374"/>
      <c r="S26" s="374"/>
      <c r="T26" s="373"/>
    </row>
    <row r="27" spans="2:24" x14ac:dyDescent="0.25">
      <c r="B27" s="447"/>
      <c r="D27" s="1020"/>
      <c r="E27" s="1070" t="s">
        <v>665</v>
      </c>
      <c r="F27" s="1070"/>
      <c r="G27" s="1020"/>
      <c r="H27" s="1072"/>
      <c r="I27" s="1072"/>
      <c r="K27" s="448"/>
      <c r="M27" s="374"/>
      <c r="N27" s="374"/>
      <c r="O27" s="374"/>
      <c r="P27" s="374"/>
      <c r="R27" s="374"/>
      <c r="S27" s="374"/>
      <c r="T27" s="373"/>
    </row>
    <row r="28" spans="2:24" ht="15.75" thickBot="1" x14ac:dyDescent="0.3">
      <c r="B28" s="447"/>
      <c r="C28" s="1019" t="s">
        <v>790</v>
      </c>
      <c r="D28" s="1020"/>
      <c r="E28" s="1020"/>
      <c r="F28" s="1020"/>
      <c r="G28" s="1020"/>
      <c r="H28" s="1020"/>
      <c r="I28" s="1020"/>
      <c r="J28" s="1020"/>
      <c r="K28" s="448"/>
      <c r="M28" s="374"/>
      <c r="N28" s="374"/>
      <c r="O28" s="374"/>
      <c r="P28" s="374"/>
      <c r="R28" s="374"/>
      <c r="S28" s="374"/>
      <c r="T28" s="373"/>
    </row>
    <row r="29" spans="2:24" x14ac:dyDescent="0.25">
      <c r="B29" s="447"/>
      <c r="C29" s="432" t="str">
        <f>IF(Configuration!Y4="EN","Plate Buckling","Flambement Plat")</f>
        <v>Flambement Plat</v>
      </c>
      <c r="J29" s="433">
        <f>Q30/H38</f>
        <v>0.98871468631671899</v>
      </c>
      <c r="K29" s="448"/>
      <c r="M29" s="893" t="s">
        <v>741</v>
      </c>
      <c r="N29" s="876"/>
      <c r="O29" s="376" t="s">
        <v>687</v>
      </c>
      <c r="P29" s="376" t="s">
        <v>654</v>
      </c>
      <c r="Q29" s="1073">
        <v>100</v>
      </c>
      <c r="R29" s="1073"/>
      <c r="S29" s="376" t="s">
        <v>686</v>
      </c>
      <c r="T29" s="876" t="s">
        <v>685</v>
      </c>
      <c r="U29" s="877" t="s">
        <v>216</v>
      </c>
      <c r="V29" s="877" t="s">
        <v>684</v>
      </c>
      <c r="W29" s="894" t="s">
        <v>424</v>
      </c>
    </row>
    <row r="30" spans="2:24" ht="18.75" thickBot="1" x14ac:dyDescent="0.3">
      <c r="B30" s="447"/>
      <c r="C30" s="437" t="s">
        <v>689</v>
      </c>
      <c r="D30" s="1071">
        <f>Q30</f>
        <v>2400</v>
      </c>
      <c r="E30" s="1071"/>
      <c r="F30" s="437" t="s">
        <v>688</v>
      </c>
      <c r="G30" s="895" t="str">
        <f>Q31&amp;" - "&amp;N30</f>
        <v>PL 300*6 - S235</v>
      </c>
      <c r="K30" s="448"/>
      <c r="M30" s="879" t="s">
        <v>423</v>
      </c>
      <c r="N30" s="705" t="s">
        <v>435</v>
      </c>
      <c r="O30" s="896" t="s">
        <v>677</v>
      </c>
      <c r="P30" s="880" t="s">
        <v>676</v>
      </c>
      <c r="Q30" s="1077">
        <v>2400</v>
      </c>
      <c r="R30" s="1077"/>
      <c r="S30" s="839">
        <v>1.2</v>
      </c>
      <c r="T30" s="911" t="s">
        <v>675</v>
      </c>
      <c r="U30" s="881">
        <f>0.01*N31*P31</f>
        <v>18</v>
      </c>
      <c r="V30" s="897">
        <f>0.0001*N31*P31^3/12</f>
        <v>0.54</v>
      </c>
      <c r="W30" s="898">
        <f>VLOOKUP(N30,Data!$A$3:$D$34,2,FALSE)</f>
        <v>23.5</v>
      </c>
    </row>
    <row r="31" spans="2:24" ht="15.75" thickBot="1" x14ac:dyDescent="0.3">
      <c r="B31" s="447"/>
      <c r="C31" s="437" t="s">
        <v>683</v>
      </c>
      <c r="D31" s="443">
        <f>S30</f>
        <v>1.2</v>
      </c>
      <c r="E31" s="436" t="s">
        <v>682</v>
      </c>
      <c r="F31" s="443">
        <f>IF(T30="a0",0.13,IF(T30="a",0.21,IF(T30="b",0.34,IF(T30="c",0.49,0.76))))</f>
        <v>0.49</v>
      </c>
      <c r="G31" s="437" t="s">
        <v>681</v>
      </c>
      <c r="H31" s="1026">
        <f>(PI()^2*21000*V30*10000)/(S30*Q29)^2</f>
        <v>77723.134658578696</v>
      </c>
      <c r="I31" s="1026"/>
      <c r="K31" s="448"/>
      <c r="M31" s="885" t="s">
        <v>672</v>
      </c>
      <c r="N31" s="706">
        <v>300</v>
      </c>
      <c r="O31" s="899" t="s">
        <v>628</v>
      </c>
      <c r="P31" s="709">
        <v>6</v>
      </c>
      <c r="Q31" s="1066" t="str">
        <f>"PL "&amp;N31&amp;"*"&amp;P31</f>
        <v>PL 300*6</v>
      </c>
      <c r="R31" s="1067"/>
      <c r="S31" s="885" t="s">
        <v>671</v>
      </c>
      <c r="T31" s="900">
        <f>0.001*N31*P31^2/4</f>
        <v>2.6999999999999997</v>
      </c>
    </row>
    <row r="32" spans="2:24" ht="15.75" thickBot="1" x14ac:dyDescent="0.3">
      <c r="B32" s="447"/>
      <c r="C32" s="887" t="s">
        <v>680</v>
      </c>
      <c r="D32" s="533">
        <f>(U30*W30*100/H31)^0.5</f>
        <v>0.73772589808641964</v>
      </c>
      <c r="E32" s="887" t="s">
        <v>679</v>
      </c>
      <c r="F32" s="872">
        <f>0.5*(1+F31*(D32-0.2)+D32^2)</f>
        <v>0.90386259538488001</v>
      </c>
      <c r="G32" s="887" t="s">
        <v>678</v>
      </c>
      <c r="H32" s="888">
        <f>MIN(1,(1/(F32+SQRT(F32^2-D32^2))))</f>
        <v>0.70121489517306212</v>
      </c>
      <c r="K32" s="448"/>
      <c r="M32" s="885" t="s">
        <v>670</v>
      </c>
      <c r="N32" s="708">
        <v>48</v>
      </c>
      <c r="O32" s="374"/>
      <c r="P32" s="374"/>
      <c r="R32" s="374"/>
      <c r="S32" s="374"/>
      <c r="T32" s="373"/>
    </row>
    <row r="33" spans="2:20" x14ac:dyDescent="0.25">
      <c r="B33" s="447"/>
      <c r="C33" s="437" t="s">
        <v>654</v>
      </c>
      <c r="D33" s="1074">
        <f>Q29</f>
        <v>100</v>
      </c>
      <c r="E33" s="1074"/>
      <c r="F33" s="288" t="s">
        <v>674</v>
      </c>
      <c r="G33" s="1026">
        <f>U30*100*W30/G_M0</f>
        <v>42300</v>
      </c>
      <c r="H33" s="1026"/>
      <c r="K33" s="448"/>
      <c r="M33" s="374"/>
      <c r="N33" s="374"/>
      <c r="O33" s="374"/>
      <c r="P33" s="374"/>
      <c r="R33" s="374"/>
      <c r="S33" s="374"/>
      <c r="T33" s="373"/>
    </row>
    <row r="34" spans="2:20" x14ac:dyDescent="0.25">
      <c r="B34" s="447"/>
      <c r="F34" s="288" t="s">
        <v>673</v>
      </c>
      <c r="G34" s="1068">
        <f>H32*G33</f>
        <v>29661.390065820528</v>
      </c>
      <c r="H34" s="1068"/>
      <c r="I34" s="398"/>
      <c r="J34" s="892"/>
      <c r="K34" s="448"/>
      <c r="M34" s="374"/>
      <c r="N34" s="374"/>
      <c r="O34" s="374"/>
      <c r="P34" s="374"/>
      <c r="R34" s="374"/>
      <c r="S34" s="374"/>
      <c r="T34" s="373"/>
    </row>
    <row r="35" spans="2:20" x14ac:dyDescent="0.25">
      <c r="B35" s="447"/>
      <c r="K35" s="448"/>
      <c r="M35" s="374"/>
      <c r="N35" s="374"/>
      <c r="O35" s="374"/>
      <c r="P35" s="374"/>
      <c r="R35" s="374"/>
      <c r="S35" s="374"/>
      <c r="T35" s="373"/>
    </row>
    <row r="36" spans="2:20" x14ac:dyDescent="0.25">
      <c r="B36" s="447"/>
      <c r="C36" s="535" t="str">
        <f>IF(Configuration!Y4="EN","Bending + Compression","Flexion + Compression")</f>
        <v>Flexion + Compression</v>
      </c>
      <c r="K36" s="448"/>
      <c r="M36" s="374"/>
      <c r="N36" s="374"/>
      <c r="O36" s="374"/>
      <c r="P36" s="374"/>
      <c r="R36" s="374"/>
      <c r="S36" s="374"/>
      <c r="T36" s="373"/>
    </row>
    <row r="37" spans="2:20" x14ac:dyDescent="0.25">
      <c r="B37" s="447"/>
      <c r="D37" s="288" t="s">
        <v>670</v>
      </c>
      <c r="E37" s="891">
        <f>N32</f>
        <v>48</v>
      </c>
      <c r="F37" s="288" t="s">
        <v>669</v>
      </c>
      <c r="G37" s="1069">
        <f>T31*W30/G_M0</f>
        <v>63.449999999999996</v>
      </c>
      <c r="H37" s="1069"/>
      <c r="I37" s="901"/>
      <c r="K37" s="448"/>
      <c r="M37" s="374"/>
      <c r="N37" s="374"/>
      <c r="O37" s="374"/>
      <c r="P37" s="374"/>
      <c r="R37" s="374"/>
      <c r="S37" s="374"/>
      <c r="T37" s="373"/>
    </row>
    <row r="38" spans="2:20" x14ac:dyDescent="0.25">
      <c r="B38" s="447"/>
      <c r="D38" s="1020" t="s">
        <v>668</v>
      </c>
      <c r="E38" s="1023" t="s">
        <v>667</v>
      </c>
      <c r="F38" s="1023"/>
      <c r="G38" s="1020" t="s">
        <v>666</v>
      </c>
      <c r="H38" s="1072">
        <f>G34/(1+(0.001*E37*G34)/(2*G37))</f>
        <v>2427.3939016125814</v>
      </c>
      <c r="I38" s="1072"/>
      <c r="K38" s="448"/>
      <c r="M38" s="374"/>
      <c r="N38" s="374"/>
      <c r="O38" s="374"/>
      <c r="P38" s="374"/>
      <c r="R38" s="374"/>
      <c r="S38" s="374"/>
      <c r="T38" s="373"/>
    </row>
    <row r="39" spans="2:20" x14ac:dyDescent="0.25">
      <c r="B39" s="447"/>
      <c r="D39" s="1020"/>
      <c r="E39" s="1070" t="s">
        <v>665</v>
      </c>
      <c r="F39" s="1070"/>
      <c r="G39" s="1020"/>
      <c r="H39" s="1072"/>
      <c r="I39" s="1072"/>
      <c r="K39" s="448"/>
      <c r="M39" s="374"/>
      <c r="N39" s="374"/>
      <c r="O39" s="374"/>
      <c r="P39" s="374"/>
      <c r="R39" s="374"/>
      <c r="S39" s="374"/>
      <c r="T39" s="373"/>
    </row>
    <row r="40" spans="2:20" x14ac:dyDescent="0.25">
      <c r="B40" s="447"/>
      <c r="C40" s="1019" t="s">
        <v>790</v>
      </c>
      <c r="D40" s="1020"/>
      <c r="E40" s="1020"/>
      <c r="F40" s="1020"/>
      <c r="G40" s="1020"/>
      <c r="H40" s="1020"/>
      <c r="I40" s="1020"/>
      <c r="J40" s="1020"/>
      <c r="K40" s="448"/>
      <c r="M40" s="374"/>
      <c r="N40" s="374"/>
      <c r="O40" s="374"/>
    </row>
    <row r="41" spans="2:20" x14ac:dyDescent="0.25">
      <c r="B41" s="447"/>
      <c r="C41" s="432" t="str">
        <f>IF(Configuration!Y4="EN","Angles in tension","Cornières en traction")</f>
        <v>Cornières en traction</v>
      </c>
      <c r="J41" s="433">
        <f>D42/G45</f>
        <v>0.32237266279819471</v>
      </c>
      <c r="K41" s="448"/>
      <c r="M41" s="374"/>
      <c r="N41" s="374"/>
      <c r="O41" s="374"/>
    </row>
    <row r="42" spans="2:20" x14ac:dyDescent="0.25">
      <c r="B42" s="447"/>
      <c r="C42" s="437" t="s">
        <v>689</v>
      </c>
      <c r="D42" s="1090">
        <v>2000</v>
      </c>
      <c r="E42" s="1090"/>
      <c r="F42" s="521"/>
      <c r="G42" s="1091" t="s">
        <v>271</v>
      </c>
      <c r="H42" s="1091"/>
      <c r="I42" s="678" t="s">
        <v>1835</v>
      </c>
      <c r="J42" s="433"/>
      <c r="K42" s="448"/>
      <c r="M42" s="377">
        <f>MATCH(G42,Cornières!$A$5:$A$153,0)</f>
        <v>23</v>
      </c>
      <c r="N42" s="377">
        <f>IF(I42="Simple",1,IF(I42="Double",2,4))</f>
        <v>1</v>
      </c>
      <c r="O42" s="374"/>
    </row>
    <row r="43" spans="2:20" ht="18" x14ac:dyDescent="0.25">
      <c r="B43" s="447"/>
      <c r="C43" s="288" t="s">
        <v>1393</v>
      </c>
      <c r="D43" s="641">
        <v>0.47</v>
      </c>
      <c r="G43" s="837" t="s">
        <v>437</v>
      </c>
      <c r="H43" s="288" t="s">
        <v>1902</v>
      </c>
      <c r="I43" s="374">
        <f>VLOOKUP(G43,Data!$A$3:$D$34,2,FALSE)*10</f>
        <v>275</v>
      </c>
      <c r="J43" s="521" t="s">
        <v>1176</v>
      </c>
      <c r="K43" s="448"/>
      <c r="M43" s="374"/>
      <c r="N43" s="374"/>
      <c r="O43" s="374"/>
    </row>
    <row r="44" spans="2:20" x14ac:dyDescent="0.25">
      <c r="B44" s="447"/>
      <c r="H44" s="288" t="s">
        <v>1670</v>
      </c>
      <c r="I44" s="377" cm="1">
        <f t="array" ref="I44">100*INDEX(Cornières!$H$5:$H$153,Divers!M42)*N42</f>
        <v>480</v>
      </c>
      <c r="J44" s="521" t="s">
        <v>531</v>
      </c>
      <c r="K44" s="448"/>
      <c r="M44" s="374"/>
      <c r="N44" s="374"/>
      <c r="O44" s="374"/>
    </row>
    <row r="45" spans="2:20" ht="18" x14ac:dyDescent="0.25">
      <c r="B45" s="447"/>
      <c r="F45" s="288" t="s">
        <v>1903</v>
      </c>
      <c r="G45" s="1068">
        <f>D43*I44*I43/(10*G_M0)</f>
        <v>6204</v>
      </c>
      <c r="H45" s="1068"/>
      <c r="K45" s="448"/>
      <c r="M45" s="374"/>
      <c r="N45" s="374"/>
      <c r="O45" s="374"/>
    </row>
    <row r="46" spans="2:20" x14ac:dyDescent="0.2">
      <c r="B46" s="447"/>
      <c r="C46" s="1019" t="s">
        <v>790</v>
      </c>
      <c r="D46" s="1020"/>
      <c r="E46" s="1020"/>
      <c r="F46" s="1020"/>
      <c r="G46" s="1020"/>
      <c r="H46" s="1020"/>
      <c r="I46" s="1020"/>
      <c r="J46" s="1020"/>
      <c r="K46" s="448"/>
      <c r="M46" s="902"/>
      <c r="N46" s="903"/>
      <c r="O46" s="904"/>
      <c r="R46" s="374"/>
    </row>
    <row r="47" spans="2:20" ht="15.75" thickBot="1" x14ac:dyDescent="0.3">
      <c r="B47" s="447"/>
      <c r="C47" s="432" t="str">
        <f>IF(Configuration!Y4="EN","Minimum characteristics","Caractéristiques minimum")</f>
        <v>Caractéristiques minimum</v>
      </c>
      <c r="D47" s="442"/>
      <c r="E47" s="442"/>
      <c r="F47" s="442"/>
      <c r="G47" s="442"/>
      <c r="H47" s="442"/>
      <c r="I47" s="442"/>
      <c r="J47" s="442"/>
      <c r="K47" s="448"/>
    </row>
    <row r="48" spans="2:20" ht="18.75" thickBot="1" x14ac:dyDescent="0.3">
      <c r="B48" s="447"/>
      <c r="C48" s="288" t="s">
        <v>664</v>
      </c>
      <c r="D48" s="1083">
        <f>P48</f>
        <v>700</v>
      </c>
      <c r="E48" s="1027"/>
      <c r="F48" s="288" t="s">
        <v>630</v>
      </c>
      <c r="G48" s="521" t="str">
        <f>N48</f>
        <v>S235</v>
      </c>
      <c r="H48" s="288" t="s">
        <v>663</v>
      </c>
      <c r="I48" s="527">
        <f>G_M0*P48/S48</f>
        <v>29.787234042553191</v>
      </c>
      <c r="J48" s="905" t="s">
        <v>662</v>
      </c>
      <c r="K48" s="448"/>
      <c r="M48" s="840" t="s">
        <v>423</v>
      </c>
      <c r="N48" s="921" t="s">
        <v>435</v>
      </c>
      <c r="O48" s="376" t="s">
        <v>661</v>
      </c>
      <c r="P48" s="1086">
        <v>700</v>
      </c>
      <c r="Q48" s="1087"/>
      <c r="R48" s="918" t="s">
        <v>424</v>
      </c>
      <c r="S48" s="919">
        <f>VLOOKUP(N48,Data!$A$3:$D$34,2,FALSE)</f>
        <v>23.5</v>
      </c>
    </row>
    <row r="49" spans="2:17" ht="18" x14ac:dyDescent="0.25">
      <c r="B49" s="447"/>
      <c r="C49" s="288" t="s">
        <v>659</v>
      </c>
      <c r="D49" s="1083">
        <f>P49</f>
        <v>500</v>
      </c>
      <c r="E49" s="1027"/>
      <c r="F49" s="288" t="s">
        <v>658</v>
      </c>
      <c r="G49" s="906">
        <f>N49</f>
        <v>300</v>
      </c>
      <c r="K49" s="448"/>
      <c r="M49" s="922" t="s">
        <v>525</v>
      </c>
      <c r="N49" s="920">
        <v>300</v>
      </c>
      <c r="O49" s="855" t="s">
        <v>1897</v>
      </c>
      <c r="P49" s="1088">
        <v>500</v>
      </c>
      <c r="Q49" s="1089"/>
    </row>
    <row r="50" spans="2:17" ht="18" thickBot="1" x14ac:dyDescent="0.3">
      <c r="B50" s="447"/>
      <c r="F50" s="288" t="s">
        <v>657</v>
      </c>
      <c r="G50" s="359" t="str">
        <f>N50</f>
        <v>Art-Art</v>
      </c>
      <c r="H50" s="288" t="s">
        <v>656</v>
      </c>
      <c r="I50" s="527">
        <f>IF(N50="Art-Art",(8*5*D49*P50^2)/(384*210*(P50/N49)),IF(N50="Enc-Enc",(12*D49*P50^2)/(384*210*(P50/N49)),(8*D49*P50^2)/(185*210*(P50/N49))))</f>
        <v>390.625</v>
      </c>
      <c r="J50" s="905" t="s">
        <v>655</v>
      </c>
      <c r="K50" s="448"/>
      <c r="M50" s="879" t="s">
        <v>660</v>
      </c>
      <c r="N50" s="923" t="s">
        <v>455</v>
      </c>
      <c r="O50" s="924" t="s">
        <v>654</v>
      </c>
      <c r="P50" s="1084">
        <v>5.25</v>
      </c>
      <c r="Q50" s="1085"/>
    </row>
    <row r="51" spans="2:17" x14ac:dyDescent="0.25">
      <c r="B51" s="449"/>
      <c r="C51" s="378"/>
      <c r="D51" s="378"/>
      <c r="E51" s="378"/>
      <c r="F51" s="378"/>
      <c r="G51" s="378"/>
      <c r="H51" s="378"/>
      <c r="I51" s="378"/>
      <c r="J51" s="378"/>
      <c r="K51" s="450"/>
    </row>
  </sheetData>
  <sheetProtection algorithmName="SHA-512" hashValue="9DvOB23o+HSY4W12fJiZxF8jTTnvjxV0ARulriCylwJZEMOGpTPqb6UEQBsVRSj6yR6jEXqTNsr0IsH/IWIpNA==" saltValue="2wklR/GsymQTMAlDEwyWSA==" spinCount="100000" sheet="1" objects="1" scenarios="1"/>
  <mergeCells count="53">
    <mergeCell ref="G37:H37"/>
    <mergeCell ref="D49:E49"/>
    <mergeCell ref="P50:Q50"/>
    <mergeCell ref="D48:E48"/>
    <mergeCell ref="H38:I39"/>
    <mergeCell ref="C46:J46"/>
    <mergeCell ref="D38:D39"/>
    <mergeCell ref="E38:F38"/>
    <mergeCell ref="E39:F39"/>
    <mergeCell ref="G38:G39"/>
    <mergeCell ref="P48:Q48"/>
    <mergeCell ref="P49:Q49"/>
    <mergeCell ref="C40:J40"/>
    <mergeCell ref="D42:E42"/>
    <mergeCell ref="G42:H42"/>
    <mergeCell ref="G45:H45"/>
    <mergeCell ref="D11:E11"/>
    <mergeCell ref="D12:E12"/>
    <mergeCell ref="Q4:R4"/>
    <mergeCell ref="G7:H7"/>
    <mergeCell ref="Q5:R5"/>
    <mergeCell ref="D7:E7"/>
    <mergeCell ref="D8:E8"/>
    <mergeCell ref="H4:I4"/>
    <mergeCell ref="G33:H33"/>
    <mergeCell ref="G34:H34"/>
    <mergeCell ref="Q18:R18"/>
    <mergeCell ref="G11:H11"/>
    <mergeCell ref="N6:O6"/>
    <mergeCell ref="N7:O7"/>
    <mergeCell ref="C28:J28"/>
    <mergeCell ref="H31:I31"/>
    <mergeCell ref="D33:E33"/>
    <mergeCell ref="Q29:R29"/>
    <mergeCell ref="Q30:R30"/>
    <mergeCell ref="H19:I19"/>
    <mergeCell ref="G21:H21"/>
    <mergeCell ref="G22:H22"/>
    <mergeCell ref="G26:G27"/>
    <mergeCell ref="D15:E15"/>
    <mergeCell ref="Q31:R31"/>
    <mergeCell ref="G15:H15"/>
    <mergeCell ref="G25:H25"/>
    <mergeCell ref="D26:D27"/>
    <mergeCell ref="E26:F26"/>
    <mergeCell ref="E27:F27"/>
    <mergeCell ref="D18:E18"/>
    <mergeCell ref="H26:I27"/>
    <mergeCell ref="C16:J16"/>
    <mergeCell ref="D30:E30"/>
    <mergeCell ref="Q17:R17"/>
    <mergeCell ref="D21:E21"/>
    <mergeCell ref="Q19:R19"/>
  </mergeCells>
  <conditionalFormatting sqref="D9">
    <cfRule type="cellIs" dxfId="12" priority="14" operator="greaterThan">
      <formula>$F$9</formula>
    </cfRule>
  </conditionalFormatting>
  <conditionalFormatting sqref="E5">
    <cfRule type="cellIs" dxfId="11" priority="17" operator="greaterThan">
      <formula>$H$5</formula>
    </cfRule>
  </conditionalFormatting>
  <dataValidations count="8">
    <dataValidation type="list" allowBlank="1" showInputMessage="1" showErrorMessage="1" sqref="T18 T30" xr:uid="{89ECADA7-B656-4503-8DB4-499755291733}">
      <formula1>"a0,a,b,c,d"</formula1>
    </dataValidation>
    <dataValidation type="list" allowBlank="1" showInputMessage="1" showErrorMessage="1" sqref="S30" xr:uid="{03434AB0-8D9A-4EEC-AD79-3F4C7BBCED66}">
      <formula1>"0.5,0.7,0.9,1.0,1.2,1.5,2.0"</formula1>
    </dataValidation>
    <dataValidation type="list" allowBlank="1" showInputMessage="1" showErrorMessage="1" sqref="M17" xr:uid="{B04B7212-F7C6-44DC-BE9A-92B74651ED29}">
      <formula1>"Laminé,Cornière,SHS,RHS,CHS"</formula1>
    </dataValidation>
    <dataValidation type="list" allowBlank="1" showInputMessage="1" showErrorMessage="1" sqref="O18" xr:uid="{EEB3239E-5844-4232-8A6D-CB3EAC53E0F7}">
      <formula1>"Z,Y"</formula1>
    </dataValidation>
    <dataValidation type="list" allowBlank="1" showInputMessage="1" showErrorMessage="1" sqref="T4:T5" xr:uid="{F445BCFD-F24C-49EE-B3DA-9D96DAAEF878}">
      <formula1>"0.8,0.9,1.0"</formula1>
    </dataValidation>
    <dataValidation type="list" allowBlank="1" showInputMessage="1" showErrorMessage="1" sqref="M5" xr:uid="{795410F7-909F-499C-9A5C-BD5559576A19}">
      <formula1>$V$4:$V$7</formula1>
    </dataValidation>
    <dataValidation type="list" allowBlank="1" showInputMessage="1" showErrorMessage="1" sqref="S18" xr:uid="{E44DA644-002B-42B5-BB25-D2095BF0C41D}">
      <formula1>"0.5,0.7,0.9,1.0,1.2,1.5,2.0,Manuel"</formula1>
    </dataValidation>
    <dataValidation type="list" allowBlank="1" showInputMessage="1" showErrorMessage="1" sqref="I42" xr:uid="{E8892211-DC3B-4436-B25A-20131244F794}">
      <formula1>"Simple,Double,en Croix"</formula1>
    </dataValidation>
  </dataValidations>
  <printOptions horizontalCentered="1" verticalCentered="1"/>
  <pageMargins left="0.19685039370078741" right="0.19685039370078741" top="0.27559055118110237" bottom="0.27559055118110237" header="0" footer="0"/>
  <pageSetup paperSize="9" orientation="portrait" horizontalDpi="4294967293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A09144F9-CFDF-4223-ACD2-804456087B46}">
          <x14:formula1>
            <xm:f>Cornières!$A$5:$A$97</xm:f>
          </x14:formula1>
          <xm:sqref>N6:O6 G42</xm:sqref>
        </x14:dataValidation>
        <x14:dataValidation type="list" allowBlank="1" showInputMessage="1" showErrorMessage="1" xr:uid="{FC81F35A-6C54-49CE-8DF1-85D4EA4570E6}">
          <x14:formula1>
            <xm:f>Data!$W$3:$W$21</xm:f>
          </x14:formula1>
          <xm:sqref>N49</xm:sqref>
        </x14:dataValidation>
        <x14:dataValidation type="list" allowBlank="1" showInputMessage="1" showErrorMessage="1" xr:uid="{EB1C66DB-B711-4E22-8B4F-2B6CA49D0051}">
          <x14:formula1>
            <xm:f>IF($M$17="Laminé",Profilés!$A$3:$A$181,IF($M$17="Cornière",Cornières!$A$5:$A$153,IF($M$17="SHS",Tubes_SHS!$A$4:$A$252,IF($M$17="RHS",Tubes_RHS!$A$4:$A$300,IF($M$17="CHS",Tubes_CHS!$A$4:$A$197,Q52)))))</xm:f>
          </x14:formula1>
          <xm:sqref>N17</xm:sqref>
        </x14:dataValidation>
        <x14:dataValidation type="list" allowBlank="1" showInputMessage="1" showErrorMessage="1" xr:uid="{295D595E-7BAE-4F82-B342-6A71C4092752}">
          <x14:formula1>
            <xm:f>Data!$K$24:$K$26</xm:f>
          </x14:formula1>
          <xm:sqref>N50</xm:sqref>
        </x14:dataValidation>
        <x14:dataValidation type="list" allowBlank="1" showInputMessage="1" showErrorMessage="1" xr:uid="{0D84A667-A74D-4D21-AAD7-DC946A4685CC}">
          <x14:formula1>
            <xm:f>Data!$A$3:$A$34</xm:f>
          </x14:formula1>
          <xm:sqref>N5 N48 N18 N30 G43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37640-1EC4-4473-B9B1-54763D1146A7}">
  <sheetPr codeName="Feuil12">
    <tabColor rgb="FFFFC000"/>
  </sheetPr>
  <dimension ref="B1:V128"/>
  <sheetViews>
    <sheetView zoomScaleNormal="100" workbookViewId="0">
      <selection activeCell="D3" sqref="D3"/>
    </sheetView>
  </sheetViews>
  <sheetFormatPr baseColWidth="10" defaultColWidth="11.42578125" defaultRowHeight="18.75" x14ac:dyDescent="0.25"/>
  <cols>
    <col min="1" max="1" width="3.7109375" style="305" customWidth="1"/>
    <col min="2" max="2" width="7" style="305" customWidth="1"/>
    <col min="3" max="3" width="16.5703125" style="305" customWidth="1"/>
    <col min="4" max="4" width="16.140625" style="305" customWidth="1"/>
    <col min="5" max="5" width="11.42578125" style="305"/>
    <col min="6" max="6" width="17" style="305" customWidth="1"/>
    <col min="7" max="7" width="18.5703125" style="305" customWidth="1"/>
    <col min="8" max="8" width="7" style="305" customWidth="1"/>
    <col min="9" max="9" width="2.7109375" style="305" customWidth="1"/>
    <col min="10" max="10" width="4.7109375" style="305" customWidth="1"/>
    <col min="11" max="11" width="12.7109375" style="305" customWidth="1"/>
    <col min="12" max="12" width="20.7109375" style="305" customWidth="1"/>
    <col min="13" max="13" width="11.42578125" style="305" customWidth="1"/>
    <col min="14" max="14" width="12.7109375" style="305" customWidth="1"/>
    <col min="15" max="16384" width="11.42578125" style="305"/>
  </cols>
  <sheetData>
    <row r="1" spans="2:19" x14ac:dyDescent="0.25">
      <c r="M1" s="278"/>
    </row>
    <row r="2" spans="2:19" x14ac:dyDescent="0.25">
      <c r="B2" s="1092" t="s">
        <v>512</v>
      </c>
      <c r="C2" s="1093"/>
      <c r="D2" s="1093"/>
      <c r="E2" s="1093"/>
      <c r="F2" s="1093"/>
      <c r="G2" s="1093"/>
      <c r="H2" s="1094"/>
      <c r="I2" s="306"/>
      <c r="J2" s="306"/>
    </row>
    <row r="3" spans="2:19" x14ac:dyDescent="0.25">
      <c r="B3" s="307"/>
      <c r="C3" s="308" t="s">
        <v>513</v>
      </c>
      <c r="D3" s="724">
        <v>45000</v>
      </c>
      <c r="E3" s="309" t="s">
        <v>514</v>
      </c>
      <c r="F3" s="310" t="s">
        <v>515</v>
      </c>
      <c r="H3" s="311"/>
    </row>
    <row r="4" spans="2:19" x14ac:dyDescent="0.25">
      <c r="B4" s="307"/>
      <c r="C4" s="308" t="s">
        <v>516</v>
      </c>
      <c r="D4" s="716">
        <f>D3/1.5</f>
        <v>30000</v>
      </c>
      <c r="E4" s="309" t="s">
        <v>514</v>
      </c>
      <c r="F4" s="310"/>
      <c r="H4" s="311"/>
    </row>
    <row r="5" spans="2:19" ht="21" x14ac:dyDescent="0.25">
      <c r="B5" s="307"/>
      <c r="C5" s="308" t="s">
        <v>423</v>
      </c>
      <c r="D5" s="721" t="s">
        <v>439</v>
      </c>
      <c r="F5" s="308" t="s">
        <v>517</v>
      </c>
      <c r="G5" s="711">
        <f>D3/P5</f>
        <v>1267.605633802817</v>
      </c>
      <c r="H5" s="312" t="s">
        <v>518</v>
      </c>
      <c r="I5" s="313"/>
      <c r="J5" s="313"/>
      <c r="O5" s="314" t="s">
        <v>519</v>
      </c>
      <c r="P5" s="315">
        <f>VLOOKUP(D5,Data!A3:C34,2)</f>
        <v>35.5</v>
      </c>
    </row>
    <row r="6" spans="2:19" x14ac:dyDescent="0.3">
      <c r="B6" s="307"/>
      <c r="C6" s="316" t="s">
        <v>520</v>
      </c>
      <c r="D6" s="722" t="s">
        <v>455</v>
      </c>
      <c r="F6" s="309"/>
      <c r="H6" s="311"/>
    </row>
    <row r="7" spans="2:19" ht="21" x14ac:dyDescent="0.3">
      <c r="B7" s="307"/>
      <c r="C7" s="316" t="s">
        <v>521</v>
      </c>
      <c r="D7" s="723">
        <v>30</v>
      </c>
      <c r="E7" s="317" t="s">
        <v>522</v>
      </c>
      <c r="F7" s="308" t="s">
        <v>523</v>
      </c>
      <c r="G7" s="711">
        <f>IF(D6="Art-Art",(8*5*D3*D7^2)/(384*210*(D7/D8)),IF(D6="Enc-Enc",(12*D3*D7^2)/(384*210*(D7/D8)),(8*D3*D7^2)/(185*210*(D7/D8))))</f>
        <v>133928.57142857142</v>
      </c>
      <c r="H7" s="312" t="s">
        <v>524</v>
      </c>
      <c r="I7" s="313"/>
      <c r="J7" s="313"/>
      <c r="K7" s="318"/>
      <c r="L7" s="318"/>
      <c r="M7" s="318"/>
      <c r="N7" s="318"/>
      <c r="O7" s="318"/>
      <c r="P7" s="318"/>
      <c r="Q7" s="318"/>
      <c r="R7" s="318"/>
    </row>
    <row r="8" spans="2:19" ht="21" x14ac:dyDescent="0.3">
      <c r="B8" s="307"/>
      <c r="C8" s="316" t="s">
        <v>525</v>
      </c>
      <c r="D8" s="722">
        <v>200</v>
      </c>
      <c r="E8" s="319" t="s">
        <v>526</v>
      </c>
      <c r="F8" s="308" t="s">
        <v>527</v>
      </c>
      <c r="G8" s="711">
        <f>IF(D6="Art-Art",(8*5*D4*D7^2)/(384*210*(D7/D8)),IF(D6="Enc-Enc",(12*D4*D7^2)/(384*210*(D7/D8)),(8*D4*D7^2)/(185*210*(D7/D8))))</f>
        <v>89285.71428571429</v>
      </c>
      <c r="H8" s="312" t="s">
        <v>524</v>
      </c>
      <c r="I8" s="313"/>
      <c r="J8" s="313"/>
    </row>
    <row r="9" spans="2:19" x14ac:dyDescent="0.25">
      <c r="B9" s="307"/>
      <c r="C9" s="1019" t="s">
        <v>810</v>
      </c>
      <c r="D9" s="1019"/>
      <c r="E9" s="1019"/>
      <c r="F9" s="1019"/>
      <c r="G9" s="1019"/>
      <c r="H9" s="311"/>
      <c r="I9" s="380"/>
      <c r="J9" s="380"/>
    </row>
    <row r="10" spans="2:19" x14ac:dyDescent="0.25">
      <c r="B10" s="320" t="s">
        <v>528</v>
      </c>
      <c r="C10" s="721" t="s">
        <v>439</v>
      </c>
      <c r="G10" s="321" t="str">
        <f>"PRS "&amp;C16&amp;" * "&amp;C17&amp;" - "&amp;C13&amp;" * "&amp;C14&amp;"   -  "&amp;C10</f>
        <v>PRS 500 * 1 - 250 * 10   -  S355</v>
      </c>
      <c r="H10" s="311"/>
    </row>
    <row r="11" spans="2:19" x14ac:dyDescent="0.25">
      <c r="B11" s="307"/>
      <c r="F11" s="308" t="s">
        <v>216</v>
      </c>
      <c r="G11" s="711">
        <f>(C13*C14+C16*C17+C19*C20)*10^-2</f>
        <v>55</v>
      </c>
      <c r="H11" s="322" t="s">
        <v>242</v>
      </c>
      <c r="I11" s="323"/>
      <c r="J11" s="323"/>
      <c r="N11" s="315" t="s">
        <v>529</v>
      </c>
      <c r="O11" s="315">
        <f>VLOOKUP(C10,Data!A3:C34,2)</f>
        <v>35.5</v>
      </c>
      <c r="P11" s="315"/>
      <c r="Q11" s="315" t="s">
        <v>530</v>
      </c>
      <c r="R11" s="324">
        <f>C13*C14</f>
        <v>2500</v>
      </c>
      <c r="S11" s="315" t="s">
        <v>531</v>
      </c>
    </row>
    <row r="12" spans="2:19" x14ac:dyDescent="0.25">
      <c r="B12" s="307"/>
      <c r="C12" s="308" t="s">
        <v>532</v>
      </c>
      <c r="F12" s="309"/>
      <c r="H12" s="325"/>
      <c r="I12" s="309"/>
      <c r="J12" s="309"/>
      <c r="N12" s="315" t="s">
        <v>533</v>
      </c>
      <c r="O12" s="324">
        <f>SQRT(23.5/O11)</f>
        <v>0.81361651346682706</v>
      </c>
      <c r="P12" s="326"/>
      <c r="Q12" s="315" t="s">
        <v>534</v>
      </c>
      <c r="R12" s="324">
        <f>C16*C17</f>
        <v>500</v>
      </c>
      <c r="S12" s="315" t="s">
        <v>531</v>
      </c>
    </row>
    <row r="13" spans="2:19" x14ac:dyDescent="0.25">
      <c r="B13" s="327" t="s">
        <v>535</v>
      </c>
      <c r="C13" s="720">
        <v>250</v>
      </c>
      <c r="F13" s="308" t="s">
        <v>536</v>
      </c>
      <c r="G13" s="712">
        <f>0.79*G11</f>
        <v>43.45</v>
      </c>
      <c r="H13" s="325" t="s">
        <v>537</v>
      </c>
      <c r="I13" s="309"/>
      <c r="J13" s="309"/>
      <c r="N13" s="326"/>
      <c r="O13" s="326"/>
      <c r="P13" s="315"/>
      <c r="Q13" s="315" t="s">
        <v>538</v>
      </c>
      <c r="R13" s="324">
        <f>C17*(C16+C20-D25)</f>
        <v>250</v>
      </c>
      <c r="S13" s="315" t="s">
        <v>531</v>
      </c>
    </row>
    <row r="14" spans="2:19" x14ac:dyDescent="0.25">
      <c r="B14" s="327" t="s">
        <v>539</v>
      </c>
      <c r="C14" s="720">
        <v>10</v>
      </c>
      <c r="H14" s="311"/>
      <c r="N14" s="315"/>
      <c r="O14" s="315"/>
      <c r="P14" s="315"/>
      <c r="Q14" s="315" t="s">
        <v>540</v>
      </c>
      <c r="R14" s="324">
        <f>C17*(D25-C20)</f>
        <v>250</v>
      </c>
      <c r="S14" s="315" t="s">
        <v>531</v>
      </c>
    </row>
    <row r="15" spans="2:19" ht="21" x14ac:dyDescent="0.25">
      <c r="B15" s="327"/>
      <c r="C15" s="328"/>
      <c r="F15" s="308" t="s">
        <v>222</v>
      </c>
      <c r="G15" s="713">
        <f>(((C13*C14^3+C17*C16^3+C19*C20^3)*10^-4)/12)+((C13*C14*(C16+C20-D25+(C14/2))^2)+(C19*C20*(D25-(C20/2))^2)+(C16*C17*(C20+(C16/2)-D25)^2))*10^-4</f>
        <v>33558.333333333336</v>
      </c>
      <c r="H15" s="312" t="s">
        <v>524</v>
      </c>
      <c r="I15" s="313"/>
      <c r="J15" s="313"/>
      <c r="N15" s="315"/>
      <c r="O15" s="315" t="s">
        <v>541</v>
      </c>
      <c r="P15" s="315"/>
      <c r="Q15" s="315" t="s">
        <v>542</v>
      </c>
      <c r="R15" s="324">
        <f>C19*C20</f>
        <v>2500</v>
      </c>
      <c r="S15" s="315" t="s">
        <v>531</v>
      </c>
    </row>
    <row r="16" spans="2:19" ht="21" x14ac:dyDescent="0.25">
      <c r="B16" s="327" t="s">
        <v>543</v>
      </c>
      <c r="C16" s="720">
        <v>500</v>
      </c>
      <c r="F16" s="308" t="s">
        <v>544</v>
      </c>
      <c r="G16" s="713">
        <f>MIN(G15/((C14+C16+C20-D25)*10^-1),G15/(D25*10^-1))</f>
        <v>1290.7051282051284</v>
      </c>
      <c r="H16" s="312" t="s">
        <v>518</v>
      </c>
      <c r="I16" s="313"/>
      <c r="J16" s="313"/>
      <c r="N16" s="315" t="s">
        <v>535</v>
      </c>
      <c r="O16" s="315" t="s">
        <v>545</v>
      </c>
      <c r="P16" s="315" t="s">
        <v>546</v>
      </c>
      <c r="Q16" s="315"/>
      <c r="R16" s="324"/>
      <c r="S16" s="315"/>
    </row>
    <row r="17" spans="2:19" ht="21" x14ac:dyDescent="0.25">
      <c r="B17" s="327" t="s">
        <v>547</v>
      </c>
      <c r="C17" s="720">
        <v>1</v>
      </c>
      <c r="F17" s="308" t="s">
        <v>548</v>
      </c>
      <c r="G17" s="713">
        <f>((R11+R13)*R17+(R14+R15)*R18)*10^-3</f>
        <v>1337.5</v>
      </c>
      <c r="H17" s="312" t="s">
        <v>518</v>
      </c>
      <c r="I17" s="313"/>
      <c r="J17" s="313"/>
      <c r="N17" s="324">
        <f>(C13-C17)/(2*C14)</f>
        <v>12.45</v>
      </c>
      <c r="O17" s="324">
        <f>C16/C17</f>
        <v>500</v>
      </c>
      <c r="P17" s="324">
        <f>(C19-C17)/(2*C20)</f>
        <v>12.45</v>
      </c>
      <c r="Q17" s="315" t="s">
        <v>549</v>
      </c>
      <c r="R17" s="329">
        <f>(R11*(C20+C16-D25+C14/2)+R13*(C20+C16-D25)/2)/(R11+R13)</f>
        <v>243.18181818181819</v>
      </c>
      <c r="S17" s="315" t="s">
        <v>240</v>
      </c>
    </row>
    <row r="18" spans="2:19" x14ac:dyDescent="0.25">
      <c r="B18" s="327"/>
      <c r="C18" s="328"/>
      <c r="F18" s="308" t="s">
        <v>550</v>
      </c>
      <c r="G18" s="711">
        <f>C16*C17*10^-2</f>
        <v>5</v>
      </c>
      <c r="H18" s="322" t="s">
        <v>242</v>
      </c>
      <c r="I18" s="323"/>
      <c r="J18" s="323"/>
      <c r="N18" s="315"/>
      <c r="O18" s="315"/>
      <c r="P18" s="315"/>
      <c r="Q18" s="315" t="s">
        <v>551</v>
      </c>
      <c r="R18" s="329">
        <f>(R15*(D25-C20/2)+R14*(D25-C20)/2)/(R15+R14)</f>
        <v>243.18181818181819</v>
      </c>
      <c r="S18" s="315" t="s">
        <v>240</v>
      </c>
    </row>
    <row r="19" spans="2:19" x14ac:dyDescent="0.25">
      <c r="B19" s="327" t="s">
        <v>546</v>
      </c>
      <c r="C19" s="720">
        <v>250</v>
      </c>
      <c r="F19" s="308" t="s">
        <v>224</v>
      </c>
      <c r="G19" s="712">
        <f>SQRT(G15/$G$11)</f>
        <v>24.701245214594248</v>
      </c>
      <c r="H19" s="322" t="s">
        <v>245</v>
      </c>
      <c r="I19" s="323"/>
      <c r="J19" s="323"/>
      <c r="N19" s="315"/>
      <c r="O19" s="315"/>
      <c r="P19" s="315"/>
      <c r="Q19" s="315" t="s">
        <v>552</v>
      </c>
      <c r="R19" s="329">
        <f>((R11*C13/8)+(R12*C17/8)+(R15*C19/8))/((R11+R12+R15)/2)</f>
        <v>56.840909090909093</v>
      </c>
      <c r="S19" s="315" t="s">
        <v>240</v>
      </c>
    </row>
    <row r="20" spans="2:19" ht="21" x14ac:dyDescent="0.25">
      <c r="B20" s="327" t="s">
        <v>553</v>
      </c>
      <c r="C20" s="720">
        <v>10</v>
      </c>
      <c r="F20" s="308" t="s">
        <v>554</v>
      </c>
      <c r="G20" s="711">
        <f>((0.2*(C13+C16+C19+C14+C20-C17)/G11)*100)</f>
        <v>370.54545454545456</v>
      </c>
      <c r="H20" s="312" t="s">
        <v>555</v>
      </c>
      <c r="I20" s="313"/>
      <c r="J20" s="313"/>
      <c r="N20" s="315"/>
      <c r="O20" s="315"/>
      <c r="P20" s="315"/>
      <c r="Q20" s="315"/>
      <c r="R20" s="315"/>
      <c r="S20" s="315"/>
    </row>
    <row r="21" spans="2:19" ht="21" x14ac:dyDescent="0.25">
      <c r="B21" s="307"/>
      <c r="F21" s="308" t="s">
        <v>556</v>
      </c>
      <c r="G21" s="711">
        <f>((0.1*2*(C13+C16+C14+C20))/G11)*100</f>
        <v>280</v>
      </c>
      <c r="H21" s="312" t="s">
        <v>555</v>
      </c>
      <c r="I21" s="313"/>
      <c r="J21" s="313"/>
      <c r="N21" s="315"/>
      <c r="O21" s="315"/>
      <c r="P21" s="315"/>
      <c r="Q21" s="315" t="s">
        <v>557</v>
      </c>
      <c r="R21" s="330">
        <f>G15/((C14+C16+C20-D25)*10^-1)</f>
        <v>1290.7051282051284</v>
      </c>
      <c r="S21" s="315" t="s">
        <v>558</v>
      </c>
    </row>
    <row r="22" spans="2:19" x14ac:dyDescent="0.25">
      <c r="B22" s="307"/>
      <c r="H22" s="311"/>
      <c r="N22" s="315"/>
      <c r="O22" s="315"/>
      <c r="P22" s="326"/>
      <c r="Q22" s="315" t="s">
        <v>559</v>
      </c>
      <c r="R22" s="330">
        <f>G15/(D25*10^-1)</f>
        <v>1290.7051282051284</v>
      </c>
      <c r="S22" s="315" t="s">
        <v>558</v>
      </c>
    </row>
    <row r="23" spans="2:19" ht="21" x14ac:dyDescent="0.25">
      <c r="B23" s="307"/>
      <c r="C23" s="331"/>
      <c r="D23" s="332" t="s">
        <v>560</v>
      </c>
      <c r="E23" s="333"/>
      <c r="F23" s="308" t="s">
        <v>225</v>
      </c>
      <c r="G23" s="713">
        <f>((C14*C13^3+C16*C17^3+C20*C19^3)*10^-4)/12</f>
        <v>2604.1708333333336</v>
      </c>
      <c r="H23" s="312" t="s">
        <v>524</v>
      </c>
      <c r="I23" s="313"/>
      <c r="J23" s="313"/>
      <c r="Q23" s="318"/>
      <c r="R23" s="318"/>
    </row>
    <row r="24" spans="2:19" ht="21" x14ac:dyDescent="0.25">
      <c r="B24" s="307"/>
      <c r="C24" s="334" t="s">
        <v>561</v>
      </c>
      <c r="D24" s="715">
        <f>MAX(C13,C19)/2</f>
        <v>125</v>
      </c>
      <c r="E24" s="335" t="s">
        <v>240</v>
      </c>
      <c r="F24" s="308" t="s">
        <v>562</v>
      </c>
      <c r="G24" s="713">
        <f>G23/(D24*10^-1)</f>
        <v>208.33366666666669</v>
      </c>
      <c r="H24" s="312" t="s">
        <v>518</v>
      </c>
      <c r="I24" s="313"/>
      <c r="J24" s="313"/>
      <c r="Q24" s="318"/>
      <c r="R24" s="318"/>
    </row>
    <row r="25" spans="2:19" ht="21" x14ac:dyDescent="0.25">
      <c r="B25" s="307"/>
      <c r="C25" s="334" t="s">
        <v>563</v>
      </c>
      <c r="D25" s="716">
        <f>(C13*C14*(C20+C16+C14/2)+C16*C17*(C20+C16/2)+C19*C20*(C20/2))/(C13*C14+C16*C17+C19*C20)</f>
        <v>260</v>
      </c>
      <c r="E25" s="335" t="s">
        <v>240</v>
      </c>
      <c r="F25" s="308" t="s">
        <v>564</v>
      </c>
      <c r="G25" s="713">
        <f>2*((R11/2+R12/2+R15/2)*R19)*10^-3</f>
        <v>312.625</v>
      </c>
      <c r="H25" s="312" t="s">
        <v>518</v>
      </c>
      <c r="I25" s="313"/>
      <c r="J25" s="313"/>
      <c r="Q25" s="318"/>
      <c r="R25" s="318"/>
    </row>
    <row r="26" spans="2:19" x14ac:dyDescent="0.25">
      <c r="B26" s="307"/>
      <c r="E26" s="336"/>
      <c r="F26" s="308" t="s">
        <v>565</v>
      </c>
      <c r="G26" s="711">
        <f>(C13*C14+C19*C20)*10^-2</f>
        <v>50</v>
      </c>
      <c r="H26" s="322" t="s">
        <v>242</v>
      </c>
      <c r="I26" s="323"/>
      <c r="J26" s="323"/>
      <c r="Q26" s="318"/>
      <c r="R26" s="318"/>
    </row>
    <row r="27" spans="2:19" x14ac:dyDescent="0.25">
      <c r="B27" s="307"/>
      <c r="C27" s="334" t="s">
        <v>566</v>
      </c>
      <c r="D27" s="337" t="s">
        <v>567</v>
      </c>
      <c r="E27" s="337" t="s">
        <v>568</v>
      </c>
      <c r="F27" s="308" t="s">
        <v>227</v>
      </c>
      <c r="G27" s="712">
        <f>SQRT(G23/$G$11)</f>
        <v>6.8810290368563773</v>
      </c>
      <c r="H27" s="322" t="s">
        <v>245</v>
      </c>
      <c r="I27" s="323"/>
      <c r="J27" s="323"/>
      <c r="Q27" s="318"/>
      <c r="R27" s="318"/>
    </row>
    <row r="28" spans="2:19" x14ac:dyDescent="0.25">
      <c r="B28" s="307"/>
      <c r="C28" s="334" t="s">
        <v>569</v>
      </c>
      <c r="D28" s="714">
        <f>IF(O17&lt;33*$O$12,1,IF(O17&lt;38*$O$12,2,IF(O17&lt;42*$O$12,3,4)))</f>
        <v>4</v>
      </c>
      <c r="E28" s="714">
        <f>IF(O17&lt;72*$O$12,1,IF(O17&lt;83*$O$12,2,IF(O17&lt;124*$O$12,3,4)))</f>
        <v>4</v>
      </c>
      <c r="F28" s="309"/>
      <c r="H28" s="325"/>
      <c r="I28" s="309"/>
      <c r="J28" s="309"/>
      <c r="Q28" s="318"/>
      <c r="R28" s="318"/>
    </row>
    <row r="29" spans="2:19" ht="21" x14ac:dyDescent="0.25">
      <c r="B29" s="307"/>
      <c r="C29" s="334" t="s">
        <v>570</v>
      </c>
      <c r="D29" s="714">
        <f>IF(N17&lt;9*$O$12,1,IF(N17&lt;10*$O$12,2,IF(N17&lt;14*$O$12,3,4)))</f>
        <v>4</v>
      </c>
      <c r="E29" s="338"/>
      <c r="F29" s="308" t="s">
        <v>571</v>
      </c>
      <c r="G29" s="712">
        <f>(10^-4/3)*(((C13)*C14^3)+((C19)*C20^3)+(C16*C17^3))</f>
        <v>16.683333333333334</v>
      </c>
      <c r="H29" s="312" t="s">
        <v>524</v>
      </c>
      <c r="I29" s="313"/>
      <c r="J29" s="313"/>
      <c r="K29" s="318"/>
      <c r="L29" s="318"/>
      <c r="M29" s="318"/>
      <c r="N29" s="318"/>
      <c r="O29" s="318"/>
      <c r="P29" s="318"/>
      <c r="Q29" s="318"/>
      <c r="R29" s="318"/>
    </row>
    <row r="30" spans="2:19" ht="21" x14ac:dyDescent="0.25">
      <c r="B30" s="307"/>
      <c r="C30" s="334" t="s">
        <v>572</v>
      </c>
      <c r="D30" s="714">
        <f>IF(P17&lt;9*$O$12,1,IF(P17&lt;10*$O$12,2,IF(P17&lt;14*$O$12,3,4)))</f>
        <v>4</v>
      </c>
      <c r="E30" s="338"/>
      <c r="F30" s="308" t="s">
        <v>573</v>
      </c>
      <c r="G30" s="713">
        <f>(10^-6/12)*((C14*C13^3*(C20+C16+(C14/2)-D25)^2)+(C20*C19^3*(D25-(C20/2))^2))</f>
        <v>1693359.3749999998</v>
      </c>
      <c r="H30" s="312" t="s">
        <v>574</v>
      </c>
      <c r="I30" s="313"/>
      <c r="J30" s="313"/>
      <c r="K30" s="318"/>
      <c r="L30" s="318"/>
      <c r="M30" s="318"/>
      <c r="N30" s="318"/>
      <c r="O30" s="318"/>
      <c r="P30" s="318"/>
      <c r="Q30" s="318"/>
      <c r="R30" s="318"/>
    </row>
    <row r="31" spans="2:19" x14ac:dyDescent="0.25">
      <c r="B31" s="339" t="s">
        <v>575</v>
      </c>
      <c r="H31" s="311"/>
      <c r="K31" s="318"/>
      <c r="L31" s="318"/>
      <c r="M31" s="318"/>
      <c r="N31" s="318"/>
      <c r="O31" s="318"/>
      <c r="P31" s="318"/>
      <c r="Q31" s="318"/>
      <c r="R31" s="318"/>
    </row>
    <row r="32" spans="2:19" x14ac:dyDescent="0.2">
      <c r="B32" s="339" t="s">
        <v>576</v>
      </c>
      <c r="D32" s="340"/>
      <c r="H32" s="311"/>
      <c r="K32" s="318"/>
      <c r="L32" s="318"/>
      <c r="M32" s="318"/>
      <c r="N32" s="318"/>
      <c r="O32" s="318"/>
      <c r="P32" s="318"/>
      <c r="Q32" s="318"/>
      <c r="R32" s="318"/>
    </row>
    <row r="33" spans="2:22" x14ac:dyDescent="0.25">
      <c r="B33" s="341"/>
      <c r="C33" s="342"/>
      <c r="D33" s="342"/>
      <c r="E33" s="343"/>
      <c r="F33" s="343"/>
      <c r="G33" s="342"/>
      <c r="H33" s="344"/>
      <c r="K33" s="318"/>
      <c r="L33" s="318"/>
      <c r="M33" s="318"/>
      <c r="N33" s="318"/>
      <c r="O33" s="318"/>
      <c r="P33" s="318"/>
      <c r="Q33" s="318"/>
      <c r="R33" s="318"/>
    </row>
    <row r="34" spans="2:22" x14ac:dyDescent="0.25">
      <c r="K34" s="318"/>
      <c r="L34" s="318"/>
      <c r="M34" s="318"/>
      <c r="N34" s="318"/>
      <c r="O34" s="318"/>
      <c r="P34" s="318"/>
      <c r="Q34" s="318"/>
      <c r="R34" s="318"/>
    </row>
    <row r="35" spans="2:22" x14ac:dyDescent="0.25">
      <c r="B35" s="345" t="s">
        <v>577</v>
      </c>
      <c r="C35" s="721" t="s">
        <v>439</v>
      </c>
      <c r="D35" s="346"/>
      <c r="E35" s="346"/>
      <c r="F35" s="346"/>
      <c r="G35" s="347" t="str">
        <f>"PRS "&amp;C41&amp;" * "&amp;C42&amp;" - "&amp;C38&amp;" * "&amp;C39&amp;"  -  "&amp;C35</f>
        <v>PRS 1240 * 20 - 500 * 30  -  S355</v>
      </c>
      <c r="H35" s="348"/>
      <c r="J35" s="1095" t="s">
        <v>578</v>
      </c>
      <c r="K35" s="1100" t="str">
        <f>"PRS éq,Cl2   "&amp;C41&amp;" * "&amp;C42&amp;" - "&amp;C38&amp;" * "&amp;C39&amp;"  -  "&amp;C35</f>
        <v>PRS éq,Cl2   1240 * 20 - 500 * 30  -  S355</v>
      </c>
      <c r="L35" s="1100"/>
      <c r="M35" s="1101"/>
    </row>
    <row r="36" spans="2:22" x14ac:dyDescent="0.25">
      <c r="B36" s="307"/>
      <c r="F36" s="308" t="s">
        <v>216</v>
      </c>
      <c r="G36" s="711">
        <f>(C38*C39+C41*C42+C44*C45)*10^-2</f>
        <v>548</v>
      </c>
      <c r="H36" s="322" t="s">
        <v>242</v>
      </c>
      <c r="I36" s="323"/>
      <c r="J36" s="1096"/>
      <c r="K36" s="357" t="s">
        <v>579</v>
      </c>
      <c r="L36" s="717">
        <f>G36-O48*0.01</f>
        <v>554.1786421546924</v>
      </c>
      <c r="M36" s="349" t="s">
        <v>242</v>
      </c>
      <c r="N36" s="315" t="s">
        <v>580</v>
      </c>
      <c r="O36" s="315">
        <f>VLOOKUP(C35,Data!A3:C34,2)</f>
        <v>35.5</v>
      </c>
      <c r="P36" s="315"/>
      <c r="Q36" s="315" t="s">
        <v>530</v>
      </c>
      <c r="R36" s="324">
        <f>C38*C39</f>
        <v>15000</v>
      </c>
      <c r="S36" s="315" t="s">
        <v>531</v>
      </c>
      <c r="U36" s="324"/>
    </row>
    <row r="37" spans="2:22" x14ac:dyDescent="0.25">
      <c r="B37" s="307"/>
      <c r="C37" s="308" t="s">
        <v>532</v>
      </c>
      <c r="F37" s="309"/>
      <c r="H37" s="325"/>
      <c r="I37" s="309"/>
      <c r="J37" s="1096"/>
      <c r="K37" s="1105" t="s">
        <v>615</v>
      </c>
      <c r="L37" s="1105"/>
      <c r="M37" s="1106"/>
      <c r="N37" s="315" t="s">
        <v>533</v>
      </c>
      <c r="O37" s="324">
        <f>SQRT(23.5/O36)</f>
        <v>0.81361651346682706</v>
      </c>
      <c r="P37" s="326"/>
      <c r="Q37" s="315" t="s">
        <v>534</v>
      </c>
      <c r="R37" s="324">
        <f>C41*C42</f>
        <v>24800</v>
      </c>
      <c r="S37" s="315" t="s">
        <v>531</v>
      </c>
      <c r="T37" s="315" t="s">
        <v>581</v>
      </c>
      <c r="U37" s="324">
        <f>R37-O48</f>
        <v>25417.864215469235</v>
      </c>
      <c r="V37" s="315" t="s">
        <v>531</v>
      </c>
    </row>
    <row r="38" spans="2:22" x14ac:dyDescent="0.25">
      <c r="B38" s="327" t="s">
        <v>535</v>
      </c>
      <c r="C38" s="720">
        <v>500</v>
      </c>
      <c r="F38" s="308" t="s">
        <v>536</v>
      </c>
      <c r="G38" s="712">
        <f>0.79*G36</f>
        <v>432.92</v>
      </c>
      <c r="H38" s="325" t="s">
        <v>537</v>
      </c>
      <c r="I38" s="309"/>
      <c r="J38" s="1096"/>
      <c r="K38" s="1098" t="str">
        <f>IF(AND(E53=3,D54&lt;=2,D55&lt;=2),"Applicable","Non Applicable")</f>
        <v>Non Applicable</v>
      </c>
      <c r="L38" s="1098"/>
      <c r="M38" s="1099"/>
      <c r="N38" s="326"/>
      <c r="O38" s="326"/>
      <c r="P38" s="315"/>
      <c r="Q38" s="315" t="s">
        <v>538</v>
      </c>
      <c r="R38" s="324">
        <f>C42*(C41+C45-D50)</f>
        <v>12400</v>
      </c>
      <c r="S38" s="315" t="s">
        <v>531</v>
      </c>
      <c r="T38" s="315" t="s">
        <v>581</v>
      </c>
      <c r="U38" s="324">
        <f>C42*(C41+C45-D50)-O48</f>
        <v>13017.864215469235</v>
      </c>
      <c r="V38" s="315" t="s">
        <v>531</v>
      </c>
    </row>
    <row r="39" spans="2:22" x14ac:dyDescent="0.25">
      <c r="B39" s="327" t="s">
        <v>539</v>
      </c>
      <c r="C39" s="720">
        <v>30</v>
      </c>
      <c r="H39" s="311"/>
      <c r="J39" s="1096"/>
      <c r="K39" s="358"/>
      <c r="L39" s="358"/>
      <c r="M39" s="350"/>
      <c r="N39" s="315"/>
      <c r="O39" s="315"/>
      <c r="P39" s="315"/>
      <c r="Q39" s="315" t="s">
        <v>540</v>
      </c>
      <c r="R39" s="324">
        <f>C42*(D50-C45)</f>
        <v>12400</v>
      </c>
      <c r="S39" s="315" t="s">
        <v>531</v>
      </c>
      <c r="U39" s="324"/>
    </row>
    <row r="40" spans="2:22" ht="21" x14ac:dyDescent="0.25">
      <c r="B40" s="327"/>
      <c r="C40" s="328"/>
      <c r="F40" s="308" t="s">
        <v>222</v>
      </c>
      <c r="G40" s="713">
        <f>(((C38*C39^3+C42*C41^3+C44*C45^3)*10^-4)/12)+((C38*C39*(C41+C45-D50+(C39/2))^2)+(C44*C45*(D50-(C45/2))^2)+(C41*C42*(C45+(C41/2)-D50)^2))*10^-4</f>
        <v>1527670.6666666667</v>
      </c>
      <c r="H40" s="312" t="s">
        <v>524</v>
      </c>
      <c r="I40" s="313"/>
      <c r="J40" s="1096"/>
      <c r="K40" s="357" t="s">
        <v>582</v>
      </c>
      <c r="L40" s="718">
        <f>G40-O49</f>
        <v>1533608.3417773261</v>
      </c>
      <c r="M40" s="350" t="s">
        <v>583</v>
      </c>
      <c r="N40" s="315"/>
      <c r="O40" s="315" t="s">
        <v>541</v>
      </c>
      <c r="P40" s="315"/>
      <c r="Q40" s="315" t="s">
        <v>542</v>
      </c>
      <c r="R40" s="324">
        <f>C44*C45</f>
        <v>15000</v>
      </c>
      <c r="S40" s="315" t="s">
        <v>531</v>
      </c>
      <c r="U40" s="324"/>
    </row>
    <row r="41" spans="2:22" ht="21" x14ac:dyDescent="0.25">
      <c r="B41" s="327" t="s">
        <v>543</v>
      </c>
      <c r="C41" s="720">
        <v>1240</v>
      </c>
      <c r="F41" s="308" t="s">
        <v>544</v>
      </c>
      <c r="G41" s="713">
        <f>MIN(G40/((C39+C41+C45-D50)*10^-1),G40/(D50*10^-1))</f>
        <v>23502.625641025643</v>
      </c>
      <c r="H41" s="312" t="s">
        <v>518</v>
      </c>
      <c r="I41" s="313"/>
      <c r="J41" s="1096"/>
      <c r="K41" s="357" t="s">
        <v>584</v>
      </c>
      <c r="L41" s="718">
        <f>MIN(L40/((C39+C41+C45-D50)*10^-1),L40/(D50*10^-1))</f>
        <v>23593.97448888194</v>
      </c>
      <c r="M41" s="350" t="s">
        <v>585</v>
      </c>
      <c r="N41" s="315" t="s">
        <v>535</v>
      </c>
      <c r="O41" s="315" t="s">
        <v>545</v>
      </c>
      <c r="P41" s="315" t="s">
        <v>546</v>
      </c>
      <c r="Q41" s="315"/>
      <c r="R41" s="324"/>
      <c r="S41" s="315"/>
    </row>
    <row r="42" spans="2:22" ht="21" x14ac:dyDescent="0.25">
      <c r="B42" s="327" t="s">
        <v>547</v>
      </c>
      <c r="C42" s="720">
        <v>20</v>
      </c>
      <c r="F42" s="308" t="s">
        <v>548</v>
      </c>
      <c r="G42" s="713">
        <f>((R36+R38)*R42+(R39+R40)*R43)*10^-3</f>
        <v>26738</v>
      </c>
      <c r="H42" s="312" t="s">
        <v>518</v>
      </c>
      <c r="I42" s="313"/>
      <c r="J42" s="1096"/>
      <c r="K42" s="357" t="s">
        <v>586</v>
      </c>
      <c r="L42" s="718">
        <f>((R36+U38)*R42+(R39+R40)*R43)*10^-3</f>
        <v>27039.46812761344</v>
      </c>
      <c r="M42" s="350" t="s">
        <v>585</v>
      </c>
      <c r="N42" s="324">
        <f>(C38-C42)/(2*C39)</f>
        <v>8</v>
      </c>
      <c r="O42" s="324">
        <f>C41/C42</f>
        <v>62</v>
      </c>
      <c r="P42" s="324">
        <f>(C44-C42)/(2*C45)</f>
        <v>8</v>
      </c>
      <c r="Q42" s="315" t="s">
        <v>549</v>
      </c>
      <c r="R42" s="329">
        <f>(R36*(C45+C41-D50+C39/2)+R38*(C45+C41-D50)/2)/(R36+R38)</f>
        <v>487.91970802919707</v>
      </c>
      <c r="S42" s="315" t="s">
        <v>240</v>
      </c>
    </row>
    <row r="43" spans="2:22" x14ac:dyDescent="0.25">
      <c r="B43" s="327"/>
      <c r="C43" s="328"/>
      <c r="F43" s="308" t="s">
        <v>550</v>
      </c>
      <c r="G43" s="711">
        <f>C41*C42*10^-2</f>
        <v>248</v>
      </c>
      <c r="H43" s="322" t="s">
        <v>242</v>
      </c>
      <c r="I43" s="323"/>
      <c r="J43" s="1096"/>
      <c r="K43" s="357" t="s">
        <v>587</v>
      </c>
      <c r="L43" s="717">
        <f>G43-O48*10^-2</f>
        <v>254.17864215469234</v>
      </c>
      <c r="M43" s="349" t="s">
        <v>242</v>
      </c>
      <c r="N43" s="315"/>
      <c r="O43" s="315"/>
      <c r="P43" s="315"/>
      <c r="Q43" s="315" t="s">
        <v>551</v>
      </c>
      <c r="R43" s="329">
        <f>(R40*(D50-C45/2)+R39*(D50-C45)/2)/(R40+R39)</f>
        <v>487.91970802919707</v>
      </c>
      <c r="S43" s="315" t="s">
        <v>240</v>
      </c>
    </row>
    <row r="44" spans="2:22" x14ac:dyDescent="0.25">
      <c r="B44" s="327" t="s">
        <v>546</v>
      </c>
      <c r="C44" s="351">
        <f>C38</f>
        <v>500</v>
      </c>
      <c r="F44" s="308" t="s">
        <v>224</v>
      </c>
      <c r="G44" s="712">
        <f>SQRT(G40/$G$36)</f>
        <v>52.798865467424598</v>
      </c>
      <c r="H44" s="322" t="s">
        <v>245</v>
      </c>
      <c r="I44" s="323"/>
      <c r="J44" s="1096"/>
      <c r="K44" s="357" t="s">
        <v>588</v>
      </c>
      <c r="L44" s="719">
        <f>SQRT(L40/$L$36)</f>
        <v>52.60564367846159</v>
      </c>
      <c r="M44" s="349" t="s">
        <v>245</v>
      </c>
      <c r="N44" s="315"/>
      <c r="O44" s="315"/>
      <c r="P44" s="315"/>
      <c r="Q44" s="315" t="s">
        <v>552</v>
      </c>
      <c r="R44" s="329">
        <f>((R36*C38/8)+(R37*C42/8)+(R40*C44/8))/((R36+R37+R40)/2)</f>
        <v>70.693430656934311</v>
      </c>
      <c r="S44" s="315" t="s">
        <v>240</v>
      </c>
    </row>
    <row r="45" spans="2:22" ht="21" x14ac:dyDescent="0.25">
      <c r="B45" s="327" t="s">
        <v>553</v>
      </c>
      <c r="C45" s="351">
        <f>C39</f>
        <v>30</v>
      </c>
      <c r="F45" s="308" t="s">
        <v>589</v>
      </c>
      <c r="G45" s="711">
        <f>((0.2*(C38+C41+C44+C39+C45-C42)/G36)*100)</f>
        <v>83.211678832116789</v>
      </c>
      <c r="H45" s="312" t="s">
        <v>555</v>
      </c>
      <c r="I45" s="313"/>
      <c r="J45" s="1096"/>
      <c r="K45" s="357"/>
      <c r="L45" s="357"/>
      <c r="M45" s="350"/>
      <c r="N45" s="315"/>
      <c r="O45" s="315"/>
      <c r="P45" s="315"/>
      <c r="Q45" s="315"/>
      <c r="R45" s="315"/>
      <c r="S45" s="315"/>
    </row>
    <row r="46" spans="2:22" ht="21" x14ac:dyDescent="0.25">
      <c r="B46" s="307"/>
      <c r="F46" s="308" t="s">
        <v>556</v>
      </c>
      <c r="G46" s="711">
        <f>((0.1*2*(C38+C41+C39+C45))/G36)*100</f>
        <v>65.693430656934311</v>
      </c>
      <c r="H46" s="312" t="s">
        <v>555</v>
      </c>
      <c r="I46" s="313"/>
      <c r="J46" s="1096"/>
      <c r="K46" s="357"/>
      <c r="L46" s="357"/>
      <c r="M46" s="350"/>
      <c r="N46" s="315" t="s">
        <v>590</v>
      </c>
      <c r="O46" s="329">
        <f>20*O37*C42</f>
        <v>325.44660538673088</v>
      </c>
      <c r="P46" s="352" t="s">
        <v>240</v>
      </c>
      <c r="Q46" s="315" t="s">
        <v>557</v>
      </c>
      <c r="R46" s="330">
        <f>G40/((C39+C41+C45-D50)*10^-1)</f>
        <v>23502.625641025643</v>
      </c>
      <c r="S46" s="315" t="s">
        <v>558</v>
      </c>
    </row>
    <row r="47" spans="2:22" x14ac:dyDescent="0.25">
      <c r="B47" s="307"/>
      <c r="H47" s="311"/>
      <c r="J47" s="1096"/>
      <c r="K47" s="358"/>
      <c r="L47" s="358"/>
      <c r="M47" s="350"/>
      <c r="N47" s="315" t="s">
        <v>591</v>
      </c>
      <c r="O47" s="330">
        <f>((C41/2)-2*O46)</f>
        <v>-30.89321077346176</v>
      </c>
      <c r="P47" s="353" t="s">
        <v>240</v>
      </c>
      <c r="Q47" s="315" t="s">
        <v>559</v>
      </c>
      <c r="R47" s="330">
        <f>G40/(D50*10^-1)</f>
        <v>23502.625641025643</v>
      </c>
      <c r="S47" s="315" t="s">
        <v>558</v>
      </c>
    </row>
    <row r="48" spans="2:22" ht="21" x14ac:dyDescent="0.25">
      <c r="B48" s="307"/>
      <c r="C48" s="331"/>
      <c r="D48" s="332" t="s">
        <v>560</v>
      </c>
      <c r="E48" s="333"/>
      <c r="F48" s="308" t="s">
        <v>225</v>
      </c>
      <c r="G48" s="713">
        <f>((C39*C38^3+C41*C42^3+C45*C44^3)*10^-4)/12</f>
        <v>62582.666666666664</v>
      </c>
      <c r="H48" s="312" t="s">
        <v>524</v>
      </c>
      <c r="I48" s="313"/>
      <c r="J48" s="1096"/>
      <c r="K48" s="357" t="s">
        <v>592</v>
      </c>
      <c r="L48" s="718">
        <f>G48-O50</f>
        <v>62584.72621405156</v>
      </c>
      <c r="M48" s="350" t="s">
        <v>583</v>
      </c>
      <c r="N48" s="315" t="s">
        <v>593</v>
      </c>
      <c r="O48" s="330">
        <f>O47*C42</f>
        <v>-617.86421546923521</v>
      </c>
      <c r="P48" s="353" t="s">
        <v>531</v>
      </c>
      <c r="Q48" s="318"/>
      <c r="R48" s="318"/>
    </row>
    <row r="49" spans="2:22" ht="21" x14ac:dyDescent="0.3">
      <c r="B49" s="307"/>
      <c r="C49" s="334" t="s">
        <v>561</v>
      </c>
      <c r="D49" s="715">
        <f>MAX(C38,C44)/2</f>
        <v>250</v>
      </c>
      <c r="E49" s="335" t="s">
        <v>240</v>
      </c>
      <c r="F49" s="308" t="s">
        <v>562</v>
      </c>
      <c r="G49" s="713">
        <f>G48/(D49*10^-1)</f>
        <v>2503.3066666666664</v>
      </c>
      <c r="H49" s="312" t="s">
        <v>518</v>
      </c>
      <c r="I49" s="313"/>
      <c r="J49" s="1096"/>
      <c r="K49" s="357" t="s">
        <v>594</v>
      </c>
      <c r="L49" s="718">
        <f>L48/(D49*10^-1)</f>
        <v>2503.3890485620623</v>
      </c>
      <c r="M49" s="350" t="s">
        <v>585</v>
      </c>
      <c r="N49" s="315" t="s">
        <v>595</v>
      </c>
      <c r="O49" s="330">
        <f>(O48*10^-2)*(((O46+O47/2)*10^-1)^2)</f>
        <v>-5937.6751106593501</v>
      </c>
      <c r="P49" s="353" t="s">
        <v>583</v>
      </c>
      <c r="Q49" s="318"/>
      <c r="R49" s="318"/>
    </row>
    <row r="50" spans="2:22" ht="21" x14ac:dyDescent="0.3">
      <c r="B50" s="307"/>
      <c r="C50" s="334" t="s">
        <v>563</v>
      </c>
      <c r="D50" s="716">
        <f>(C38*C39*(C45+C41+C39/2)+C41*C42*(C45+C41/2)+C44*C45*(C45/2))/(C38*C39+C41*C42+C44*C45)</f>
        <v>650</v>
      </c>
      <c r="E50" s="335" t="s">
        <v>240</v>
      </c>
      <c r="F50" s="308" t="s">
        <v>564</v>
      </c>
      <c r="G50" s="713">
        <f>2*((R36/2+R37/2+R40/2)*R44)*10^-3</f>
        <v>3874</v>
      </c>
      <c r="H50" s="312" t="s">
        <v>518</v>
      </c>
      <c r="I50" s="313"/>
      <c r="J50" s="1096"/>
      <c r="K50" s="357" t="s">
        <v>596</v>
      </c>
      <c r="L50" s="718">
        <f>2*((R36/2+U37/2+R40/2)*R44)*10^-3</f>
        <v>3917.6789410716756</v>
      </c>
      <c r="M50" s="350" t="s">
        <v>585</v>
      </c>
      <c r="N50" s="315" t="s">
        <v>597</v>
      </c>
      <c r="O50" s="330">
        <f>(O47*C42^3/12)*10^-4</f>
        <v>-2.0595473848974506</v>
      </c>
      <c r="P50" s="353" t="s">
        <v>583</v>
      </c>
      <c r="Q50" s="318"/>
      <c r="R50" s="318"/>
    </row>
    <row r="51" spans="2:22" x14ac:dyDescent="0.25">
      <c r="B51" s="307"/>
      <c r="E51" s="336"/>
      <c r="F51" s="308" t="s">
        <v>565</v>
      </c>
      <c r="G51" s="711">
        <f>(C38*C39+C44*C45)*10^-2</f>
        <v>300</v>
      </c>
      <c r="H51" s="322" t="s">
        <v>242</v>
      </c>
      <c r="I51" s="323"/>
      <c r="J51" s="1096"/>
      <c r="K51" s="357" t="s">
        <v>598</v>
      </c>
      <c r="L51" s="717">
        <f>(C38*C39+C44*C45)*10^-2</f>
        <v>300</v>
      </c>
      <c r="M51" s="349" t="s">
        <v>242</v>
      </c>
      <c r="Q51" s="318"/>
      <c r="R51" s="318"/>
    </row>
    <row r="52" spans="2:22" x14ac:dyDescent="0.25">
      <c r="B52" s="307"/>
      <c r="C52" s="334" t="s">
        <v>566</v>
      </c>
      <c r="D52" s="337" t="s">
        <v>567</v>
      </c>
      <c r="E52" s="337" t="s">
        <v>568</v>
      </c>
      <c r="F52" s="308" t="s">
        <v>227</v>
      </c>
      <c r="G52" s="712">
        <f>SQRT(G48/$G$36)</f>
        <v>10.686531077577019</v>
      </c>
      <c r="H52" s="322" t="s">
        <v>245</v>
      </c>
      <c r="I52" s="323"/>
      <c r="J52" s="1096"/>
      <c r="K52" s="357" t="s">
        <v>599</v>
      </c>
      <c r="L52" s="719">
        <f>SQRT(L48/$L$36)</f>
        <v>10.626965881083713</v>
      </c>
      <c r="M52" s="349" t="s">
        <v>245</v>
      </c>
      <c r="Q52" s="318"/>
      <c r="R52" s="318"/>
    </row>
    <row r="53" spans="2:22" x14ac:dyDescent="0.25">
      <c r="B53" s="307"/>
      <c r="C53" s="334" t="s">
        <v>569</v>
      </c>
      <c r="D53" s="714">
        <f>IF(O42&lt;33*$O$37,1,IF(O42&lt;38*$O$37,2,IF(O42&lt;42*$O$37,3,4)))</f>
        <v>4</v>
      </c>
      <c r="E53" s="714">
        <f>IF(O42&lt;72*$O$37,1,IF(O42&lt;83*$O$37,2,IF(O42&lt;124*$O$37,3,4)))</f>
        <v>2</v>
      </c>
      <c r="F53" s="309"/>
      <c r="H53" s="325"/>
      <c r="I53" s="309"/>
      <c r="J53" s="1096"/>
      <c r="K53" s="357"/>
      <c r="L53" s="357"/>
      <c r="M53" s="350"/>
      <c r="Q53" s="318"/>
      <c r="R53" s="318"/>
    </row>
    <row r="54" spans="2:22" ht="21" x14ac:dyDescent="0.25">
      <c r="B54" s="307"/>
      <c r="C54" s="334" t="s">
        <v>570</v>
      </c>
      <c r="D54" s="714">
        <f>IF(N42&lt;9*$O$37,1,IF(N42&lt;10*$O$37,2,IF(N42&lt;14*$O$37,3,4)))</f>
        <v>2</v>
      </c>
      <c r="E54" s="338"/>
      <c r="F54" s="308" t="s">
        <v>571</v>
      </c>
      <c r="G54" s="712">
        <f>(10^-4/3)*(((C38)*C39^3)+((C44)*C45^3)+(C41*C42^3))</f>
        <v>1230.6666666666667</v>
      </c>
      <c r="H54" s="312" t="s">
        <v>524</v>
      </c>
      <c r="I54" s="313"/>
      <c r="J54" s="1096"/>
      <c r="K54" s="357" t="s">
        <v>600</v>
      </c>
      <c r="L54" s="719">
        <f>(10^-4/3)*(((C38)*C39^3)+((C44)*C45^3)+(C41*(C42^3-(O47*0.1)^3)))</f>
        <v>1231.8853463550136</v>
      </c>
      <c r="M54" s="350" t="s">
        <v>583</v>
      </c>
      <c r="N54" s="318"/>
      <c r="O54" s="318"/>
      <c r="P54" s="318"/>
      <c r="Q54" s="318"/>
      <c r="R54" s="318"/>
    </row>
    <row r="55" spans="2:22" ht="21" x14ac:dyDescent="0.25">
      <c r="B55" s="307"/>
      <c r="C55" s="334" t="s">
        <v>572</v>
      </c>
      <c r="D55" s="714">
        <f>IF(P42&lt;9*$O$37,1,IF(P42&lt;10*$O$37,2,IF(P42&lt;14*$O$37,3,4)))</f>
        <v>2</v>
      </c>
      <c r="E55" s="338"/>
      <c r="F55" s="308" t="s">
        <v>573</v>
      </c>
      <c r="G55" s="713">
        <f>(10^-6/12)*((C39*C38^3*(C45+C41+(C39/2)-D50)^2)+(C45*C44^3*(D50-(C45/2))^2))</f>
        <v>252015624.99999997</v>
      </c>
      <c r="H55" s="312" t="s">
        <v>574</v>
      </c>
      <c r="I55" s="313"/>
      <c r="J55" s="1096"/>
      <c r="K55" s="357" t="s">
        <v>601</v>
      </c>
      <c r="L55" s="718">
        <f>(10^-6/12)*((C39*C38^3*((C45+C41+(C39/2)-D50)^2-(O47*0.1)^2))+(C45*C44^3*(D50-(C45/2))^2))</f>
        <v>252012642.52977532</v>
      </c>
      <c r="M55" s="350" t="s">
        <v>602</v>
      </c>
      <c r="N55" s="318"/>
      <c r="O55" s="318"/>
      <c r="P55" s="318"/>
      <c r="Q55" s="318"/>
      <c r="R55" s="318"/>
    </row>
    <row r="56" spans="2:22" x14ac:dyDescent="0.25">
      <c r="B56" s="354"/>
      <c r="C56" s="342"/>
      <c r="D56" s="342"/>
      <c r="E56" s="342"/>
      <c r="F56" s="342"/>
      <c r="G56" s="342"/>
      <c r="H56" s="344"/>
      <c r="J56" s="1097"/>
      <c r="K56" s="355"/>
      <c r="L56" s="355"/>
      <c r="M56" s="356"/>
      <c r="N56" s="318"/>
      <c r="O56" s="318"/>
      <c r="P56" s="318"/>
      <c r="Q56" s="318"/>
      <c r="R56" s="318"/>
    </row>
    <row r="57" spans="2:22" x14ac:dyDescent="0.25">
      <c r="B57" s="318"/>
      <c r="K57" s="318"/>
      <c r="L57" s="318"/>
      <c r="M57" s="318"/>
      <c r="N57" s="318"/>
      <c r="O57" s="318"/>
      <c r="P57" s="318"/>
      <c r="Q57" s="318"/>
      <c r="R57" s="318"/>
    </row>
    <row r="58" spans="2:22" x14ac:dyDescent="0.25">
      <c r="B58" s="345" t="s">
        <v>603</v>
      </c>
      <c r="C58" s="721" t="s">
        <v>439</v>
      </c>
      <c r="D58" s="346"/>
      <c r="E58" s="346"/>
      <c r="F58" s="346"/>
      <c r="G58" s="347" t="str">
        <f>"PRS "&amp;C64&amp;" * "&amp;C65&amp;" - "&amp;C61&amp;" * "&amp;C62&amp;"  -  "&amp;C58</f>
        <v>PRS 580 * 6 - 300 * 15  -  S355</v>
      </c>
      <c r="H58" s="348"/>
      <c r="J58" s="1102" t="s">
        <v>604</v>
      </c>
      <c r="K58" s="1100" t="str">
        <f>"PRS éq,Cl3   "&amp;C64&amp;" * "&amp;C65&amp;" - "&amp;C61&amp;" * "&amp;C62&amp;"  -  "&amp;C58</f>
        <v>PRS éq,Cl3   580 * 6 - 300 * 15  -  S355</v>
      </c>
      <c r="L58" s="1100"/>
      <c r="M58" s="1101"/>
    </row>
    <row r="59" spans="2:22" x14ac:dyDescent="0.25">
      <c r="B59" s="307"/>
      <c r="F59" s="308" t="s">
        <v>216</v>
      </c>
      <c r="G59" s="711">
        <f>(C61*C62+C64*C65+C67*C68)*10^-2</f>
        <v>124.8</v>
      </c>
      <c r="H59" s="322" t="s">
        <v>242</v>
      </c>
      <c r="I59" s="323"/>
      <c r="J59" s="1103"/>
      <c r="K59" s="357" t="s">
        <v>579</v>
      </c>
      <c r="L59" s="717">
        <f>G59-(C64*C65-2*O69)*0.01</f>
        <v>92.050313613936396</v>
      </c>
      <c r="M59" s="349" t="s">
        <v>242</v>
      </c>
      <c r="N59" s="315" t="s">
        <v>605</v>
      </c>
      <c r="O59" s="315">
        <f>VLOOKUP(C58,Data!A3:C34,2)</f>
        <v>35.5</v>
      </c>
      <c r="P59" s="315"/>
      <c r="Q59" s="315" t="s">
        <v>530</v>
      </c>
      <c r="R59" s="324">
        <f>C61*C62</f>
        <v>4500</v>
      </c>
      <c r="S59" s="315" t="s">
        <v>531</v>
      </c>
      <c r="U59" s="324"/>
    </row>
    <row r="60" spans="2:22" x14ac:dyDescent="0.25">
      <c r="B60" s="307"/>
      <c r="C60" s="308" t="s">
        <v>532</v>
      </c>
      <c r="F60" s="309"/>
      <c r="H60" s="325"/>
      <c r="I60" s="309"/>
      <c r="J60" s="1103"/>
      <c r="K60" s="1105" t="s">
        <v>616</v>
      </c>
      <c r="L60" s="1105"/>
      <c r="M60" s="1106"/>
      <c r="N60" s="315" t="s">
        <v>533</v>
      </c>
      <c r="O60" s="324">
        <f>SQRT(23.5/O59)</f>
        <v>0.81361651346682706</v>
      </c>
      <c r="P60" s="326"/>
      <c r="Q60" s="315" t="s">
        <v>534</v>
      </c>
      <c r="R60" s="324">
        <f>C64*C65</f>
        <v>3480</v>
      </c>
      <c r="S60" s="315" t="s">
        <v>531</v>
      </c>
      <c r="T60" s="315" t="s">
        <v>581</v>
      </c>
      <c r="U60" s="324">
        <f>R60-O73</f>
        <v>3555.9920580579578</v>
      </c>
      <c r="V60" s="315" t="s">
        <v>531</v>
      </c>
    </row>
    <row r="61" spans="2:22" x14ac:dyDescent="0.25">
      <c r="B61" s="327" t="s">
        <v>535</v>
      </c>
      <c r="C61" s="720">
        <v>300</v>
      </c>
      <c r="F61" s="308" t="s">
        <v>536</v>
      </c>
      <c r="G61" s="712">
        <f>0.79*G59</f>
        <v>98.591999999999999</v>
      </c>
      <c r="H61" s="325" t="s">
        <v>537</v>
      </c>
      <c r="I61" s="309"/>
      <c r="J61" s="1103"/>
      <c r="K61" s="1098" t="str">
        <f>IF(AND(E76=4,D77&lt;=3,D78&lt;=3),"Applicable","Non Applicable")</f>
        <v>Non Applicable</v>
      </c>
      <c r="L61" s="1098"/>
      <c r="M61" s="1099"/>
      <c r="N61" s="326"/>
      <c r="O61" s="326"/>
      <c r="P61" s="315"/>
      <c r="Q61" s="315" t="s">
        <v>538</v>
      </c>
      <c r="R61" s="324">
        <f>C65*(C64+C68-D73)</f>
        <v>1740</v>
      </c>
      <c r="S61" s="315" t="s">
        <v>531</v>
      </c>
      <c r="T61" s="315" t="s">
        <v>581</v>
      </c>
      <c r="U61" s="324">
        <f>C65*(C64+C68-D73)-O73</f>
        <v>1815.9920580579578</v>
      </c>
      <c r="V61" s="315" t="s">
        <v>531</v>
      </c>
    </row>
    <row r="62" spans="2:22" x14ac:dyDescent="0.25">
      <c r="B62" s="327" t="s">
        <v>539</v>
      </c>
      <c r="C62" s="720">
        <v>15</v>
      </c>
      <c r="H62" s="311"/>
      <c r="J62" s="1103"/>
      <c r="K62" s="358"/>
      <c r="L62" s="358"/>
      <c r="M62" s="350"/>
      <c r="N62" s="315"/>
      <c r="O62" s="315" t="s">
        <v>606</v>
      </c>
      <c r="P62" s="315"/>
      <c r="Q62" s="315" t="s">
        <v>540</v>
      </c>
      <c r="R62" s="324">
        <f>C65*(D73-C68)</f>
        <v>1740</v>
      </c>
      <c r="S62" s="315" t="s">
        <v>531</v>
      </c>
      <c r="U62" s="324"/>
    </row>
    <row r="63" spans="2:22" ht="21" x14ac:dyDescent="0.25">
      <c r="B63" s="327"/>
      <c r="C63" s="328"/>
      <c r="F63" s="308" t="s">
        <v>222</v>
      </c>
      <c r="G63" s="713">
        <f>(((C61*C62^3+C65*C64^3+C67*C68^3)*10^-4)/12)+((C61*C62*(C64+C68-D73+(C62/2))^2)+(C67*C68*(D73-(C68/2))^2)+(C64*C65*(C68+(C64/2)-D73)^2))*10^-4</f>
        <v>89428.1</v>
      </c>
      <c r="H63" s="312" t="s">
        <v>524</v>
      </c>
      <c r="I63" s="313"/>
      <c r="J63" s="1103"/>
      <c r="K63" s="357" t="s">
        <v>582</v>
      </c>
      <c r="L63" s="718">
        <f>G63-O74</f>
        <v>89658.941621096557</v>
      </c>
      <c r="M63" s="350" t="s">
        <v>583</v>
      </c>
      <c r="N63" s="315"/>
      <c r="O63" s="315" t="s">
        <v>541</v>
      </c>
      <c r="P63" s="315"/>
      <c r="Q63" s="315" t="s">
        <v>542</v>
      </c>
      <c r="R63" s="324">
        <f>C67*C68</f>
        <v>4500</v>
      </c>
      <c r="S63" s="315" t="s">
        <v>531</v>
      </c>
      <c r="U63" s="324"/>
    </row>
    <row r="64" spans="2:22" ht="21" x14ac:dyDescent="0.25">
      <c r="B64" s="327" t="s">
        <v>543</v>
      </c>
      <c r="C64" s="720">
        <v>580</v>
      </c>
      <c r="F64" s="308" t="s">
        <v>544</v>
      </c>
      <c r="G64" s="713">
        <f>MIN(G63/((C62+C64+C68-D73)*10^-1),G63/(D73*10^-1))</f>
        <v>2932.0688524590164</v>
      </c>
      <c r="H64" s="312" t="s">
        <v>518</v>
      </c>
      <c r="I64" s="313"/>
      <c r="J64" s="1103"/>
      <c r="K64" s="357" t="s">
        <v>584</v>
      </c>
      <c r="L64" s="718">
        <f>IF(O66&lt;=124,L63/(D73*0.1),IF(O66&lt;=160,(L63-(0.0001*0.15*C65*C64^3/12))/(D73*0.1),IF(O66&lt;=210,(L63-(0.0001*0.3*C65*C64^3/12))/(D73*0.1),"Hors Limites")))</f>
        <v>2939.6374301998871</v>
      </c>
      <c r="M64" s="350" t="s">
        <v>585</v>
      </c>
      <c r="N64" s="315" t="s">
        <v>535</v>
      </c>
      <c r="O64" s="315" t="s">
        <v>545</v>
      </c>
      <c r="P64" s="315" t="s">
        <v>546</v>
      </c>
      <c r="Q64" s="315"/>
      <c r="R64" s="324"/>
      <c r="S64" s="315"/>
    </row>
    <row r="65" spans="2:19" ht="21" x14ac:dyDescent="0.25">
      <c r="B65" s="327" t="s">
        <v>547</v>
      </c>
      <c r="C65" s="720">
        <v>6</v>
      </c>
      <c r="F65" s="308" t="s">
        <v>548</v>
      </c>
      <c r="G65" s="713">
        <f>((R59+R61)*R65+(R62+R63)*R66)*10^-3</f>
        <v>3182.1</v>
      </c>
      <c r="H65" s="312" t="s">
        <v>518</v>
      </c>
      <c r="I65" s="313"/>
      <c r="J65" s="1103"/>
      <c r="K65" s="357"/>
      <c r="L65" s="718" t="str">
        <f>IF(O66&lt;=124,"Hw / Tw*ε ≤ 124",IF(O66&lt;=160,"Hw / Tw*ε ≤ 160",IF(O66&lt;=210,"Hw / Tw*ε ≤ 210","Hw / Tw*ε ≥ 210")))</f>
        <v>Hw / Tw*ε ≤ 124</v>
      </c>
      <c r="M65" s="350"/>
      <c r="N65" s="324">
        <f>(C61-C65)/(2*C62)</f>
        <v>9.8000000000000007</v>
      </c>
      <c r="O65" s="324">
        <f>C64/C65</f>
        <v>96.666666666666671</v>
      </c>
      <c r="P65" s="324">
        <f>(C67-C65)/(2*C68)</f>
        <v>9.8000000000000007</v>
      </c>
      <c r="Q65" s="315" t="s">
        <v>549</v>
      </c>
      <c r="R65" s="329">
        <f>(R59*(C68+C64-D73+C62/2)+R61*(C68+C64-D73)/2)/(R59+R61)</f>
        <v>254.97596153846155</v>
      </c>
      <c r="S65" s="315" t="s">
        <v>240</v>
      </c>
    </row>
    <row r="66" spans="2:19" x14ac:dyDescent="0.25">
      <c r="B66" s="327"/>
      <c r="C66" s="328"/>
      <c r="F66" s="308" t="s">
        <v>550</v>
      </c>
      <c r="G66" s="711">
        <f>C64*C65*10^-2</f>
        <v>34.800000000000004</v>
      </c>
      <c r="H66" s="322" t="s">
        <v>242</v>
      </c>
      <c r="I66" s="323"/>
      <c r="J66" s="1103"/>
      <c r="K66" s="357" t="s">
        <v>587</v>
      </c>
      <c r="L66" s="717">
        <f>G66-O73*10^-2</f>
        <v>35.559920580579579</v>
      </c>
      <c r="M66" s="349" t="s">
        <v>242</v>
      </c>
      <c r="N66" s="315"/>
      <c r="O66" s="324">
        <f>C64/(C65*O60)</f>
        <v>118.81109228568771</v>
      </c>
      <c r="P66" s="315"/>
      <c r="Q66" s="315" t="s">
        <v>551</v>
      </c>
      <c r="R66" s="329">
        <f>(R63*(D73-C68/2)+R62*(D73-C68)/2)/(R63+R62)</f>
        <v>254.97596153846155</v>
      </c>
      <c r="S66" s="315" t="s">
        <v>240</v>
      </c>
    </row>
    <row r="67" spans="2:19" x14ac:dyDescent="0.25">
      <c r="B67" s="327" t="s">
        <v>546</v>
      </c>
      <c r="C67" s="351">
        <f>C61</f>
        <v>300</v>
      </c>
      <c r="F67" s="308" t="s">
        <v>224</v>
      </c>
      <c r="G67" s="712">
        <f>SQRT(G63/$G$36)</f>
        <v>12.774582713484211</v>
      </c>
      <c r="H67" s="322" t="s">
        <v>245</v>
      </c>
      <c r="I67" s="323"/>
      <c r="J67" s="1103"/>
      <c r="K67" s="357" t="s">
        <v>588</v>
      </c>
      <c r="L67" s="719">
        <f>SQRT(L63/$L$59)</f>
        <v>31.209310048870329</v>
      </c>
      <c r="M67" s="349" t="s">
        <v>245</v>
      </c>
      <c r="N67" s="315"/>
      <c r="O67" s="315"/>
      <c r="P67" s="315"/>
      <c r="Q67" s="315" t="s">
        <v>552</v>
      </c>
      <c r="R67" s="329">
        <f>((R59*C61/8)+(R60*C65/8)+(R63*C67/8))/((R59+R60+R63)/2)</f>
        <v>54.504807692307693</v>
      </c>
      <c r="S67" s="315" t="s">
        <v>240</v>
      </c>
    </row>
    <row r="68" spans="2:19" ht="21" x14ac:dyDescent="0.25">
      <c r="B68" s="327" t="s">
        <v>553</v>
      </c>
      <c r="C68" s="351">
        <f>C62</f>
        <v>15</v>
      </c>
      <c r="F68" s="308" t="s">
        <v>589</v>
      </c>
      <c r="G68" s="711">
        <f>((0.2*(C61+C64+C67+C62+C68-C65)/G59)*100)</f>
        <v>192.94871794871796</v>
      </c>
      <c r="H68" s="312" t="s">
        <v>555</v>
      </c>
      <c r="I68" s="313"/>
      <c r="J68" s="1103"/>
      <c r="K68" s="357"/>
      <c r="L68" s="357"/>
      <c r="M68" s="350"/>
      <c r="N68" s="315"/>
      <c r="O68" s="315"/>
      <c r="P68" s="315"/>
      <c r="Q68" s="315"/>
      <c r="R68" s="315"/>
      <c r="S68" s="315"/>
    </row>
    <row r="69" spans="2:19" ht="21" x14ac:dyDescent="0.25">
      <c r="B69" s="307"/>
      <c r="F69" s="308" t="s">
        <v>556</v>
      </c>
      <c r="G69" s="711">
        <f>((0.1*2*(C61+C64+C62+C68))/G59)*100</f>
        <v>145.83333333333331</v>
      </c>
      <c r="H69" s="312" t="s">
        <v>555</v>
      </c>
      <c r="I69" s="313"/>
      <c r="J69" s="1103"/>
      <c r="K69" s="357"/>
      <c r="L69" s="357"/>
      <c r="M69" s="350"/>
      <c r="N69" s="315" t="s">
        <v>607</v>
      </c>
      <c r="O69" s="329">
        <f>21*O60*C65</f>
        <v>102.51568069682021</v>
      </c>
      <c r="P69" s="352" t="s">
        <v>240</v>
      </c>
      <c r="Q69" s="315" t="s">
        <v>557</v>
      </c>
      <c r="R69" s="330">
        <f>G63/((C62+C64+C68-D73)*10^-1)</f>
        <v>2932.0688524590164</v>
      </c>
      <c r="S69" s="315" t="s">
        <v>558</v>
      </c>
    </row>
    <row r="70" spans="2:19" x14ac:dyDescent="0.25">
      <c r="B70" s="307"/>
      <c r="H70" s="311"/>
      <c r="J70" s="1103"/>
      <c r="K70" s="358"/>
      <c r="L70" s="358"/>
      <c r="M70" s="350"/>
      <c r="N70" s="315" t="s">
        <v>608</v>
      </c>
      <c r="O70" s="329">
        <f>25*O60*C65</f>
        <v>122.04247702002405</v>
      </c>
      <c r="P70" s="352" t="s">
        <v>240</v>
      </c>
      <c r="Q70" s="315" t="s">
        <v>559</v>
      </c>
      <c r="R70" s="330">
        <f>G63/(D73*10^-1)</f>
        <v>2932.0688524590164</v>
      </c>
      <c r="S70" s="315" t="s">
        <v>558</v>
      </c>
    </row>
    <row r="71" spans="2:19" ht="21" x14ac:dyDescent="0.25">
      <c r="B71" s="307"/>
      <c r="C71" s="331"/>
      <c r="D71" s="332" t="s">
        <v>560</v>
      </c>
      <c r="E71" s="333"/>
      <c r="F71" s="308" t="s">
        <v>225</v>
      </c>
      <c r="G71" s="713">
        <f>((C62*C61^3+C64*C65^3+C68*C67^3)*10^-4)/12</f>
        <v>6751.0440000000008</v>
      </c>
      <c r="H71" s="312" t="s">
        <v>524</v>
      </c>
      <c r="I71" s="313"/>
      <c r="J71" s="1103"/>
      <c r="K71" s="357" t="s">
        <v>592</v>
      </c>
      <c r="L71" s="718">
        <f>G71-O75</f>
        <v>6751.0667976174182</v>
      </c>
      <c r="M71" s="350" t="s">
        <v>583</v>
      </c>
      <c r="N71" s="315" t="s">
        <v>609</v>
      </c>
      <c r="O71" s="329">
        <f>37*O60*C65</f>
        <v>180.62286598963561</v>
      </c>
      <c r="P71" s="352" t="s">
        <v>240</v>
      </c>
      <c r="Q71" s="318"/>
      <c r="R71" s="318"/>
    </row>
    <row r="72" spans="2:19" ht="21" x14ac:dyDescent="0.25">
      <c r="B72" s="307"/>
      <c r="C72" s="334" t="s">
        <v>561</v>
      </c>
      <c r="D72" s="715">
        <f>MAX(C61,C67)/2</f>
        <v>150</v>
      </c>
      <c r="E72" s="335" t="s">
        <v>240</v>
      </c>
      <c r="F72" s="308" t="s">
        <v>562</v>
      </c>
      <c r="G72" s="713">
        <f>G71/(D72*10^-1)</f>
        <v>450.06960000000004</v>
      </c>
      <c r="H72" s="312" t="s">
        <v>518</v>
      </c>
      <c r="I72" s="313"/>
      <c r="J72" s="1103"/>
      <c r="K72" s="357" t="s">
        <v>594</v>
      </c>
      <c r="L72" s="718">
        <f>L71/(D72*10^-1)</f>
        <v>450.07111984116119</v>
      </c>
      <c r="M72" s="350" t="s">
        <v>585</v>
      </c>
      <c r="N72" s="315" t="s">
        <v>591</v>
      </c>
      <c r="O72" s="330">
        <f>((C64/2)-(O70+O71))</f>
        <v>-12.665343009659637</v>
      </c>
      <c r="P72" s="353" t="s">
        <v>240</v>
      </c>
      <c r="Q72" s="318"/>
      <c r="R72" s="318"/>
    </row>
    <row r="73" spans="2:19" ht="21" x14ac:dyDescent="0.25">
      <c r="B73" s="307"/>
      <c r="C73" s="334" t="s">
        <v>563</v>
      </c>
      <c r="D73" s="716">
        <f>(C61*C62*(C68+C64+C62/2)+C64*C65*(C68+C64/2)+C67*C68*(C68/2))/(C61*C62+C64*C65+C67*C68)</f>
        <v>305</v>
      </c>
      <c r="E73" s="335" t="s">
        <v>240</v>
      </c>
      <c r="F73" s="308" t="s">
        <v>564</v>
      </c>
      <c r="G73" s="713">
        <f>2*((R59/2+R60/2+R63/2)*R67)*10^-3</f>
        <v>680.22</v>
      </c>
      <c r="H73" s="312" t="s">
        <v>518</v>
      </c>
      <c r="I73" s="313"/>
      <c r="J73" s="1103"/>
      <c r="K73" s="357"/>
      <c r="L73" s="718"/>
      <c r="M73" s="350"/>
      <c r="N73" s="315" t="s">
        <v>593</v>
      </c>
      <c r="O73" s="330">
        <f>O72*C65</f>
        <v>-75.99205805795782</v>
      </c>
      <c r="P73" s="353" t="s">
        <v>531</v>
      </c>
      <c r="Q73" s="318"/>
      <c r="R73" s="318"/>
    </row>
    <row r="74" spans="2:19" ht="21" x14ac:dyDescent="0.3">
      <c r="B74" s="307"/>
      <c r="E74" s="336"/>
      <c r="F74" s="308" t="s">
        <v>565</v>
      </c>
      <c r="G74" s="711">
        <f>(C61*C62+C67*C68)*10^-2</f>
        <v>90</v>
      </c>
      <c r="H74" s="322" t="s">
        <v>242</v>
      </c>
      <c r="I74" s="323"/>
      <c r="J74" s="1103"/>
      <c r="K74" s="357" t="s">
        <v>598</v>
      </c>
      <c r="L74" s="717">
        <f>(C61*C62+C67*C68)*10^-2</f>
        <v>90</v>
      </c>
      <c r="M74" s="349" t="s">
        <v>242</v>
      </c>
      <c r="N74" s="315" t="s">
        <v>595</v>
      </c>
      <c r="O74" s="330">
        <f>(O73*10^-2)*(((O71+O72/2)*10^-1)^2)</f>
        <v>-230.8416210965519</v>
      </c>
      <c r="P74" s="353" t="s">
        <v>583</v>
      </c>
      <c r="Q74" s="318"/>
      <c r="R74" s="318"/>
    </row>
    <row r="75" spans="2:19" ht="21" x14ac:dyDescent="0.3">
      <c r="B75" s="307"/>
      <c r="C75" s="334" t="s">
        <v>566</v>
      </c>
      <c r="D75" s="337" t="s">
        <v>567</v>
      </c>
      <c r="E75" s="337" t="s">
        <v>568</v>
      </c>
      <c r="F75" s="308" t="s">
        <v>227</v>
      </c>
      <c r="G75" s="712">
        <f>SQRT(G71/$G$36)</f>
        <v>3.5099036108793977</v>
      </c>
      <c r="H75" s="322" t="s">
        <v>245</v>
      </c>
      <c r="I75" s="323"/>
      <c r="J75" s="1103"/>
      <c r="K75" s="357" t="s">
        <v>599</v>
      </c>
      <c r="L75" s="719">
        <f>SQRT(L71/$L$59)</f>
        <v>8.5639390217397935</v>
      </c>
      <c r="M75" s="349" t="s">
        <v>245</v>
      </c>
      <c r="N75" s="315" t="s">
        <v>597</v>
      </c>
      <c r="O75" s="330">
        <f>(O72*C65^3/12)*10^-4</f>
        <v>-2.2797617417387346E-2</v>
      </c>
      <c r="P75" s="353" t="s">
        <v>583</v>
      </c>
      <c r="Q75" s="318"/>
      <c r="R75" s="318"/>
    </row>
    <row r="76" spans="2:19" x14ac:dyDescent="0.25">
      <c r="B76" s="307"/>
      <c r="C76" s="334" t="s">
        <v>569</v>
      </c>
      <c r="D76" s="714">
        <f>IF(O65&lt;33*$O$60,1,IF(O65&lt;38*$O$60,2,IF(O65&lt;42*$O$60,3,4)))</f>
        <v>4</v>
      </c>
      <c r="E76" s="714">
        <f>IF(O65&lt;72*$O$60,1,IF(O65&lt;83*$O$60,2,IF(O65&lt;124*$O$60,3,4)))</f>
        <v>3</v>
      </c>
      <c r="F76" s="309"/>
      <c r="H76" s="325"/>
      <c r="I76" s="309"/>
      <c r="J76" s="1103"/>
      <c r="K76" s="357"/>
      <c r="L76" s="357"/>
      <c r="M76" s="350"/>
      <c r="Q76" s="318"/>
      <c r="R76" s="318"/>
    </row>
    <row r="77" spans="2:19" ht="21" x14ac:dyDescent="0.25">
      <c r="B77" s="307"/>
      <c r="C77" s="334" t="s">
        <v>570</v>
      </c>
      <c r="D77" s="714">
        <f>IF(N65&lt;9*$O$60,1,IF(N65&lt;10*$O$60,2,IF(N65&lt;14*$O$60,3,4)))</f>
        <v>3</v>
      </c>
      <c r="E77" s="338"/>
      <c r="F77" s="308" t="s">
        <v>571</v>
      </c>
      <c r="G77" s="712">
        <f>(10^-4/3)*(((C61)*C62^3)+((C67)*C68^3)+(C64*C65^3))</f>
        <v>71.676000000000002</v>
      </c>
      <c r="H77" s="312" t="s">
        <v>524</v>
      </c>
      <c r="I77" s="313"/>
      <c r="J77" s="1103"/>
      <c r="K77" s="357" t="s">
        <v>600</v>
      </c>
      <c r="L77" s="719">
        <f>(10^-4/3)*(((C61)*C62^3)+((C67)*C68^3)+(C64*(C65^3-(O72*0.1)^3)))</f>
        <v>71.715278745357566</v>
      </c>
      <c r="M77" s="350" t="s">
        <v>583</v>
      </c>
      <c r="N77" s="318"/>
      <c r="O77" s="318"/>
      <c r="P77" s="318"/>
      <c r="Q77" s="318"/>
      <c r="R77" s="318"/>
    </row>
    <row r="78" spans="2:19" ht="21" x14ac:dyDescent="0.25">
      <c r="B78" s="307"/>
      <c r="C78" s="334" t="s">
        <v>572</v>
      </c>
      <c r="D78" s="714">
        <f>IF(P65&lt;9*$O$60,1,IF(P65&lt;10*$O$60,2,IF(P65&lt;14*$O$60,3,4)))</f>
        <v>3</v>
      </c>
      <c r="E78" s="338"/>
      <c r="F78" s="308" t="s">
        <v>573</v>
      </c>
      <c r="G78" s="713">
        <f>(10^-6/12)*((C62*C61^3*(C68+C64+(C62/2)-D73)^2)+(C68*C67^3*(D73-(C68/2))^2))</f>
        <v>5974171.8749999991</v>
      </c>
      <c r="H78" s="312" t="s">
        <v>574</v>
      </c>
      <c r="I78" s="313"/>
      <c r="J78" s="1103"/>
      <c r="K78" s="357" t="s">
        <v>601</v>
      </c>
      <c r="L78" s="718">
        <f>(10^-6/12)*((C62*C61^3*((C68+C64+(C62/2)-D73)^2-(O72*0.1)^2))+(C68*C67^3*(D73-(C68/2))^2))</f>
        <v>5974117.7363166753</v>
      </c>
      <c r="M78" s="350" t="s">
        <v>602</v>
      </c>
      <c r="N78" s="318"/>
      <c r="O78" s="318"/>
      <c r="P78" s="318"/>
      <c r="Q78" s="318"/>
      <c r="R78" s="318"/>
    </row>
    <row r="79" spans="2:19" x14ac:dyDescent="0.25">
      <c r="B79" s="354"/>
      <c r="C79" s="342"/>
      <c r="D79" s="342"/>
      <c r="E79" s="342"/>
      <c r="F79" s="342"/>
      <c r="G79" s="342"/>
      <c r="H79" s="344"/>
      <c r="J79" s="1104"/>
      <c r="K79" s="355"/>
      <c r="L79" s="355"/>
      <c r="M79" s="356"/>
      <c r="N79" s="318"/>
      <c r="O79" s="318"/>
      <c r="P79" s="318"/>
      <c r="Q79" s="318"/>
      <c r="R79" s="318"/>
    </row>
    <row r="80" spans="2:19" x14ac:dyDescent="0.25">
      <c r="K80" s="318"/>
      <c r="L80" s="318"/>
      <c r="M80" s="318"/>
      <c r="N80" s="318"/>
      <c r="O80" s="318"/>
      <c r="P80" s="318"/>
      <c r="Q80" s="318"/>
      <c r="R80" s="318"/>
    </row>
    <row r="81" spans="11:18" x14ac:dyDescent="0.25">
      <c r="K81" s="318"/>
      <c r="L81" s="318"/>
      <c r="M81" s="318"/>
      <c r="N81" s="318"/>
      <c r="O81" s="318"/>
      <c r="P81" s="318"/>
      <c r="Q81" s="318"/>
      <c r="R81" s="318"/>
    </row>
    <row r="82" spans="11:18" x14ac:dyDescent="0.25">
      <c r="K82" s="318"/>
      <c r="L82" s="318"/>
      <c r="M82" s="318"/>
      <c r="N82" s="318"/>
      <c r="O82" s="318"/>
      <c r="P82" s="318"/>
      <c r="Q82" s="318"/>
      <c r="R82" s="318"/>
    </row>
    <row r="83" spans="11:18" x14ac:dyDescent="0.25">
      <c r="K83" s="318"/>
      <c r="L83" s="318"/>
      <c r="M83" s="318"/>
      <c r="N83" s="318"/>
      <c r="O83" s="318"/>
      <c r="P83" s="318"/>
      <c r="Q83" s="318"/>
      <c r="R83" s="318"/>
    </row>
    <row r="84" spans="11:18" x14ac:dyDescent="0.25">
      <c r="K84" s="318"/>
      <c r="L84" s="318"/>
      <c r="M84" s="318"/>
      <c r="N84" s="318"/>
      <c r="O84" s="318"/>
      <c r="P84" s="318"/>
      <c r="Q84" s="318"/>
      <c r="R84" s="318"/>
    </row>
    <row r="85" spans="11:18" x14ac:dyDescent="0.25">
      <c r="K85" s="318"/>
      <c r="L85" s="318"/>
      <c r="M85" s="318"/>
      <c r="N85" s="318"/>
      <c r="O85" s="318"/>
      <c r="P85" s="318"/>
      <c r="Q85" s="318"/>
      <c r="R85" s="318"/>
    </row>
    <row r="86" spans="11:18" x14ac:dyDescent="0.25">
      <c r="K86" s="318"/>
      <c r="L86" s="318"/>
      <c r="M86" s="318"/>
      <c r="N86" s="318"/>
      <c r="O86" s="318"/>
      <c r="P86" s="318"/>
      <c r="Q86" s="318"/>
      <c r="R86" s="318"/>
    </row>
    <row r="87" spans="11:18" x14ac:dyDescent="0.25">
      <c r="K87" s="318"/>
      <c r="L87" s="318"/>
      <c r="M87" s="318"/>
      <c r="N87" s="318"/>
      <c r="O87" s="318"/>
      <c r="P87" s="318"/>
      <c r="Q87" s="318"/>
      <c r="R87" s="318"/>
    </row>
    <row r="88" spans="11:18" x14ac:dyDescent="0.25">
      <c r="K88" s="318"/>
      <c r="L88" s="318"/>
      <c r="M88" s="318"/>
      <c r="N88" s="318"/>
      <c r="O88" s="318"/>
      <c r="P88" s="318"/>
      <c r="Q88" s="318"/>
      <c r="R88" s="318"/>
    </row>
    <row r="89" spans="11:18" x14ac:dyDescent="0.25">
      <c r="K89" s="318"/>
      <c r="L89" s="318"/>
      <c r="M89" s="318"/>
      <c r="N89" s="318"/>
      <c r="O89" s="318"/>
      <c r="P89" s="318"/>
      <c r="Q89" s="318"/>
      <c r="R89" s="318"/>
    </row>
    <row r="90" spans="11:18" x14ac:dyDescent="0.25">
      <c r="K90" s="318"/>
      <c r="L90" s="318"/>
      <c r="M90" s="318"/>
      <c r="N90" s="318"/>
      <c r="O90" s="318"/>
      <c r="P90" s="318"/>
      <c r="Q90" s="318"/>
      <c r="R90" s="318"/>
    </row>
    <row r="91" spans="11:18" x14ac:dyDescent="0.25">
      <c r="K91" s="318"/>
      <c r="L91" s="318"/>
      <c r="M91" s="318"/>
      <c r="N91" s="318"/>
      <c r="O91" s="318"/>
      <c r="P91" s="318"/>
      <c r="Q91" s="318"/>
      <c r="R91" s="318"/>
    </row>
    <row r="92" spans="11:18" x14ac:dyDescent="0.25">
      <c r="K92" s="318"/>
      <c r="L92" s="318"/>
      <c r="M92" s="318"/>
      <c r="N92" s="318"/>
      <c r="O92" s="318"/>
      <c r="P92" s="318"/>
      <c r="Q92" s="318"/>
      <c r="R92" s="318"/>
    </row>
    <row r="93" spans="11:18" x14ac:dyDescent="0.25">
      <c r="K93" s="318"/>
      <c r="L93" s="318"/>
      <c r="M93" s="318"/>
      <c r="N93" s="318"/>
      <c r="O93" s="318"/>
      <c r="P93" s="318"/>
      <c r="Q93" s="318"/>
      <c r="R93" s="318"/>
    </row>
    <row r="94" spans="11:18" x14ac:dyDescent="0.25">
      <c r="K94" s="318"/>
      <c r="L94" s="318"/>
      <c r="M94" s="318"/>
      <c r="N94" s="318"/>
      <c r="O94" s="318"/>
      <c r="P94" s="318"/>
      <c r="Q94" s="318"/>
      <c r="R94" s="318"/>
    </row>
    <row r="95" spans="11:18" x14ac:dyDescent="0.25">
      <c r="K95" s="318"/>
      <c r="L95" s="318"/>
      <c r="M95" s="318"/>
      <c r="N95" s="318"/>
      <c r="O95" s="318"/>
      <c r="P95" s="318"/>
      <c r="Q95" s="318"/>
      <c r="R95" s="318"/>
    </row>
    <row r="96" spans="11:18" x14ac:dyDescent="0.25">
      <c r="K96" s="318"/>
      <c r="L96" s="318"/>
      <c r="M96" s="318"/>
      <c r="N96" s="318"/>
      <c r="O96" s="318"/>
      <c r="P96" s="318"/>
      <c r="Q96" s="318"/>
      <c r="R96" s="318"/>
    </row>
    <row r="97" spans="11:18" x14ac:dyDescent="0.25">
      <c r="K97" s="318"/>
      <c r="L97" s="318"/>
      <c r="M97" s="318"/>
      <c r="N97" s="318"/>
      <c r="O97" s="318"/>
      <c r="P97" s="318"/>
      <c r="Q97" s="318"/>
      <c r="R97" s="318"/>
    </row>
    <row r="98" spans="11:18" x14ac:dyDescent="0.25">
      <c r="K98" s="318"/>
      <c r="L98" s="318"/>
      <c r="M98" s="318"/>
      <c r="N98" s="318"/>
      <c r="O98" s="318"/>
      <c r="P98" s="318"/>
      <c r="Q98" s="318"/>
      <c r="R98" s="318"/>
    </row>
    <row r="99" spans="11:18" x14ac:dyDescent="0.25">
      <c r="K99" s="318"/>
      <c r="L99" s="318"/>
      <c r="M99" s="318"/>
      <c r="N99" s="318"/>
      <c r="O99" s="318"/>
      <c r="P99" s="318"/>
      <c r="Q99" s="318"/>
      <c r="R99" s="318"/>
    </row>
    <row r="100" spans="11:18" x14ac:dyDescent="0.25">
      <c r="K100" s="318"/>
      <c r="L100" s="318"/>
      <c r="M100" s="318"/>
      <c r="N100" s="318"/>
      <c r="O100" s="318"/>
      <c r="P100" s="318"/>
      <c r="Q100" s="318"/>
      <c r="R100" s="318"/>
    </row>
    <row r="101" spans="11:18" x14ac:dyDescent="0.25">
      <c r="K101" s="318"/>
      <c r="L101" s="318"/>
      <c r="M101" s="318"/>
      <c r="N101" s="318"/>
      <c r="O101" s="318"/>
      <c r="P101" s="318"/>
      <c r="Q101" s="318"/>
      <c r="R101" s="318"/>
    </row>
    <row r="102" spans="11:18" x14ac:dyDescent="0.25">
      <c r="K102" s="318"/>
      <c r="L102" s="318"/>
      <c r="M102" s="318"/>
      <c r="N102" s="318"/>
      <c r="O102" s="318"/>
      <c r="P102" s="318"/>
      <c r="Q102" s="318"/>
      <c r="R102" s="318"/>
    </row>
    <row r="103" spans="11:18" x14ac:dyDescent="0.25">
      <c r="K103" s="318"/>
      <c r="L103" s="318"/>
      <c r="M103" s="318"/>
      <c r="N103" s="318"/>
      <c r="O103" s="318"/>
      <c r="P103" s="318"/>
      <c r="Q103" s="318"/>
      <c r="R103" s="318"/>
    </row>
    <row r="104" spans="11:18" x14ac:dyDescent="0.25">
      <c r="K104" s="318"/>
      <c r="L104" s="318"/>
      <c r="M104" s="318"/>
      <c r="N104" s="318"/>
      <c r="O104" s="318"/>
      <c r="P104" s="318"/>
      <c r="Q104" s="318"/>
      <c r="R104" s="318"/>
    </row>
    <row r="105" spans="11:18" x14ac:dyDescent="0.25">
      <c r="K105" s="318"/>
      <c r="L105" s="318"/>
      <c r="M105" s="318"/>
      <c r="N105" s="318"/>
      <c r="O105" s="318"/>
      <c r="P105" s="318"/>
      <c r="Q105" s="318"/>
      <c r="R105" s="318"/>
    </row>
    <row r="106" spans="11:18" x14ac:dyDescent="0.25">
      <c r="K106" s="318"/>
      <c r="L106" s="318"/>
      <c r="M106" s="318"/>
      <c r="N106" s="318"/>
      <c r="O106" s="318"/>
      <c r="P106" s="318"/>
      <c r="Q106" s="318"/>
      <c r="R106" s="318"/>
    </row>
    <row r="107" spans="11:18" x14ac:dyDescent="0.25">
      <c r="K107" s="318"/>
      <c r="L107" s="318"/>
      <c r="M107" s="318"/>
      <c r="N107" s="318"/>
      <c r="O107" s="318"/>
      <c r="P107" s="318"/>
      <c r="Q107" s="318"/>
      <c r="R107" s="318"/>
    </row>
    <row r="108" spans="11:18" x14ac:dyDescent="0.25">
      <c r="K108" s="318"/>
      <c r="L108" s="318"/>
      <c r="M108" s="318"/>
      <c r="N108" s="318"/>
      <c r="O108" s="318"/>
      <c r="P108" s="318"/>
      <c r="Q108" s="318"/>
      <c r="R108" s="318"/>
    </row>
    <row r="109" spans="11:18" x14ac:dyDescent="0.25">
      <c r="K109" s="318"/>
      <c r="L109" s="318"/>
      <c r="M109" s="318"/>
      <c r="N109" s="318"/>
      <c r="O109" s="318"/>
      <c r="P109" s="318"/>
      <c r="Q109" s="318"/>
      <c r="R109" s="318"/>
    </row>
    <row r="110" spans="11:18" x14ac:dyDescent="0.25">
      <c r="K110" s="318"/>
      <c r="L110" s="318"/>
      <c r="M110" s="318"/>
      <c r="N110" s="318"/>
      <c r="O110" s="318"/>
      <c r="P110" s="318"/>
      <c r="Q110" s="318"/>
      <c r="R110" s="318"/>
    </row>
    <row r="111" spans="11:18" x14ac:dyDescent="0.25">
      <c r="K111" s="318"/>
      <c r="L111" s="318"/>
      <c r="M111" s="318"/>
      <c r="N111" s="318"/>
      <c r="O111" s="318"/>
      <c r="P111" s="318"/>
      <c r="Q111" s="318"/>
      <c r="R111" s="318"/>
    </row>
    <row r="112" spans="11:18" x14ac:dyDescent="0.25">
      <c r="K112" s="318"/>
      <c r="L112" s="318"/>
      <c r="M112" s="318"/>
      <c r="N112" s="318"/>
      <c r="O112" s="318"/>
      <c r="P112" s="318"/>
      <c r="Q112" s="318"/>
      <c r="R112" s="318"/>
    </row>
    <row r="113" spans="11:18" x14ac:dyDescent="0.25">
      <c r="K113" s="318"/>
      <c r="L113" s="318"/>
      <c r="M113" s="318"/>
      <c r="N113" s="318"/>
      <c r="O113" s="318"/>
      <c r="P113" s="318"/>
      <c r="Q113" s="318"/>
      <c r="R113" s="318"/>
    </row>
    <row r="114" spans="11:18" x14ac:dyDescent="0.25">
      <c r="K114" s="318"/>
      <c r="L114" s="318"/>
      <c r="M114" s="318"/>
      <c r="N114" s="318"/>
      <c r="O114" s="318"/>
      <c r="P114" s="318"/>
      <c r="Q114" s="318"/>
      <c r="R114" s="318"/>
    </row>
    <row r="115" spans="11:18" x14ac:dyDescent="0.25">
      <c r="K115" s="318"/>
      <c r="L115" s="318"/>
      <c r="M115" s="318"/>
      <c r="N115" s="318"/>
      <c r="O115" s="318"/>
      <c r="P115" s="318"/>
      <c r="Q115" s="318"/>
      <c r="R115" s="318"/>
    </row>
    <row r="116" spans="11:18" x14ac:dyDescent="0.25">
      <c r="K116" s="318"/>
      <c r="L116" s="318"/>
      <c r="M116" s="318"/>
      <c r="N116" s="318"/>
      <c r="O116" s="318"/>
      <c r="P116" s="318"/>
      <c r="Q116" s="318"/>
      <c r="R116" s="318"/>
    </row>
    <row r="117" spans="11:18" x14ac:dyDescent="0.25">
      <c r="K117" s="318"/>
      <c r="L117" s="318"/>
      <c r="M117" s="318"/>
      <c r="N117" s="318"/>
      <c r="O117" s="318"/>
      <c r="P117" s="318"/>
      <c r="Q117" s="318"/>
      <c r="R117" s="318"/>
    </row>
    <row r="118" spans="11:18" x14ac:dyDescent="0.25">
      <c r="K118" s="318"/>
      <c r="L118" s="318"/>
      <c r="M118" s="318"/>
      <c r="N118" s="318"/>
      <c r="O118" s="318"/>
      <c r="P118" s="318"/>
      <c r="Q118" s="318"/>
      <c r="R118" s="318"/>
    </row>
    <row r="119" spans="11:18" x14ac:dyDescent="0.25">
      <c r="K119" s="318"/>
      <c r="L119" s="318"/>
      <c r="M119" s="318"/>
      <c r="N119" s="318"/>
      <c r="O119" s="318"/>
      <c r="P119" s="318"/>
      <c r="Q119" s="318"/>
      <c r="R119" s="318"/>
    </row>
    <row r="120" spans="11:18" x14ac:dyDescent="0.25">
      <c r="K120" s="318"/>
      <c r="L120" s="318"/>
      <c r="M120" s="318"/>
      <c r="N120" s="318"/>
      <c r="O120" s="318"/>
      <c r="P120" s="318"/>
      <c r="Q120" s="318"/>
      <c r="R120" s="318"/>
    </row>
    <row r="121" spans="11:18" x14ac:dyDescent="0.25">
      <c r="K121" s="318"/>
      <c r="L121" s="318"/>
      <c r="M121" s="318"/>
      <c r="N121" s="318"/>
      <c r="O121" s="318"/>
      <c r="P121" s="318"/>
      <c r="Q121" s="318"/>
      <c r="R121" s="318"/>
    </row>
    <row r="122" spans="11:18" x14ac:dyDescent="0.25">
      <c r="K122" s="318"/>
      <c r="L122" s="318"/>
      <c r="M122" s="318"/>
      <c r="N122" s="318"/>
      <c r="O122" s="318"/>
      <c r="P122" s="318"/>
      <c r="Q122" s="318"/>
      <c r="R122" s="318"/>
    </row>
    <row r="123" spans="11:18" x14ac:dyDescent="0.25">
      <c r="K123" s="318"/>
      <c r="L123" s="318"/>
      <c r="M123" s="318"/>
      <c r="N123" s="318"/>
      <c r="O123" s="318"/>
      <c r="P123" s="318"/>
      <c r="Q123" s="318"/>
      <c r="R123" s="318"/>
    </row>
    <row r="124" spans="11:18" x14ac:dyDescent="0.25">
      <c r="K124" s="318"/>
      <c r="L124" s="318"/>
      <c r="M124" s="318"/>
      <c r="N124" s="318"/>
      <c r="O124" s="318"/>
      <c r="P124" s="318"/>
      <c r="Q124" s="318"/>
      <c r="R124" s="318"/>
    </row>
    <row r="125" spans="11:18" x14ac:dyDescent="0.25">
      <c r="K125" s="318"/>
      <c r="L125" s="318"/>
      <c r="M125" s="318"/>
      <c r="N125" s="318"/>
      <c r="O125" s="318"/>
      <c r="P125" s="318"/>
      <c r="Q125" s="318"/>
      <c r="R125" s="318"/>
    </row>
    <row r="126" spans="11:18" x14ac:dyDescent="0.25">
      <c r="K126" s="318"/>
      <c r="L126" s="318"/>
      <c r="M126" s="318"/>
      <c r="N126" s="318"/>
      <c r="O126" s="318"/>
      <c r="P126" s="318"/>
      <c r="Q126" s="318"/>
      <c r="R126" s="318"/>
    </row>
    <row r="127" spans="11:18" x14ac:dyDescent="0.25">
      <c r="K127" s="318"/>
      <c r="L127" s="318"/>
      <c r="M127" s="318"/>
      <c r="N127" s="318"/>
      <c r="O127" s="318"/>
      <c r="P127" s="318"/>
      <c r="Q127" s="318"/>
      <c r="R127" s="318"/>
    </row>
    <row r="128" spans="11:18" x14ac:dyDescent="0.25">
      <c r="K128" s="318"/>
      <c r="L128" s="318"/>
      <c r="M128" s="318"/>
      <c r="N128" s="318"/>
      <c r="O128" s="318"/>
      <c r="P128" s="318"/>
      <c r="Q128" s="318"/>
      <c r="R128" s="318"/>
    </row>
  </sheetData>
  <sheetProtection algorithmName="SHA-512" hashValue="a4T7zbYDxPHzIFi98jMWOsCfGYz+YKGlcArykyO6UsbY/ZD7z9FaYaS9+Kyf8jcZau4vbQgY6bDOTh9KJ9loAw==" saltValue="1NI6Vm5+yJqr7+B0oxrg5w==" spinCount="100000" sheet="1" objects="1" scenarios="1"/>
  <mergeCells count="10">
    <mergeCell ref="B2:H2"/>
    <mergeCell ref="J35:J56"/>
    <mergeCell ref="K38:M38"/>
    <mergeCell ref="K35:M35"/>
    <mergeCell ref="J58:J79"/>
    <mergeCell ref="K61:M61"/>
    <mergeCell ref="K58:M58"/>
    <mergeCell ref="K60:M60"/>
    <mergeCell ref="K37:M37"/>
    <mergeCell ref="C9:G9"/>
  </mergeCells>
  <conditionalFormatting sqref="G16:G17 G24:G25 G41:G42 G49:G50">
    <cfRule type="cellIs" dxfId="10" priority="10" operator="lessThan">
      <formula>$G$5</formula>
    </cfRule>
    <cfRule type="cellIs" dxfId="9" priority="11" operator="greaterThan">
      <formula>$G$5</formula>
    </cfRule>
  </conditionalFormatting>
  <conditionalFormatting sqref="G17 G25">
    <cfRule type="expression" dxfId="8" priority="9">
      <formula>OR($D$29=3,$D$30=3,$D$29=4,$D$30=4,$E$28=3,$E$28=4)</formula>
    </cfRule>
  </conditionalFormatting>
  <conditionalFormatting sqref="G42 G50">
    <cfRule type="expression" dxfId="7" priority="8">
      <formula>OR($D$54=3,$D$55=3,$D$54=4,$D$55=4,$E$53=3,$E$53=4)</formula>
    </cfRule>
  </conditionalFormatting>
  <conditionalFormatting sqref="G64:G65 G72:G73">
    <cfRule type="cellIs" dxfId="6" priority="4" operator="lessThan">
      <formula>$G$5</formula>
    </cfRule>
    <cfRule type="cellIs" dxfId="5" priority="5" operator="greaterThan">
      <formula>$G$5</formula>
    </cfRule>
  </conditionalFormatting>
  <conditionalFormatting sqref="G65 G73">
    <cfRule type="expression" dxfId="4" priority="3">
      <formula>OR($D$54=3,$D$55=3,$D$54=4,$D$55=4,$E$53=3,$E$53=4)</formula>
    </cfRule>
  </conditionalFormatting>
  <conditionalFormatting sqref="K38:M38">
    <cfRule type="expression" dxfId="3" priority="6">
      <formula>OR($E$53&gt;3,$D$54&gt;2,$D$55&gt;2)</formula>
    </cfRule>
    <cfRule type="expression" dxfId="2" priority="7">
      <formula>AND($E$53=3,$D$54&lt;=2,$D$55&lt;=2)</formula>
    </cfRule>
  </conditionalFormatting>
  <conditionalFormatting sqref="K61:M61">
    <cfRule type="expression" dxfId="1" priority="1">
      <formula>OR($E$76&lt;&gt;4,$D$77&gt;3,$D$78&gt;3)</formula>
    </cfRule>
    <cfRule type="expression" dxfId="0" priority="2">
      <formula>AND(E76=4,D77&lt;=3,D78&lt;=3)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rowBreaks count="3" manualBreakCount="3">
    <brk id="33" max="16383" man="1"/>
    <brk id="56" min="1" max="12" man="1"/>
    <brk id="79" min="1" max="12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7ACA84B-ABD7-4F75-810B-DE788AD0C2DF}">
          <x14:formula1>
            <xm:f>Data!$W$3:$W$21</xm:f>
          </x14:formula1>
          <xm:sqref>D8</xm:sqref>
        </x14:dataValidation>
        <x14:dataValidation type="list" allowBlank="1" showInputMessage="1" showErrorMessage="1" xr:uid="{BBE4041D-7447-4948-BD27-B1710410392D}">
          <x14:formula1>
            <xm:f>Data!$K$24:$K$26</xm:f>
          </x14:formula1>
          <xm:sqref>D6</xm:sqref>
        </x14:dataValidation>
        <x14:dataValidation type="list" allowBlank="1" showInputMessage="1" showErrorMessage="1" xr:uid="{123B9CE4-64A1-40DF-A53A-C0574598B46F}">
          <x14:formula1>
            <xm:f>Data!$A$3:$A$34</xm:f>
          </x14:formula1>
          <xm:sqref>D5 C10 C35 C58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48226-B0E3-45A9-BA5E-5E042C3FB42B}">
  <sheetPr codeName="Feuil7">
    <tabColor rgb="FFFF0000"/>
  </sheetPr>
  <dimension ref="A1:AJ128"/>
  <sheetViews>
    <sheetView zoomScale="70" zoomScaleNormal="70" workbookViewId="0">
      <selection activeCell="G15" sqref="G15:H15"/>
    </sheetView>
  </sheetViews>
  <sheetFormatPr baseColWidth="10" defaultColWidth="14.7109375" defaultRowHeight="15" x14ac:dyDescent="0.25"/>
  <cols>
    <col min="1" max="16384" width="14.7109375" style="244"/>
  </cols>
  <sheetData>
    <row r="1" spans="1:36" ht="15.75" thickBot="1" x14ac:dyDescent="0.3">
      <c r="A1" s="243"/>
      <c r="B1" s="243"/>
      <c r="C1" s="243"/>
      <c r="D1" s="243"/>
      <c r="E1" s="243"/>
      <c r="F1" s="243"/>
      <c r="G1" s="243"/>
      <c r="K1" s="243"/>
    </row>
    <row r="2" spans="1:36" ht="17.25" thickTop="1" thickBot="1" x14ac:dyDescent="0.3">
      <c r="A2" s="606" t="s">
        <v>423</v>
      </c>
      <c r="B2" s="245" t="s">
        <v>424</v>
      </c>
      <c r="C2" s="246" t="s">
        <v>425</v>
      </c>
      <c r="D2" s="247" t="s">
        <v>426</v>
      </c>
      <c r="F2" s="263" t="s">
        <v>444</v>
      </c>
      <c r="G2" s="245" t="s">
        <v>424</v>
      </c>
      <c r="H2" s="245" t="s">
        <v>425</v>
      </c>
      <c r="I2" s="251" t="s">
        <v>445</v>
      </c>
      <c r="K2" s="248" t="s">
        <v>427</v>
      </c>
      <c r="L2" s="249" t="s">
        <v>428</v>
      </c>
      <c r="M2" s="245" t="s">
        <v>429</v>
      </c>
      <c r="N2" s="250" t="s">
        <v>216</v>
      </c>
      <c r="O2" s="250" t="s">
        <v>430</v>
      </c>
      <c r="P2" s="245" t="s">
        <v>431</v>
      </c>
      <c r="Q2" s="245" t="s">
        <v>432</v>
      </c>
      <c r="R2" s="612" t="s">
        <v>988</v>
      </c>
      <c r="T2" s="1110" t="s">
        <v>433</v>
      </c>
      <c r="U2" s="1111"/>
      <c r="W2" s="252" t="s">
        <v>434</v>
      </c>
      <c r="Y2" s="464"/>
      <c r="Z2" s="479" t="s">
        <v>750</v>
      </c>
      <c r="AA2" s="480"/>
      <c r="AB2" s="481"/>
      <c r="AC2" s="481"/>
      <c r="AD2" s="481"/>
      <c r="AE2" s="481"/>
      <c r="AF2" s="481"/>
      <c r="AG2" s="481"/>
      <c r="AH2" s="481"/>
      <c r="AI2" s="481"/>
      <c r="AJ2" s="482"/>
    </row>
    <row r="3" spans="1:36" ht="16.5" thickTop="1" thickBot="1" x14ac:dyDescent="0.3">
      <c r="A3" s="253" t="s">
        <v>435</v>
      </c>
      <c r="B3" s="244">
        <v>23.5</v>
      </c>
      <c r="C3" s="244">
        <v>36</v>
      </c>
      <c r="D3" s="254">
        <v>0.8</v>
      </c>
      <c r="F3" s="253">
        <v>4.5999999999999996</v>
      </c>
      <c r="G3" s="244">
        <v>24</v>
      </c>
      <c r="H3" s="244">
        <v>40</v>
      </c>
      <c r="I3" s="254">
        <v>0.6</v>
      </c>
      <c r="K3" s="255">
        <v>5</v>
      </c>
      <c r="L3" s="607">
        <v>0.8</v>
      </c>
      <c r="M3" s="608">
        <f>ROUND(0.8*K3,0)</f>
        <v>4</v>
      </c>
      <c r="N3" s="609">
        <f t="shared" ref="N3" si="0">ROUND(PI()*K3^2/4,0)</f>
        <v>20</v>
      </c>
      <c r="O3" s="609">
        <f t="shared" ref="O3" si="1">ROUND(N3*((K3-0.93815*L3)/K3)^2,0)</f>
        <v>14</v>
      </c>
      <c r="P3" s="608">
        <f t="shared" ref="P3" si="2">K3+2</f>
        <v>7</v>
      </c>
      <c r="Q3" s="610">
        <f>0.5*R3*(1+2/SQRT(3))</f>
        <v>8.6188021535170058</v>
      </c>
      <c r="R3" s="254">
        <v>8</v>
      </c>
      <c r="T3" s="256" t="s">
        <v>436</v>
      </c>
      <c r="U3" s="257"/>
      <c r="W3" s="258">
        <v>100</v>
      </c>
      <c r="Y3" s="465" t="s">
        <v>751</v>
      </c>
      <c r="Z3" s="466">
        <v>8</v>
      </c>
      <c r="AA3" s="466">
        <v>8</v>
      </c>
      <c r="AB3" s="466">
        <v>7</v>
      </c>
      <c r="AC3" s="466">
        <f>2*3.1415</f>
        <v>6.2830000000000004</v>
      </c>
      <c r="AD3" s="466">
        <v>6</v>
      </c>
      <c r="AE3" s="466">
        <v>5.5</v>
      </c>
      <c r="AF3" s="466">
        <v>5</v>
      </c>
      <c r="AG3" s="466">
        <v>4.75</v>
      </c>
      <c r="AH3" s="466">
        <v>4.5</v>
      </c>
      <c r="AI3" s="466">
        <v>4.45</v>
      </c>
      <c r="AJ3" s="467">
        <v>4.45</v>
      </c>
    </row>
    <row r="4" spans="1:36" ht="15.75" thickTop="1" x14ac:dyDescent="0.25">
      <c r="A4" s="253" t="s">
        <v>989</v>
      </c>
      <c r="B4" s="244">
        <v>21.5</v>
      </c>
      <c r="C4" s="244">
        <v>36</v>
      </c>
      <c r="D4" s="254">
        <v>0.8</v>
      </c>
      <c r="F4" s="264">
        <v>4.8</v>
      </c>
      <c r="G4" s="244">
        <v>32</v>
      </c>
      <c r="H4" s="244">
        <v>40</v>
      </c>
      <c r="I4" s="254">
        <v>0.5</v>
      </c>
      <c r="K4" s="255">
        <v>6</v>
      </c>
      <c r="L4" s="607">
        <v>1</v>
      </c>
      <c r="M4" s="608">
        <f>ROUND(0.8*K4,0)</f>
        <v>5</v>
      </c>
      <c r="N4" s="609">
        <f t="shared" ref="N4:N6" si="3">ROUND(PI()*K4^2/4,0)</f>
        <v>28</v>
      </c>
      <c r="O4" s="609">
        <f t="shared" ref="O4:O6" si="4">ROUND(N4*((K4-0.93815*L4)/K4)^2,0)</f>
        <v>20</v>
      </c>
      <c r="P4" s="608">
        <f t="shared" ref="P4:P6" si="5">K4+2</f>
        <v>8</v>
      </c>
      <c r="Q4" s="610">
        <f t="shared" ref="Q4:Q5" si="6">0.5*R4*(1+2/SQRT(3))</f>
        <v>10.773502691896258</v>
      </c>
      <c r="R4" s="254">
        <v>10</v>
      </c>
      <c r="T4" s="259" t="s">
        <v>438</v>
      </c>
      <c r="U4" s="254">
        <v>1</v>
      </c>
      <c r="W4" s="258">
        <v>150</v>
      </c>
      <c r="Y4" s="468">
        <v>0</v>
      </c>
      <c r="Z4" s="469">
        <v>0</v>
      </c>
      <c r="AA4" s="470">
        <v>0.75900000000000001</v>
      </c>
      <c r="AB4" s="470">
        <v>0.83199999999999996</v>
      </c>
      <c r="AC4" s="470">
        <v>0.89037187977585341</v>
      </c>
      <c r="AD4" s="470">
        <v>0.9</v>
      </c>
      <c r="AE4" s="470">
        <v>0.85048395313295977</v>
      </c>
      <c r="AF4" s="470">
        <v>0.88762098828323999</v>
      </c>
      <c r="AG4" s="470">
        <v>0.88257768721344876</v>
      </c>
      <c r="AH4" s="470">
        <v>0.9</v>
      </c>
      <c r="AI4" s="470">
        <v>0.89312277126846673</v>
      </c>
      <c r="AJ4" s="471">
        <v>1</v>
      </c>
    </row>
    <row r="5" spans="1:36" x14ac:dyDescent="0.25">
      <c r="A5" s="264" t="s">
        <v>998</v>
      </c>
      <c r="B5" s="244">
        <v>23.5</v>
      </c>
      <c r="C5" s="244">
        <v>36</v>
      </c>
      <c r="D5" s="254">
        <v>0.8</v>
      </c>
      <c r="F5" s="264">
        <v>5.6</v>
      </c>
      <c r="G5" s="244">
        <v>30</v>
      </c>
      <c r="H5" s="244">
        <v>50</v>
      </c>
      <c r="I5" s="254">
        <v>0.6</v>
      </c>
      <c r="K5" s="255">
        <v>8</v>
      </c>
      <c r="L5" s="607">
        <v>1.25</v>
      </c>
      <c r="M5" s="608">
        <f>ROUND(0.8*K5,0)</f>
        <v>6</v>
      </c>
      <c r="N5" s="609">
        <f t="shared" si="3"/>
        <v>50</v>
      </c>
      <c r="O5" s="609">
        <f t="shared" si="4"/>
        <v>36</v>
      </c>
      <c r="P5" s="608">
        <f t="shared" si="5"/>
        <v>10</v>
      </c>
      <c r="Q5" s="610">
        <f t="shared" si="6"/>
        <v>14.005553499465135</v>
      </c>
      <c r="R5" s="254">
        <v>13</v>
      </c>
      <c r="T5" s="259" t="s">
        <v>440</v>
      </c>
      <c r="U5" s="254">
        <v>1</v>
      </c>
      <c r="W5" s="258">
        <v>200</v>
      </c>
      <c r="Y5" s="472">
        <v>0.05</v>
      </c>
      <c r="Z5" s="473">
        <v>0</v>
      </c>
      <c r="AA5" s="474">
        <v>0.75900000000000001</v>
      </c>
      <c r="AB5" s="474">
        <v>0.83199999999999996</v>
      </c>
      <c r="AC5" s="474">
        <v>0.89037187977585341</v>
      </c>
      <c r="AD5" s="474">
        <v>0.9</v>
      </c>
      <c r="AE5" s="474">
        <v>0.85048395313295977</v>
      </c>
      <c r="AF5" s="474">
        <v>0.88762098828323999</v>
      </c>
      <c r="AG5" s="474">
        <v>0.88257768721344876</v>
      </c>
      <c r="AH5" s="474">
        <v>0.9</v>
      </c>
      <c r="AI5" s="474">
        <v>0.89312277126846673</v>
      </c>
      <c r="AJ5" s="475">
        <v>1</v>
      </c>
    </row>
    <row r="6" spans="1:36" x14ac:dyDescent="0.25">
      <c r="A6" s="264" t="s">
        <v>999</v>
      </c>
      <c r="B6" s="244">
        <v>21.5</v>
      </c>
      <c r="C6" s="244">
        <v>34</v>
      </c>
      <c r="D6" s="254">
        <v>0.8</v>
      </c>
      <c r="F6" s="264">
        <v>5.8</v>
      </c>
      <c r="G6" s="244">
        <v>40</v>
      </c>
      <c r="H6" s="244">
        <v>50</v>
      </c>
      <c r="I6" s="254">
        <v>0.5</v>
      </c>
      <c r="K6" s="255">
        <v>10</v>
      </c>
      <c r="L6" s="607">
        <v>1.5</v>
      </c>
      <c r="M6" s="608">
        <f>ROUND(0.8*K6,0)</f>
        <v>8</v>
      </c>
      <c r="N6" s="609">
        <f t="shared" si="3"/>
        <v>79</v>
      </c>
      <c r="O6" s="609">
        <f t="shared" si="4"/>
        <v>58</v>
      </c>
      <c r="P6" s="608">
        <f t="shared" si="5"/>
        <v>12</v>
      </c>
      <c r="Q6" s="610">
        <f>0.5*R6*(1+2/SQRT(3))</f>
        <v>18.314954576223638</v>
      </c>
      <c r="R6" s="254">
        <v>17</v>
      </c>
      <c r="T6" s="259" t="s">
        <v>442</v>
      </c>
      <c r="U6" s="254">
        <v>1.25</v>
      </c>
      <c r="W6" s="258">
        <v>250</v>
      </c>
      <c r="Y6" s="472">
        <v>0.1</v>
      </c>
      <c r="Z6" s="473">
        <v>0</v>
      </c>
      <c r="AA6" s="474">
        <v>0.58450000000000002</v>
      </c>
      <c r="AB6" s="474">
        <v>0.67859999999999998</v>
      </c>
      <c r="AC6" s="474">
        <v>0.76428935303107504</v>
      </c>
      <c r="AD6" s="474">
        <v>0.82</v>
      </c>
      <c r="AE6" s="474">
        <v>0.85048395313295977</v>
      </c>
      <c r="AF6" s="474">
        <v>0.88762098828323999</v>
      </c>
      <c r="AG6" s="474">
        <v>0.88257768721344876</v>
      </c>
      <c r="AH6" s="474">
        <v>0.9</v>
      </c>
      <c r="AI6" s="474">
        <v>0.89312277126846673</v>
      </c>
      <c r="AJ6" s="475">
        <v>1</v>
      </c>
    </row>
    <row r="7" spans="1:36" x14ac:dyDescent="0.25">
      <c r="A7" s="253" t="s">
        <v>437</v>
      </c>
      <c r="B7" s="244">
        <v>27.5</v>
      </c>
      <c r="C7" s="244">
        <v>43</v>
      </c>
      <c r="D7" s="254">
        <v>0.85</v>
      </c>
      <c r="F7" s="264">
        <v>6.6</v>
      </c>
      <c r="G7" s="244">
        <v>36</v>
      </c>
      <c r="H7" s="244">
        <v>60</v>
      </c>
      <c r="I7" s="254">
        <v>0.6</v>
      </c>
      <c r="K7" s="255">
        <v>12</v>
      </c>
      <c r="L7" s="607">
        <v>1.75</v>
      </c>
      <c r="M7" s="608">
        <f>ROUND(0.8*K7,0)</f>
        <v>10</v>
      </c>
      <c r="N7" s="609">
        <f t="shared" ref="N7" si="7">ROUND(PI()*K7^2/4,0)</f>
        <v>113</v>
      </c>
      <c r="O7" s="609">
        <f t="shared" ref="O7" si="8">ROUND(N7*((K7-0.93815*L7)/K7)^2,0)</f>
        <v>84</v>
      </c>
      <c r="P7" s="608">
        <f t="shared" ref="P7" si="9">K7+2</f>
        <v>14</v>
      </c>
      <c r="Q7" s="610">
        <f>0.5*R7*(1+2/SQRT(3))</f>
        <v>20.46965511460289</v>
      </c>
      <c r="R7" s="254">
        <v>19</v>
      </c>
      <c r="T7" s="259" t="s">
        <v>443</v>
      </c>
      <c r="U7" s="254">
        <v>1.1000000000000001</v>
      </c>
      <c r="W7" s="258">
        <v>300</v>
      </c>
      <c r="Y7" s="472">
        <v>0.15</v>
      </c>
      <c r="Z7" s="473">
        <v>0</v>
      </c>
      <c r="AA7" s="474">
        <v>0.47699999999999998</v>
      </c>
      <c r="AB7" s="474">
        <v>0.58399999999999996</v>
      </c>
      <c r="AC7" s="474">
        <v>0.6808456444218034</v>
      </c>
      <c r="AD7" s="474">
        <v>0.745</v>
      </c>
      <c r="AE7" s="474">
        <v>0.79179826795720831</v>
      </c>
      <c r="AF7" s="474">
        <v>0.84589913397860428</v>
      </c>
      <c r="AG7" s="474">
        <v>0.88257768721344876</v>
      </c>
      <c r="AH7" s="474">
        <v>0.9</v>
      </c>
      <c r="AI7" s="474">
        <v>0.89312277126846673</v>
      </c>
      <c r="AJ7" s="475">
        <v>1</v>
      </c>
    </row>
    <row r="8" spans="1:36" x14ac:dyDescent="0.25">
      <c r="A8" s="264" t="s">
        <v>990</v>
      </c>
      <c r="B8" s="244">
        <v>25.5</v>
      </c>
      <c r="C8" s="244">
        <v>41</v>
      </c>
      <c r="D8" s="254">
        <v>0.85</v>
      </c>
      <c r="F8" s="264">
        <v>6.8</v>
      </c>
      <c r="G8" s="244">
        <v>48</v>
      </c>
      <c r="H8" s="244">
        <v>60</v>
      </c>
      <c r="I8" s="254">
        <v>0.5</v>
      </c>
      <c r="K8" s="255">
        <v>14</v>
      </c>
      <c r="L8" s="607">
        <v>2</v>
      </c>
      <c r="M8" s="608">
        <f t="shared" ref="M8:M20" si="10">ROUND(0.8*K8,0)</f>
        <v>11</v>
      </c>
      <c r="N8" s="609">
        <f t="shared" ref="N8:N20" si="11">ROUND(PI()*K8^2/4,0)</f>
        <v>154</v>
      </c>
      <c r="O8" s="609">
        <f t="shared" ref="O8:O20" si="12">ROUND(N8*((K8-0.93815*L8)/K8)^2,0)</f>
        <v>115</v>
      </c>
      <c r="P8" s="608">
        <f t="shared" ref="P8:P13" si="13">K8+2</f>
        <v>16</v>
      </c>
      <c r="Q8" s="610">
        <f t="shared" ref="Q8:Q9" si="14">0.5*R8*(1+2/SQRT(3))</f>
        <v>23.701705922171765</v>
      </c>
      <c r="R8" s="254">
        <v>22</v>
      </c>
      <c r="T8" s="259" t="s">
        <v>446</v>
      </c>
      <c r="U8" s="254"/>
      <c r="W8" s="258">
        <v>350</v>
      </c>
      <c r="Y8" s="472">
        <v>0.2</v>
      </c>
      <c r="Z8" s="473">
        <v>0</v>
      </c>
      <c r="AA8" s="474">
        <v>0.39</v>
      </c>
      <c r="AB8" s="474">
        <v>0.504</v>
      </c>
      <c r="AC8" s="474">
        <v>0.60978094752929202</v>
      </c>
      <c r="AD8" s="474">
        <v>0.68</v>
      </c>
      <c r="AE8" s="474">
        <v>0.73953132959755474</v>
      </c>
      <c r="AF8" s="474">
        <v>0.80555272542027512</v>
      </c>
      <c r="AG8" s="474">
        <v>0.84635761589403979</v>
      </c>
      <c r="AH8" s="474">
        <v>0.9</v>
      </c>
      <c r="AI8" s="474">
        <v>0.89312277126846673</v>
      </c>
      <c r="AJ8" s="475">
        <v>1</v>
      </c>
    </row>
    <row r="9" spans="1:36" x14ac:dyDescent="0.25">
      <c r="A9" s="253" t="s">
        <v>992</v>
      </c>
      <c r="B9" s="244">
        <v>27.5</v>
      </c>
      <c r="C9" s="244">
        <v>39</v>
      </c>
      <c r="D9" s="254">
        <v>0.85</v>
      </c>
      <c r="F9" s="264">
        <v>6.9</v>
      </c>
      <c r="G9" s="244">
        <v>54</v>
      </c>
      <c r="H9" s="244">
        <v>60</v>
      </c>
      <c r="I9" s="254">
        <v>0.5</v>
      </c>
      <c r="K9" s="255">
        <v>16</v>
      </c>
      <c r="L9" s="607">
        <v>2</v>
      </c>
      <c r="M9" s="608">
        <f t="shared" si="10"/>
        <v>13</v>
      </c>
      <c r="N9" s="609">
        <f t="shared" si="11"/>
        <v>201</v>
      </c>
      <c r="O9" s="609">
        <f t="shared" si="12"/>
        <v>157</v>
      </c>
      <c r="P9" s="608">
        <f t="shared" si="13"/>
        <v>18</v>
      </c>
      <c r="Q9" s="610">
        <f t="shared" si="14"/>
        <v>25.856406460551018</v>
      </c>
      <c r="R9" s="254">
        <v>24</v>
      </c>
      <c r="T9" s="259" t="s">
        <v>447</v>
      </c>
      <c r="U9" s="254"/>
      <c r="W9" s="258">
        <v>400</v>
      </c>
      <c r="Y9" s="472">
        <v>0.25</v>
      </c>
      <c r="Z9" s="473">
        <v>0</v>
      </c>
      <c r="AA9" s="474">
        <v>0.33200000000000002</v>
      </c>
      <c r="AB9" s="474">
        <v>0.44750000000000001</v>
      </c>
      <c r="AC9" s="474">
        <v>0.55659704533876719</v>
      </c>
      <c r="AD9" s="474">
        <v>0.63</v>
      </c>
      <c r="AE9" s="474">
        <v>0.69505858380030572</v>
      </c>
      <c r="AF9" s="474">
        <v>0.77254202750891499</v>
      </c>
      <c r="AG9" s="474">
        <v>0.81930718288334192</v>
      </c>
      <c r="AH9" s="474">
        <v>0.87019867549668883</v>
      </c>
      <c r="AI9" s="474">
        <v>0.89312277126846673</v>
      </c>
      <c r="AJ9" s="475">
        <v>1</v>
      </c>
    </row>
    <row r="10" spans="1:36" x14ac:dyDescent="0.25">
      <c r="A10" s="253" t="s">
        <v>993</v>
      </c>
      <c r="B10" s="244">
        <v>25.5</v>
      </c>
      <c r="C10" s="244">
        <v>37</v>
      </c>
      <c r="D10" s="254">
        <v>0.85</v>
      </c>
      <c r="F10" s="264">
        <v>8.8000000000000007</v>
      </c>
      <c r="G10" s="244">
        <v>64</v>
      </c>
      <c r="H10" s="244">
        <v>80</v>
      </c>
      <c r="I10" s="254">
        <v>0.6</v>
      </c>
      <c r="K10" s="255">
        <v>18</v>
      </c>
      <c r="L10" s="607">
        <v>2.5</v>
      </c>
      <c r="M10" s="608">
        <f t="shared" si="10"/>
        <v>14</v>
      </c>
      <c r="N10" s="609">
        <f t="shared" si="11"/>
        <v>254</v>
      </c>
      <c r="O10" s="609">
        <f t="shared" si="12"/>
        <v>192</v>
      </c>
      <c r="P10" s="608">
        <f t="shared" si="13"/>
        <v>20</v>
      </c>
      <c r="Q10" s="610">
        <v>29.09</v>
      </c>
      <c r="R10" s="254">
        <v>27</v>
      </c>
      <c r="T10" s="259" t="s">
        <v>448</v>
      </c>
      <c r="U10" s="254"/>
      <c r="W10" s="258">
        <v>450</v>
      </c>
      <c r="Y10" s="472">
        <v>0.3</v>
      </c>
      <c r="Z10" s="473">
        <v>0</v>
      </c>
      <c r="AA10" s="474">
        <v>0.28899999999999998</v>
      </c>
      <c r="AB10" s="474">
        <v>0.39900000000000002</v>
      </c>
      <c r="AC10" s="474">
        <v>0.51258278145695368</v>
      </c>
      <c r="AD10" s="474">
        <v>0.58499999999999996</v>
      </c>
      <c r="AE10" s="474">
        <v>0.65425369332654104</v>
      </c>
      <c r="AF10" s="474">
        <v>0.74136525725929714</v>
      </c>
      <c r="AG10" s="474">
        <v>0.79317371370351508</v>
      </c>
      <c r="AH10" s="474">
        <v>0.85048395313295977</v>
      </c>
      <c r="AI10" s="474">
        <v>0.86836474783494666</v>
      </c>
      <c r="AJ10" s="475">
        <v>1</v>
      </c>
    </row>
    <row r="11" spans="1:36" x14ac:dyDescent="0.25">
      <c r="A11" s="264" t="s">
        <v>1000</v>
      </c>
      <c r="B11" s="244">
        <v>27.5</v>
      </c>
      <c r="C11" s="244">
        <v>37</v>
      </c>
      <c r="D11" s="254">
        <v>0.85</v>
      </c>
      <c r="F11" s="264">
        <v>10.9</v>
      </c>
      <c r="G11" s="244">
        <v>90</v>
      </c>
      <c r="H11" s="244">
        <v>100</v>
      </c>
      <c r="I11" s="254">
        <v>0.5</v>
      </c>
      <c r="K11" s="255">
        <v>20</v>
      </c>
      <c r="L11" s="607">
        <v>2.5</v>
      </c>
      <c r="M11" s="608">
        <f t="shared" si="10"/>
        <v>16</v>
      </c>
      <c r="N11" s="609">
        <f t="shared" si="11"/>
        <v>314</v>
      </c>
      <c r="O11" s="609">
        <f t="shared" si="12"/>
        <v>245</v>
      </c>
      <c r="P11" s="608">
        <f t="shared" si="13"/>
        <v>22</v>
      </c>
      <c r="Q11" s="610">
        <v>32.32</v>
      </c>
      <c r="R11" s="254">
        <v>30</v>
      </c>
      <c r="T11" s="256" t="s">
        <v>449</v>
      </c>
      <c r="U11" s="257"/>
      <c r="W11" s="258">
        <v>500</v>
      </c>
      <c r="Y11" s="472">
        <v>0.35</v>
      </c>
      <c r="Z11" s="473">
        <v>0</v>
      </c>
      <c r="AA11" s="474">
        <v>0.25900000000000001</v>
      </c>
      <c r="AB11" s="474">
        <v>0.3644</v>
      </c>
      <c r="AC11" s="474">
        <v>0.47452878247580232</v>
      </c>
      <c r="AD11" s="474">
        <v>0.54800000000000004</v>
      </c>
      <c r="AE11" s="474">
        <v>0.61986754966887414</v>
      </c>
      <c r="AF11" s="474">
        <v>0.71202241467142136</v>
      </c>
      <c r="AG11" s="474">
        <v>0.77254202750891499</v>
      </c>
      <c r="AH11" s="474">
        <v>0.83489556800815101</v>
      </c>
      <c r="AI11" s="474">
        <v>0.85048395313295977</v>
      </c>
      <c r="AJ11" s="475">
        <v>1</v>
      </c>
    </row>
    <row r="12" spans="1:36" x14ac:dyDescent="0.25">
      <c r="A12" s="264" t="s">
        <v>1001</v>
      </c>
      <c r="B12" s="244">
        <v>25.5</v>
      </c>
      <c r="C12" s="244">
        <v>36</v>
      </c>
      <c r="D12" s="254">
        <v>0.85</v>
      </c>
      <c r="F12" s="264">
        <v>12.9</v>
      </c>
      <c r="G12" s="244">
        <v>108</v>
      </c>
      <c r="H12" s="244">
        <v>120</v>
      </c>
      <c r="I12" s="254">
        <v>0.5</v>
      </c>
      <c r="K12" s="255">
        <v>22</v>
      </c>
      <c r="L12" s="607">
        <v>2.5</v>
      </c>
      <c r="M12" s="608">
        <f t="shared" si="10"/>
        <v>18</v>
      </c>
      <c r="N12" s="609">
        <f t="shared" si="11"/>
        <v>380</v>
      </c>
      <c r="O12" s="609">
        <f t="shared" si="12"/>
        <v>303</v>
      </c>
      <c r="P12" s="608">
        <f t="shared" si="13"/>
        <v>24</v>
      </c>
      <c r="Q12" s="610">
        <v>36.630000000000003</v>
      </c>
      <c r="R12" s="254">
        <v>32</v>
      </c>
      <c r="T12" s="265" t="s">
        <v>450</v>
      </c>
      <c r="U12" s="254">
        <v>1.5</v>
      </c>
      <c r="W12" s="258">
        <v>550</v>
      </c>
      <c r="Y12" s="472">
        <v>0.4</v>
      </c>
      <c r="Z12" s="473">
        <v>0</v>
      </c>
      <c r="AA12" s="474">
        <v>0.24</v>
      </c>
      <c r="AB12" s="474">
        <v>0.33560000000000001</v>
      </c>
      <c r="AC12" s="474">
        <v>0.44335201222618442</v>
      </c>
      <c r="AD12" s="474">
        <v>0.51600000000000001</v>
      </c>
      <c r="AE12" s="474">
        <v>0.59144167091186972</v>
      </c>
      <c r="AF12" s="474">
        <v>0.6877228731533368</v>
      </c>
      <c r="AG12" s="474">
        <v>0.75191034131431489</v>
      </c>
      <c r="AH12" s="474">
        <v>0.81930718288334192</v>
      </c>
      <c r="AI12" s="474">
        <v>0.83672949566989308</v>
      </c>
      <c r="AJ12" s="475">
        <v>1</v>
      </c>
    </row>
    <row r="13" spans="1:36" ht="15.75" thickBot="1" x14ac:dyDescent="0.3">
      <c r="A13" s="264" t="s">
        <v>1002</v>
      </c>
      <c r="B13" s="244">
        <v>27.5</v>
      </c>
      <c r="C13" s="244">
        <v>43</v>
      </c>
      <c r="D13" s="254">
        <v>0.85</v>
      </c>
      <c r="F13" s="264" t="s">
        <v>435</v>
      </c>
      <c r="G13" s="244">
        <v>23.5</v>
      </c>
      <c r="H13" s="244">
        <v>36</v>
      </c>
      <c r="I13" s="254">
        <v>0.5</v>
      </c>
      <c r="K13" s="255">
        <v>24</v>
      </c>
      <c r="L13" s="607">
        <v>3</v>
      </c>
      <c r="M13" s="608">
        <f t="shared" si="10"/>
        <v>19</v>
      </c>
      <c r="N13" s="609">
        <f t="shared" si="11"/>
        <v>452</v>
      </c>
      <c r="O13" s="609">
        <f t="shared" si="12"/>
        <v>352</v>
      </c>
      <c r="P13" s="608">
        <f t="shared" si="13"/>
        <v>26</v>
      </c>
      <c r="Q13" s="610">
        <v>38.76</v>
      </c>
      <c r="R13" s="254">
        <v>36</v>
      </c>
      <c r="T13" s="266" t="s">
        <v>451</v>
      </c>
      <c r="U13" s="262">
        <v>1.1000000000000001</v>
      </c>
      <c r="W13" s="258">
        <v>600</v>
      </c>
      <c r="Y13" s="472">
        <v>0.45</v>
      </c>
      <c r="Z13" s="473">
        <v>0</v>
      </c>
      <c r="AA13" s="474">
        <v>0.23400000000000001</v>
      </c>
      <c r="AB13" s="474">
        <v>0.314</v>
      </c>
      <c r="AC13" s="474">
        <v>0.41951095262353549</v>
      </c>
      <c r="AD13" s="474">
        <v>0.48899999999999999</v>
      </c>
      <c r="AE13" s="474">
        <v>0.56484971981660737</v>
      </c>
      <c r="AF13" s="474">
        <v>0.66434029546612339</v>
      </c>
      <c r="AG13" s="474">
        <v>0.73586347427407039</v>
      </c>
      <c r="AH13" s="474">
        <v>0.80830361691288843</v>
      </c>
      <c r="AI13" s="474">
        <v>0.8238920020376973</v>
      </c>
      <c r="AJ13" s="475">
        <v>1</v>
      </c>
    </row>
    <row r="14" spans="1:36" x14ac:dyDescent="0.25">
      <c r="A14" s="264" t="s">
        <v>1003</v>
      </c>
      <c r="B14" s="244">
        <v>25.5</v>
      </c>
      <c r="C14" s="244">
        <v>41</v>
      </c>
      <c r="D14" s="254">
        <v>0.85</v>
      </c>
      <c r="F14" s="264" t="s">
        <v>437</v>
      </c>
      <c r="G14" s="244">
        <v>27.5</v>
      </c>
      <c r="H14" s="244">
        <v>43</v>
      </c>
      <c r="I14" s="254">
        <v>0.5</v>
      </c>
      <c r="K14" s="255">
        <v>27</v>
      </c>
      <c r="L14" s="607">
        <v>3</v>
      </c>
      <c r="M14" s="608">
        <f t="shared" si="10"/>
        <v>22</v>
      </c>
      <c r="N14" s="609">
        <f t="shared" si="11"/>
        <v>573</v>
      </c>
      <c r="O14" s="609">
        <f t="shared" si="12"/>
        <v>460</v>
      </c>
      <c r="P14" s="608">
        <f t="shared" ref="P14:P20" si="15">K14+3</f>
        <v>30</v>
      </c>
      <c r="Q14" s="610">
        <v>44.17</v>
      </c>
      <c r="R14" s="254">
        <v>41</v>
      </c>
      <c r="T14" s="243"/>
      <c r="W14" s="258">
        <v>650</v>
      </c>
      <c r="Y14" s="472">
        <v>0.5</v>
      </c>
      <c r="Z14" s="473">
        <v>0</v>
      </c>
      <c r="AA14" s="474">
        <v>0.23400000000000001</v>
      </c>
      <c r="AB14" s="474">
        <v>0.29799999999999999</v>
      </c>
      <c r="AC14" s="474">
        <v>0.39750382068262863</v>
      </c>
      <c r="AD14" s="474">
        <v>0.46500000000000002</v>
      </c>
      <c r="AE14" s="474">
        <v>0.54330106979113602</v>
      </c>
      <c r="AF14" s="474">
        <v>0.64462557310239432</v>
      </c>
      <c r="AG14" s="474">
        <v>0.72027508914926142</v>
      </c>
      <c r="AH14" s="474">
        <v>0.79775853285787057</v>
      </c>
      <c r="AI14" s="474">
        <v>0.8142638818135508</v>
      </c>
      <c r="AJ14" s="475">
        <v>1</v>
      </c>
    </row>
    <row r="15" spans="1:36" x14ac:dyDescent="0.25">
      <c r="A15" s="264" t="s">
        <v>1004</v>
      </c>
      <c r="B15" s="244">
        <v>27.5</v>
      </c>
      <c r="C15" s="244">
        <v>39</v>
      </c>
      <c r="D15" s="254">
        <v>0.85</v>
      </c>
      <c r="F15" s="264" t="s">
        <v>439</v>
      </c>
      <c r="G15" s="244">
        <v>35.5</v>
      </c>
      <c r="H15" s="244">
        <v>49</v>
      </c>
      <c r="I15" s="254">
        <v>0.5</v>
      </c>
      <c r="K15" s="255">
        <v>30</v>
      </c>
      <c r="L15" s="607">
        <v>3.5</v>
      </c>
      <c r="M15" s="608">
        <f t="shared" si="10"/>
        <v>24</v>
      </c>
      <c r="N15" s="609">
        <f t="shared" si="11"/>
        <v>707</v>
      </c>
      <c r="O15" s="609">
        <f t="shared" si="12"/>
        <v>561</v>
      </c>
      <c r="P15" s="608">
        <f t="shared" si="15"/>
        <v>33</v>
      </c>
      <c r="Q15" s="610">
        <v>49.56</v>
      </c>
      <c r="R15" s="254">
        <v>46</v>
      </c>
      <c r="W15" s="258">
        <v>700</v>
      </c>
      <c r="Y15" s="472">
        <v>0.55000000000000004</v>
      </c>
      <c r="Z15" s="473">
        <v>0</v>
      </c>
      <c r="AA15" s="474">
        <v>0.23400000000000001</v>
      </c>
      <c r="AB15" s="474">
        <v>0.29099999999999998</v>
      </c>
      <c r="AC15" s="474">
        <v>0.38053998981151305</v>
      </c>
      <c r="AD15" s="474">
        <v>0.4456</v>
      </c>
      <c r="AE15" s="474">
        <v>0.52496179317371372</v>
      </c>
      <c r="AF15" s="474">
        <v>0.62674477840040765</v>
      </c>
      <c r="AG15" s="474">
        <v>0.7060621497707591</v>
      </c>
      <c r="AH15" s="474">
        <v>0.78858889454915948</v>
      </c>
      <c r="AI15" s="474">
        <v>0.80509424350483949</v>
      </c>
      <c r="AJ15" s="475">
        <v>1</v>
      </c>
    </row>
    <row r="16" spans="1:36" ht="15.75" thickBot="1" x14ac:dyDescent="0.3">
      <c r="A16" s="264" t="s">
        <v>1005</v>
      </c>
      <c r="B16" s="244">
        <v>25.5</v>
      </c>
      <c r="C16" s="244">
        <v>37</v>
      </c>
      <c r="D16" s="254">
        <v>0.85</v>
      </c>
      <c r="F16" s="273" t="s">
        <v>441</v>
      </c>
      <c r="G16" s="261">
        <v>46</v>
      </c>
      <c r="H16" s="261">
        <v>55</v>
      </c>
      <c r="I16" s="262">
        <v>0.5</v>
      </c>
      <c r="K16" s="255">
        <v>36</v>
      </c>
      <c r="L16" s="607">
        <v>4</v>
      </c>
      <c r="M16" s="608">
        <f t="shared" si="10"/>
        <v>29</v>
      </c>
      <c r="N16" s="609">
        <f t="shared" si="11"/>
        <v>1018</v>
      </c>
      <c r="O16" s="609">
        <f t="shared" si="12"/>
        <v>817</v>
      </c>
      <c r="P16" s="608">
        <f t="shared" si="15"/>
        <v>39</v>
      </c>
      <c r="Q16" s="610">
        <f>0.5*R16*(1+2/SQRT(3))</f>
        <v>59.254264805429415</v>
      </c>
      <c r="R16" s="254">
        <v>55</v>
      </c>
      <c r="W16" s="258">
        <v>750</v>
      </c>
      <c r="Y16" s="472">
        <v>0.6</v>
      </c>
      <c r="Z16" s="473">
        <v>0</v>
      </c>
      <c r="AA16" s="474">
        <v>0.23400000000000001</v>
      </c>
      <c r="AB16" s="474">
        <v>0.29099999999999998</v>
      </c>
      <c r="AC16" s="474">
        <v>0.3690779419256241</v>
      </c>
      <c r="AD16" s="474">
        <v>0.42899999999999999</v>
      </c>
      <c r="AE16" s="474">
        <v>0.50891492613346923</v>
      </c>
      <c r="AF16" s="474">
        <v>0.61436576668364751</v>
      </c>
      <c r="AG16" s="474">
        <v>0.69460010188487009</v>
      </c>
      <c r="AH16" s="474">
        <v>0.77941925624044839</v>
      </c>
      <c r="AI16" s="474">
        <v>0.79684156902699954</v>
      </c>
      <c r="AJ16" s="475">
        <v>1</v>
      </c>
    </row>
    <row r="17" spans="1:36" x14ac:dyDescent="0.25">
      <c r="A17" s="253" t="s">
        <v>439</v>
      </c>
      <c r="B17" s="244">
        <v>35.5</v>
      </c>
      <c r="C17" s="244">
        <v>49</v>
      </c>
      <c r="D17" s="254">
        <v>0.9</v>
      </c>
      <c r="K17" s="255">
        <v>42</v>
      </c>
      <c r="L17" s="607">
        <v>4.5</v>
      </c>
      <c r="M17" s="608">
        <f t="shared" si="10"/>
        <v>34</v>
      </c>
      <c r="N17" s="609">
        <f t="shared" si="11"/>
        <v>1385</v>
      </c>
      <c r="O17" s="609">
        <f t="shared" si="12"/>
        <v>1121</v>
      </c>
      <c r="P17" s="608">
        <f t="shared" si="15"/>
        <v>45</v>
      </c>
      <c r="Q17" s="610">
        <f t="shared" ref="Q17:Q20" si="16">0.5*R17*(1+2/SQRT(3))</f>
        <v>70.027767497325669</v>
      </c>
      <c r="R17" s="254">
        <v>65</v>
      </c>
      <c r="W17" s="258">
        <v>800</v>
      </c>
      <c r="Y17" s="472">
        <v>0.65</v>
      </c>
      <c r="Z17" s="473">
        <v>0</v>
      </c>
      <c r="AA17" s="474">
        <v>0.23400000000000001</v>
      </c>
      <c r="AB17" s="474">
        <v>0.29099999999999998</v>
      </c>
      <c r="AC17" s="474">
        <v>0.36082526744778404</v>
      </c>
      <c r="AD17" s="474">
        <v>0.41599999999999998</v>
      </c>
      <c r="AE17" s="474">
        <v>0.49699439633214471</v>
      </c>
      <c r="AF17" s="474">
        <v>0.60290371879775861</v>
      </c>
      <c r="AG17" s="474">
        <v>0.68451349974528786</v>
      </c>
      <c r="AH17" s="474">
        <v>0.77254202750891499</v>
      </c>
      <c r="AI17" s="474">
        <v>0.79042282221090165</v>
      </c>
      <c r="AJ17" s="475">
        <v>1</v>
      </c>
    </row>
    <row r="18" spans="1:36" x14ac:dyDescent="0.25">
      <c r="A18" s="264" t="s">
        <v>991</v>
      </c>
      <c r="B18" s="244">
        <v>33.5</v>
      </c>
      <c r="C18" s="244">
        <v>47</v>
      </c>
      <c r="D18" s="254">
        <v>0.9</v>
      </c>
      <c r="K18" s="255">
        <v>48</v>
      </c>
      <c r="L18" s="607">
        <v>5</v>
      </c>
      <c r="M18" s="608">
        <f t="shared" si="10"/>
        <v>38</v>
      </c>
      <c r="N18" s="609">
        <f t="shared" si="11"/>
        <v>1810</v>
      </c>
      <c r="O18" s="609">
        <f t="shared" si="12"/>
        <v>1474</v>
      </c>
      <c r="P18" s="608">
        <f t="shared" si="15"/>
        <v>51</v>
      </c>
      <c r="Q18" s="610">
        <f t="shared" si="16"/>
        <v>80.801270189221924</v>
      </c>
      <c r="R18" s="254">
        <v>75</v>
      </c>
      <c r="W18" s="258">
        <v>850</v>
      </c>
      <c r="Y18" s="472">
        <v>0.7</v>
      </c>
      <c r="Z18" s="473">
        <v>0</v>
      </c>
      <c r="AA18" s="474">
        <v>0.23400000000000001</v>
      </c>
      <c r="AB18" s="474">
        <v>0.29099999999999998</v>
      </c>
      <c r="AC18" s="474">
        <v>0.35348955680081512</v>
      </c>
      <c r="AD18" s="474">
        <v>0.40500000000000003</v>
      </c>
      <c r="AE18" s="474">
        <v>0.48599083036169127</v>
      </c>
      <c r="AF18" s="474">
        <v>0.59373408048904741</v>
      </c>
      <c r="AG18" s="474">
        <v>0.67396841569027011</v>
      </c>
      <c r="AH18" s="474">
        <v>0.76474783494651055</v>
      </c>
      <c r="AI18" s="474">
        <v>0.78262862964849733</v>
      </c>
      <c r="AJ18" s="475">
        <v>1</v>
      </c>
    </row>
    <row r="19" spans="1:36" x14ac:dyDescent="0.25">
      <c r="A19" s="253" t="s">
        <v>994</v>
      </c>
      <c r="B19" s="244">
        <v>35.5</v>
      </c>
      <c r="C19" s="244">
        <v>49</v>
      </c>
      <c r="D19" s="254">
        <v>0.9</v>
      </c>
      <c r="K19" s="255">
        <v>56</v>
      </c>
      <c r="L19" s="607">
        <v>5.5</v>
      </c>
      <c r="M19" s="608">
        <f t="shared" si="10"/>
        <v>45</v>
      </c>
      <c r="N19" s="609">
        <f t="shared" si="11"/>
        <v>2463</v>
      </c>
      <c r="O19" s="609">
        <f t="shared" si="12"/>
        <v>2030</v>
      </c>
      <c r="P19" s="608">
        <f t="shared" si="15"/>
        <v>59</v>
      </c>
      <c r="Q19" s="610">
        <f t="shared" si="16"/>
        <v>91.574772881118193</v>
      </c>
      <c r="R19" s="254">
        <v>85</v>
      </c>
      <c r="W19" s="258">
        <v>900</v>
      </c>
      <c r="Y19" s="472">
        <v>0.75</v>
      </c>
      <c r="Z19" s="473">
        <v>0</v>
      </c>
      <c r="AA19" s="474">
        <v>0.23400000000000001</v>
      </c>
      <c r="AB19" s="474">
        <v>0.29099999999999998</v>
      </c>
      <c r="AC19" s="474">
        <v>0.35119714722363732</v>
      </c>
      <c r="AD19" s="474">
        <v>0.39700000000000002</v>
      </c>
      <c r="AE19" s="474">
        <v>0.47911360163015793</v>
      </c>
      <c r="AF19" s="474">
        <v>0.58548140601120735</v>
      </c>
      <c r="AG19" s="474">
        <v>0.66571574121242993</v>
      </c>
      <c r="AH19" s="474">
        <v>0.75832908813041267</v>
      </c>
      <c r="AI19" s="474">
        <v>0.77758532857870621</v>
      </c>
      <c r="AJ19" s="475">
        <v>1</v>
      </c>
    </row>
    <row r="20" spans="1:36" ht="15.75" thickBot="1" x14ac:dyDescent="0.3">
      <c r="A20" s="264" t="s">
        <v>995</v>
      </c>
      <c r="B20" s="244">
        <v>33.5</v>
      </c>
      <c r="C20" s="244">
        <v>47</v>
      </c>
      <c r="D20" s="254">
        <v>0.9</v>
      </c>
      <c r="K20" s="267">
        <v>64</v>
      </c>
      <c r="L20" s="268">
        <v>6</v>
      </c>
      <c r="M20" s="269">
        <f t="shared" si="10"/>
        <v>51</v>
      </c>
      <c r="N20" s="270">
        <f t="shared" si="11"/>
        <v>3217</v>
      </c>
      <c r="O20" s="270">
        <f t="shared" si="12"/>
        <v>2676</v>
      </c>
      <c r="P20" s="269">
        <f t="shared" si="15"/>
        <v>67</v>
      </c>
      <c r="Q20" s="611">
        <f t="shared" si="16"/>
        <v>102.34827557301445</v>
      </c>
      <c r="R20" s="262">
        <v>95</v>
      </c>
      <c r="W20" s="258">
        <v>950</v>
      </c>
      <c r="Y20" s="472">
        <v>0.8</v>
      </c>
      <c r="Z20" s="473">
        <v>0</v>
      </c>
      <c r="AA20" s="474">
        <v>0.23400000000000001</v>
      </c>
      <c r="AB20" s="474">
        <v>0.29099999999999998</v>
      </c>
      <c r="AC20" s="474">
        <v>0.35119714722363732</v>
      </c>
      <c r="AD20" s="474">
        <v>0.39100000000000001</v>
      </c>
      <c r="AE20" s="474">
        <v>0.47452878247580232</v>
      </c>
      <c r="AF20" s="474">
        <v>0.57997962302598061</v>
      </c>
      <c r="AG20" s="474">
        <v>0.66113092205807444</v>
      </c>
      <c r="AH20" s="474">
        <v>0.75236882322975041</v>
      </c>
      <c r="AI20" s="474">
        <v>0.77254202750891499</v>
      </c>
      <c r="AJ20" s="475">
        <v>1</v>
      </c>
    </row>
    <row r="21" spans="1:36" ht="15.75" thickBot="1" x14ac:dyDescent="0.3">
      <c r="A21" s="264" t="s">
        <v>1006</v>
      </c>
      <c r="B21" s="244">
        <v>35.5</v>
      </c>
      <c r="C21" s="244">
        <v>47</v>
      </c>
      <c r="D21" s="254">
        <v>0.9</v>
      </c>
      <c r="W21" s="272">
        <v>1000</v>
      </c>
      <c r="Y21" s="472">
        <v>0.85</v>
      </c>
      <c r="Z21" s="473">
        <v>0</v>
      </c>
      <c r="AA21" s="474">
        <v>0.23400000000000001</v>
      </c>
      <c r="AB21" s="474">
        <v>0.29099999999999998</v>
      </c>
      <c r="AC21" s="474">
        <v>0.35119714722363732</v>
      </c>
      <c r="AD21" s="474">
        <v>0.39100000000000001</v>
      </c>
      <c r="AE21" s="474">
        <v>0.47315333672949572</v>
      </c>
      <c r="AF21" s="474">
        <v>0.57401935812531846</v>
      </c>
      <c r="AG21" s="474">
        <v>0.6579215486500255</v>
      </c>
      <c r="AH21" s="474">
        <v>0.74686704024452366</v>
      </c>
      <c r="AI21" s="474">
        <v>0.76841569026999501</v>
      </c>
      <c r="AJ21" s="475">
        <v>1</v>
      </c>
    </row>
    <row r="22" spans="1:36" ht="15.75" thickBot="1" x14ac:dyDescent="0.3">
      <c r="A22" s="264" t="s">
        <v>1007</v>
      </c>
      <c r="B22" s="244">
        <v>33.5</v>
      </c>
      <c r="C22" s="244">
        <v>45</v>
      </c>
      <c r="D22" s="254">
        <v>0.9</v>
      </c>
      <c r="Y22" s="472">
        <v>0.9</v>
      </c>
      <c r="Z22" s="473">
        <v>0</v>
      </c>
      <c r="AA22" s="474">
        <v>0.23400000000000001</v>
      </c>
      <c r="AB22" s="474">
        <v>0.29099999999999998</v>
      </c>
      <c r="AC22" s="474">
        <v>0.35119714722363732</v>
      </c>
      <c r="AD22" s="474">
        <v>0.39100000000000001</v>
      </c>
      <c r="AE22" s="474">
        <v>0.47223637289862463</v>
      </c>
      <c r="AF22" s="474">
        <v>0.57126846663270514</v>
      </c>
      <c r="AG22" s="474">
        <v>0.65471217524197667</v>
      </c>
      <c r="AH22" s="474">
        <v>0.74136525725929714</v>
      </c>
      <c r="AI22" s="474">
        <v>0.76428935303107504</v>
      </c>
      <c r="AJ22" s="475">
        <v>1</v>
      </c>
    </row>
    <row r="23" spans="1:36" ht="15.75" x14ac:dyDescent="0.25">
      <c r="A23" s="264" t="s">
        <v>1008</v>
      </c>
      <c r="B23" s="244">
        <v>35.5</v>
      </c>
      <c r="C23" s="244">
        <v>51</v>
      </c>
      <c r="D23" s="254">
        <v>0.9</v>
      </c>
      <c r="F23" s="1116" t="s">
        <v>749</v>
      </c>
      <c r="G23" s="1117"/>
      <c r="H23" s="1117"/>
      <c r="I23" s="1118"/>
      <c r="K23" s="252" t="s">
        <v>452</v>
      </c>
      <c r="M23" s="271" t="s">
        <v>453</v>
      </c>
      <c r="O23" s="271" t="s">
        <v>454</v>
      </c>
      <c r="Y23" s="472">
        <v>0.95</v>
      </c>
      <c r="Z23" s="473">
        <v>0</v>
      </c>
      <c r="AA23" s="474">
        <v>0.23400000000000001</v>
      </c>
      <c r="AB23" s="474">
        <v>0.29099999999999998</v>
      </c>
      <c r="AC23" s="474">
        <v>0.35119714722363732</v>
      </c>
      <c r="AD23" s="474">
        <v>0.39100000000000001</v>
      </c>
      <c r="AE23" s="474">
        <v>0.47040244523688235</v>
      </c>
      <c r="AF23" s="474">
        <v>0.56851757514009171</v>
      </c>
      <c r="AG23" s="474">
        <v>0.65150280183392772</v>
      </c>
      <c r="AH23" s="474">
        <v>0.73678043810494154</v>
      </c>
      <c r="AI23" s="474">
        <v>0.76039225674987276</v>
      </c>
      <c r="AJ23" s="475">
        <v>1</v>
      </c>
    </row>
    <row r="24" spans="1:36" ht="15.75" thickBot="1" x14ac:dyDescent="0.3">
      <c r="A24" s="264" t="s">
        <v>1009</v>
      </c>
      <c r="B24" s="244">
        <v>33.5</v>
      </c>
      <c r="C24" s="244">
        <v>49</v>
      </c>
      <c r="D24" s="254">
        <v>0.9</v>
      </c>
      <c r="F24" s="1114" t="s">
        <v>775</v>
      </c>
      <c r="G24" s="1115"/>
      <c r="H24" s="1114" t="s">
        <v>869</v>
      </c>
      <c r="I24" s="1115"/>
      <c r="K24" s="258" t="s">
        <v>455</v>
      </c>
      <c r="M24" s="272" t="s">
        <v>456</v>
      </c>
      <c r="O24" s="272" t="s">
        <v>457</v>
      </c>
      <c r="Y24" s="472">
        <v>1</v>
      </c>
      <c r="Z24" s="473">
        <v>0</v>
      </c>
      <c r="AA24" s="474">
        <v>0.23400000000000001</v>
      </c>
      <c r="AB24" s="474">
        <v>0.29099999999999998</v>
      </c>
      <c r="AC24" s="474">
        <v>0.35119714722363732</v>
      </c>
      <c r="AD24" s="474">
        <v>0.39100000000000001</v>
      </c>
      <c r="AE24" s="474">
        <v>0.46933265410086611</v>
      </c>
      <c r="AF24" s="474">
        <v>0.56668364747834954</v>
      </c>
      <c r="AG24" s="474">
        <v>0.64829342842587889</v>
      </c>
      <c r="AH24" s="474">
        <v>0.73219561895058594</v>
      </c>
      <c r="AI24" s="474">
        <v>0.75649516046867038</v>
      </c>
      <c r="AJ24" s="475">
        <v>1</v>
      </c>
    </row>
    <row r="25" spans="1:36" x14ac:dyDescent="0.25">
      <c r="A25" s="264" t="s">
        <v>1010</v>
      </c>
      <c r="B25" s="244">
        <v>35.5</v>
      </c>
      <c r="C25" s="244">
        <v>49</v>
      </c>
      <c r="D25" s="254">
        <v>0.9</v>
      </c>
      <c r="F25" s="264" t="s">
        <v>769</v>
      </c>
      <c r="G25" s="254">
        <v>0.5</v>
      </c>
      <c r="H25" s="244" t="s">
        <v>777</v>
      </c>
      <c r="I25" s="254">
        <v>1</v>
      </c>
      <c r="K25" s="258" t="s">
        <v>458</v>
      </c>
      <c r="Y25" s="472">
        <v>1.05</v>
      </c>
      <c r="Z25" s="473">
        <v>0</v>
      </c>
      <c r="AA25" s="474">
        <v>0.23400000000000001</v>
      </c>
      <c r="AB25" s="474">
        <v>0.29099999999999998</v>
      </c>
      <c r="AC25" s="474">
        <v>0.35119714722363732</v>
      </c>
      <c r="AD25" s="474">
        <v>0.39100000000000001</v>
      </c>
      <c r="AE25" s="474">
        <v>0.46826286296484987</v>
      </c>
      <c r="AF25" s="474">
        <v>0.5647924095771778</v>
      </c>
      <c r="AG25" s="474">
        <v>0.64508405501782995</v>
      </c>
      <c r="AH25" s="474">
        <v>0.72875700458481918</v>
      </c>
      <c r="AI25" s="474">
        <v>0.75374426897605695</v>
      </c>
      <c r="AJ25" s="475">
        <v>1</v>
      </c>
    </row>
    <row r="26" spans="1:36" ht="15.75" thickBot="1" x14ac:dyDescent="0.3">
      <c r="A26" s="264" t="s">
        <v>1011</v>
      </c>
      <c r="B26" s="244">
        <v>33.5</v>
      </c>
      <c r="C26" s="244">
        <v>47</v>
      </c>
      <c r="D26" s="254">
        <v>0.9</v>
      </c>
      <c r="F26" s="264" t="s">
        <v>770</v>
      </c>
      <c r="G26" s="254">
        <v>0.4</v>
      </c>
      <c r="H26" s="244" t="s">
        <v>778</v>
      </c>
      <c r="I26" s="254">
        <v>0.85</v>
      </c>
      <c r="K26" s="272" t="s">
        <v>459</v>
      </c>
      <c r="Y26" s="472">
        <v>1.1000000000000001</v>
      </c>
      <c r="Z26" s="473">
        <v>0</v>
      </c>
      <c r="AA26" s="474">
        <v>0.23400000000000001</v>
      </c>
      <c r="AB26" s="474">
        <v>0.29099999999999998</v>
      </c>
      <c r="AC26" s="474">
        <v>0.35119714722363732</v>
      </c>
      <c r="AD26" s="474">
        <v>0.39100000000000001</v>
      </c>
      <c r="AE26" s="474">
        <v>0.46719307182883352</v>
      </c>
      <c r="AF26" s="474">
        <v>0.56290117167600606</v>
      </c>
      <c r="AG26" s="474">
        <v>0.64187468160978101</v>
      </c>
      <c r="AH26" s="474">
        <v>0.72531839021905253</v>
      </c>
      <c r="AI26" s="474">
        <v>0.75099337748344375</v>
      </c>
      <c r="AJ26" s="475">
        <v>1</v>
      </c>
    </row>
    <row r="27" spans="1:36" x14ac:dyDescent="0.25">
      <c r="A27" s="264" t="s">
        <v>996</v>
      </c>
      <c r="B27" s="244">
        <v>46</v>
      </c>
      <c r="C27" s="244">
        <v>54</v>
      </c>
      <c r="D27" s="254">
        <v>1</v>
      </c>
      <c r="F27" s="264" t="s">
        <v>771</v>
      </c>
      <c r="G27" s="254">
        <v>0.3</v>
      </c>
      <c r="H27" s="244" t="s">
        <v>779</v>
      </c>
      <c r="I27" s="254">
        <v>0.7</v>
      </c>
      <c r="Y27" s="472">
        <v>1.1499999999999999</v>
      </c>
      <c r="Z27" s="473">
        <v>0</v>
      </c>
      <c r="AA27" s="474">
        <v>0.23400000000000001</v>
      </c>
      <c r="AB27" s="474">
        <v>0.29099999999999998</v>
      </c>
      <c r="AC27" s="474">
        <v>0.35119714722363732</v>
      </c>
      <c r="AD27" s="474">
        <v>0.39100000000000001</v>
      </c>
      <c r="AE27" s="474">
        <v>0.46612328069281722</v>
      </c>
      <c r="AF27" s="474">
        <v>0.56100993377483444</v>
      </c>
      <c r="AG27" s="474">
        <v>0.63866530820173206</v>
      </c>
      <c r="AH27" s="474">
        <v>0.72165053489556807</v>
      </c>
      <c r="AI27" s="474">
        <v>0.74870096790626595</v>
      </c>
      <c r="AJ27" s="475">
        <v>1</v>
      </c>
    </row>
    <row r="28" spans="1:36" x14ac:dyDescent="0.25">
      <c r="A28" s="264" t="s">
        <v>997</v>
      </c>
      <c r="B28" s="244">
        <v>43</v>
      </c>
      <c r="C28" s="244">
        <v>54</v>
      </c>
      <c r="D28" s="254">
        <v>1</v>
      </c>
      <c r="F28" s="264" t="s">
        <v>772</v>
      </c>
      <c r="G28" s="254">
        <v>0.2</v>
      </c>
      <c r="H28" s="244" t="s">
        <v>781</v>
      </c>
      <c r="I28" s="254">
        <v>0.76</v>
      </c>
      <c r="Y28" s="472">
        <v>1.2</v>
      </c>
      <c r="Z28" s="473">
        <v>0</v>
      </c>
      <c r="AA28" s="474">
        <v>0.23400000000000001</v>
      </c>
      <c r="AB28" s="474">
        <v>0.29099999999999998</v>
      </c>
      <c r="AC28" s="474">
        <v>0.35119714722363732</v>
      </c>
      <c r="AD28" s="474">
        <v>0.39100000000000001</v>
      </c>
      <c r="AE28" s="474">
        <v>0.46505348955680093</v>
      </c>
      <c r="AF28" s="474">
        <v>0.55911869587366281</v>
      </c>
      <c r="AG28" s="474">
        <v>0.63545593479368323</v>
      </c>
      <c r="AH28" s="474">
        <v>0.71798267957208362</v>
      </c>
      <c r="AI28" s="474">
        <v>0.74640855832908826</v>
      </c>
      <c r="AJ28" s="475">
        <v>1</v>
      </c>
    </row>
    <row r="29" spans="1:36" x14ac:dyDescent="0.25">
      <c r="A29" s="264" t="s">
        <v>1012</v>
      </c>
      <c r="B29" s="244">
        <v>46</v>
      </c>
      <c r="C29" s="244">
        <v>54</v>
      </c>
      <c r="D29" s="254">
        <v>1</v>
      </c>
      <c r="F29" s="264" t="s">
        <v>773</v>
      </c>
      <c r="G29" s="254">
        <v>0.15</v>
      </c>
      <c r="H29" s="244" t="s">
        <v>780</v>
      </c>
      <c r="I29" s="254">
        <v>0.63</v>
      </c>
      <c r="Y29" s="472">
        <v>1.25</v>
      </c>
      <c r="Z29" s="473">
        <v>0</v>
      </c>
      <c r="AA29" s="474">
        <v>0.23400000000000001</v>
      </c>
      <c r="AB29" s="474">
        <v>0.29099999999999998</v>
      </c>
      <c r="AC29" s="474">
        <v>0.35119714722363732</v>
      </c>
      <c r="AD29" s="474">
        <v>0.39100000000000001</v>
      </c>
      <c r="AE29" s="474">
        <v>0.46398369842078457</v>
      </c>
      <c r="AF29" s="474">
        <v>0.55722745797249107</v>
      </c>
      <c r="AG29" s="474">
        <v>0.63224656138563429</v>
      </c>
      <c r="AH29" s="474">
        <v>0.71546102903718811</v>
      </c>
      <c r="AI29" s="474">
        <v>0.74457463066734597</v>
      </c>
      <c r="AJ29" s="475">
        <v>1</v>
      </c>
    </row>
    <row r="30" spans="1:36" ht="15.75" thickBot="1" x14ac:dyDescent="0.3">
      <c r="A30" s="264" t="s">
        <v>1013</v>
      </c>
      <c r="B30" s="244">
        <v>46</v>
      </c>
      <c r="C30" s="244">
        <v>53</v>
      </c>
      <c r="D30" s="254">
        <v>1</v>
      </c>
      <c r="F30" s="273" t="s">
        <v>774</v>
      </c>
      <c r="G30" s="262">
        <v>0.05</v>
      </c>
      <c r="H30" s="261"/>
      <c r="I30" s="262"/>
      <c r="Y30" s="472">
        <v>1.3</v>
      </c>
      <c r="Z30" s="473">
        <v>0</v>
      </c>
      <c r="AA30" s="474">
        <v>0.23400000000000001</v>
      </c>
      <c r="AB30" s="474">
        <v>0.29099999999999998</v>
      </c>
      <c r="AC30" s="474">
        <v>0.35119714722363732</v>
      </c>
      <c r="AD30" s="474">
        <v>0.39100000000000001</v>
      </c>
      <c r="AE30" s="474">
        <v>0.46291390728476833</v>
      </c>
      <c r="AF30" s="474">
        <v>0.55533622007131944</v>
      </c>
      <c r="AG30" s="474">
        <v>0.62903718797758534</v>
      </c>
      <c r="AH30" s="474">
        <v>0.7129393785022925</v>
      </c>
      <c r="AI30" s="474">
        <v>0.74274070300560369</v>
      </c>
      <c r="AJ30" s="475">
        <v>1</v>
      </c>
    </row>
    <row r="31" spans="1:36" x14ac:dyDescent="0.25">
      <c r="A31" s="264" t="s">
        <v>1014</v>
      </c>
      <c r="B31" s="244">
        <v>46</v>
      </c>
      <c r="C31" s="244">
        <v>56</v>
      </c>
      <c r="D31" s="254">
        <v>1</v>
      </c>
      <c r="Y31" s="472">
        <v>1.35</v>
      </c>
      <c r="Z31" s="473">
        <v>0</v>
      </c>
      <c r="AA31" s="474">
        <v>0.23400000000000001</v>
      </c>
      <c r="AB31" s="474">
        <v>0.29099999999999998</v>
      </c>
      <c r="AC31" s="474">
        <v>0.35119714722363732</v>
      </c>
      <c r="AD31" s="474">
        <v>0.39100000000000001</v>
      </c>
      <c r="AE31" s="474">
        <v>0.46184411614875198</v>
      </c>
      <c r="AF31" s="474">
        <v>0.5534449821701477</v>
      </c>
      <c r="AG31" s="474">
        <v>0.62582781456953651</v>
      </c>
      <c r="AH31" s="474">
        <v>0.7106469689251147</v>
      </c>
      <c r="AI31" s="474">
        <v>0.74205298013245058</v>
      </c>
      <c r="AJ31" s="475">
        <v>1</v>
      </c>
    </row>
    <row r="32" spans="1:36" x14ac:dyDescent="0.25">
      <c r="A32" s="264" t="s">
        <v>1015</v>
      </c>
      <c r="B32" s="244">
        <v>43</v>
      </c>
      <c r="C32" s="244">
        <v>55</v>
      </c>
      <c r="D32" s="254">
        <v>1</v>
      </c>
      <c r="Y32" s="472">
        <v>1.4</v>
      </c>
      <c r="Z32" s="474">
        <v>0</v>
      </c>
      <c r="AA32" s="474">
        <v>0.23400000000000001</v>
      </c>
      <c r="AB32" s="474">
        <v>0.29099999999999998</v>
      </c>
      <c r="AC32" s="474">
        <v>0.35119714722363732</v>
      </c>
      <c r="AD32" s="474">
        <v>0.39100000000000001</v>
      </c>
      <c r="AE32" s="474">
        <v>0.46077432501273574</v>
      </c>
      <c r="AF32" s="474">
        <v>0.55155374426897608</v>
      </c>
      <c r="AG32" s="474">
        <v>0.62261844116148757</v>
      </c>
      <c r="AH32" s="474">
        <v>0.70835455934793679</v>
      </c>
      <c r="AI32" s="474">
        <v>0.74136525725929714</v>
      </c>
      <c r="AJ32" s="475">
        <v>1</v>
      </c>
    </row>
    <row r="33" spans="1:36" ht="15.75" thickBot="1" x14ac:dyDescent="0.3">
      <c r="A33" s="260" t="s">
        <v>441</v>
      </c>
      <c r="B33" s="261">
        <v>46</v>
      </c>
      <c r="C33" s="261">
        <v>55</v>
      </c>
      <c r="D33" s="262">
        <v>1</v>
      </c>
      <c r="Y33" s="476">
        <v>1000</v>
      </c>
      <c r="Z33" s="477">
        <v>0</v>
      </c>
      <c r="AA33" s="477">
        <v>0.23400000000000001</v>
      </c>
      <c r="AB33" s="477">
        <v>0.29099999999999998</v>
      </c>
      <c r="AC33" s="477">
        <v>0.35119714722363732</v>
      </c>
      <c r="AD33" s="477">
        <v>0.39100000000000001</v>
      </c>
      <c r="AE33" s="477">
        <v>0.46077432501273574</v>
      </c>
      <c r="AF33" s="477">
        <v>0.55155374426897608</v>
      </c>
      <c r="AG33" s="477">
        <v>0.62261844116148757</v>
      </c>
      <c r="AH33" s="477">
        <v>0.70835455934793679</v>
      </c>
      <c r="AI33" s="477">
        <v>0.74136525725929714</v>
      </c>
      <c r="AJ33" s="478">
        <v>1</v>
      </c>
    </row>
    <row r="37" spans="1:36" ht="15.75" thickBot="1" x14ac:dyDescent="0.3"/>
    <row r="38" spans="1:36" ht="15.75" x14ac:dyDescent="0.25">
      <c r="A38" s="1112" t="s">
        <v>449</v>
      </c>
      <c r="B38" s="274" t="s">
        <v>460</v>
      </c>
      <c r="C38" s="274" t="s">
        <v>461</v>
      </c>
      <c r="D38" s="274" t="s">
        <v>462</v>
      </c>
      <c r="E38" s="274" t="s">
        <v>463</v>
      </c>
      <c r="F38" s="274" t="s">
        <v>464</v>
      </c>
      <c r="G38" s="274" t="s">
        <v>465</v>
      </c>
      <c r="H38" s="275" t="s">
        <v>466</v>
      </c>
      <c r="J38" s="1107" t="s">
        <v>891</v>
      </c>
      <c r="K38" s="1108"/>
      <c r="L38" s="1108"/>
      <c r="M38" s="1108"/>
      <c r="N38" s="1109"/>
    </row>
    <row r="39" spans="1:36" ht="18.75" thickBot="1" x14ac:dyDescent="0.3">
      <c r="A39" s="1113"/>
      <c r="B39" s="244" t="s">
        <v>467</v>
      </c>
      <c r="C39" s="244" t="s">
        <v>467</v>
      </c>
      <c r="D39" s="244" t="s">
        <v>467</v>
      </c>
      <c r="E39" s="244" t="s">
        <v>467</v>
      </c>
      <c r="F39" s="244" t="s">
        <v>467</v>
      </c>
      <c r="G39" s="244" t="s">
        <v>467</v>
      </c>
      <c r="H39" s="254" t="s">
        <v>468</v>
      </c>
      <c r="J39" s="565" t="s">
        <v>892</v>
      </c>
      <c r="K39" s="566" t="s">
        <v>893</v>
      </c>
      <c r="L39" s="566" t="s">
        <v>894</v>
      </c>
      <c r="M39" s="566" t="s">
        <v>896</v>
      </c>
      <c r="N39" s="567" t="s">
        <v>895</v>
      </c>
    </row>
    <row r="40" spans="1:36" x14ac:dyDescent="0.25">
      <c r="A40" s="264" t="s">
        <v>469</v>
      </c>
      <c r="B40" s="244">
        <v>1.6</v>
      </c>
      <c r="C40" s="244">
        <v>2</v>
      </c>
      <c r="D40" s="754">
        <f>B40+0.8</f>
        <v>2.4000000000000004</v>
      </c>
      <c r="E40" s="633">
        <f>0.1*0.3*(10*B40)^(2/3)</f>
        <v>0.19048812623618391</v>
      </c>
      <c r="F40" s="633">
        <f>0.7*E40</f>
        <v>0.13334168836532873</v>
      </c>
      <c r="G40" s="633">
        <f>1.3*E40</f>
        <v>0.2476345641070391</v>
      </c>
      <c r="H40" s="569">
        <f>22*D40^0.3</f>
        <v>28.607904894961404</v>
      </c>
      <c r="J40" s="559">
        <v>10</v>
      </c>
      <c r="K40" s="560">
        <v>19</v>
      </c>
      <c r="L40" s="560">
        <v>7</v>
      </c>
      <c r="M40" s="560"/>
      <c r="N40" s="561">
        <v>75</v>
      </c>
    </row>
    <row r="41" spans="1:36" x14ac:dyDescent="0.25">
      <c r="A41" s="264" t="s">
        <v>470</v>
      </c>
      <c r="B41" s="244">
        <v>2</v>
      </c>
      <c r="C41" s="244">
        <v>2.5</v>
      </c>
      <c r="D41" s="754">
        <f t="shared" ref="D41:D49" si="17">B41+0.8</f>
        <v>2.8</v>
      </c>
      <c r="E41" s="633">
        <f t="shared" ref="E41:E47" si="18">0.1*0.3*(10*B41)^(2/3)</f>
        <v>0.22104188991842313</v>
      </c>
      <c r="F41" s="633">
        <f t="shared" ref="F41:F49" si="19">0.7*E41</f>
        <v>0.15472932294289618</v>
      </c>
      <c r="G41" s="633">
        <f t="shared" ref="G41:G49" si="20">1.3*E41</f>
        <v>0.28735445689395006</v>
      </c>
      <c r="H41" s="569">
        <f t="shared" ref="H41:H49" si="21">22*D41^0.3</f>
        <v>29.961951054640309</v>
      </c>
      <c r="J41" s="559">
        <v>13</v>
      </c>
      <c r="K41" s="560">
        <v>25</v>
      </c>
      <c r="L41" s="560">
        <v>8</v>
      </c>
      <c r="M41" s="560"/>
      <c r="N41" s="561">
        <v>100</v>
      </c>
    </row>
    <row r="42" spans="1:36" x14ac:dyDescent="0.25">
      <c r="A42" s="264" t="s">
        <v>471</v>
      </c>
      <c r="B42" s="244">
        <v>2.5</v>
      </c>
      <c r="C42" s="244">
        <v>3</v>
      </c>
      <c r="D42" s="754">
        <f t="shared" si="17"/>
        <v>3.3</v>
      </c>
      <c r="E42" s="633">
        <f t="shared" si="18"/>
        <v>0.25649639200150443</v>
      </c>
      <c r="F42" s="633">
        <f t="shared" si="19"/>
        <v>0.17954747440105309</v>
      </c>
      <c r="G42" s="633">
        <f t="shared" si="20"/>
        <v>0.33344530960195579</v>
      </c>
      <c r="H42" s="569">
        <f t="shared" si="21"/>
        <v>31.475806210019346</v>
      </c>
      <c r="J42" s="559">
        <v>16</v>
      </c>
      <c r="K42" s="560">
        <v>32</v>
      </c>
      <c r="L42" s="560">
        <v>8</v>
      </c>
      <c r="M42" s="560"/>
      <c r="N42" s="561">
        <v>125</v>
      </c>
    </row>
    <row r="43" spans="1:36" x14ac:dyDescent="0.25">
      <c r="A43" s="264" t="s">
        <v>472</v>
      </c>
      <c r="B43" s="244">
        <v>3</v>
      </c>
      <c r="C43" s="244">
        <v>3.7</v>
      </c>
      <c r="D43" s="754">
        <f t="shared" si="17"/>
        <v>3.8</v>
      </c>
      <c r="E43" s="633">
        <f t="shared" si="18"/>
        <v>0.2896468153816889</v>
      </c>
      <c r="F43" s="633">
        <f t="shared" si="19"/>
        <v>0.20275277076718223</v>
      </c>
      <c r="G43" s="633">
        <f t="shared" si="20"/>
        <v>0.37654085999619558</v>
      </c>
      <c r="H43" s="569">
        <f t="shared" si="21"/>
        <v>32.836568031330792</v>
      </c>
      <c r="J43" s="559">
        <v>19</v>
      </c>
      <c r="K43" s="560">
        <v>32</v>
      </c>
      <c r="L43" s="560">
        <v>10</v>
      </c>
      <c r="M43" s="560"/>
      <c r="N43" s="561">
        <v>150</v>
      </c>
    </row>
    <row r="44" spans="1:36" x14ac:dyDescent="0.25">
      <c r="A44" s="264" t="s">
        <v>473</v>
      </c>
      <c r="B44" s="244">
        <v>3.5</v>
      </c>
      <c r="C44" s="244">
        <v>4.5</v>
      </c>
      <c r="D44" s="754">
        <f t="shared" si="17"/>
        <v>4.3</v>
      </c>
      <c r="E44" s="633">
        <f t="shared" si="18"/>
        <v>0.32099624416952371</v>
      </c>
      <c r="F44" s="633">
        <f t="shared" si="19"/>
        <v>0.22469737091866659</v>
      </c>
      <c r="G44" s="633">
        <f t="shared" si="20"/>
        <v>0.41729511742038083</v>
      </c>
      <c r="H44" s="569">
        <f t="shared" si="21"/>
        <v>34.077146199189329</v>
      </c>
      <c r="J44" s="559">
        <v>22</v>
      </c>
      <c r="K44" s="560">
        <v>35</v>
      </c>
      <c r="L44" s="560">
        <v>10</v>
      </c>
      <c r="M44" s="560"/>
      <c r="N44" s="561">
        <v>175</v>
      </c>
    </row>
    <row r="45" spans="1:36" ht="15.75" thickBot="1" x14ac:dyDescent="0.3">
      <c r="A45" s="264" t="s">
        <v>474</v>
      </c>
      <c r="B45" s="244">
        <v>4</v>
      </c>
      <c r="C45" s="244">
        <v>5</v>
      </c>
      <c r="D45" s="754">
        <f t="shared" si="17"/>
        <v>4.8</v>
      </c>
      <c r="E45" s="633">
        <f t="shared" si="18"/>
        <v>0.35088212858554391</v>
      </c>
      <c r="F45" s="633">
        <f t="shared" si="19"/>
        <v>0.24561749000988073</v>
      </c>
      <c r="G45" s="633">
        <f t="shared" si="20"/>
        <v>0.45614676716120711</v>
      </c>
      <c r="H45" s="569">
        <f t="shared" si="21"/>
        <v>35.220462288934414</v>
      </c>
      <c r="J45" s="562">
        <v>25</v>
      </c>
      <c r="K45" s="563">
        <v>40</v>
      </c>
      <c r="L45" s="563">
        <v>12</v>
      </c>
      <c r="M45" s="563"/>
      <c r="N45" s="564">
        <v>200</v>
      </c>
    </row>
    <row r="46" spans="1:36" x14ac:dyDescent="0.25">
      <c r="A46" s="264" t="s">
        <v>475</v>
      </c>
      <c r="B46" s="244">
        <v>4.5</v>
      </c>
      <c r="C46" s="244">
        <v>5.5</v>
      </c>
      <c r="D46" s="754">
        <f t="shared" si="17"/>
        <v>5.3</v>
      </c>
      <c r="E46" s="633">
        <f t="shared" si="18"/>
        <v>0.37954469938578705</v>
      </c>
      <c r="F46" s="633">
        <f t="shared" si="19"/>
        <v>0.26568128957005094</v>
      </c>
      <c r="G46" s="633">
        <f t="shared" si="20"/>
        <v>0.49340810920152317</v>
      </c>
      <c r="H46" s="569">
        <f t="shared" si="21"/>
        <v>36.283188218914134</v>
      </c>
    </row>
    <row r="47" spans="1:36" x14ac:dyDescent="0.25">
      <c r="A47" s="264" t="s">
        <v>476</v>
      </c>
      <c r="B47" s="244">
        <v>5</v>
      </c>
      <c r="C47" s="244">
        <v>6</v>
      </c>
      <c r="D47" s="754">
        <f t="shared" si="17"/>
        <v>5.8</v>
      </c>
      <c r="E47" s="633">
        <f t="shared" si="18"/>
        <v>0.40716264248923589</v>
      </c>
      <c r="F47" s="633">
        <f t="shared" si="19"/>
        <v>0.28501384974246513</v>
      </c>
      <c r="G47" s="633">
        <f t="shared" si="20"/>
        <v>0.52931143523600666</v>
      </c>
      <c r="H47" s="569">
        <f t="shared" si="21"/>
        <v>37.277869091614654</v>
      </c>
    </row>
    <row r="48" spans="1:36" x14ac:dyDescent="0.25">
      <c r="A48" s="264" t="s">
        <v>477</v>
      </c>
      <c r="B48" s="244">
        <v>5.5</v>
      </c>
      <c r="C48" s="244">
        <v>6.7</v>
      </c>
      <c r="D48" s="754">
        <f t="shared" si="17"/>
        <v>6.3</v>
      </c>
      <c r="E48" s="633">
        <f>0.1*2.12*LN(1+D48)</f>
        <v>0.42142936180872131</v>
      </c>
      <c r="F48" s="633">
        <f t="shared" si="19"/>
        <v>0.29500055326610491</v>
      </c>
      <c r="G48" s="633">
        <f t="shared" si="20"/>
        <v>0.54785817035133777</v>
      </c>
      <c r="H48" s="569">
        <f t="shared" si="21"/>
        <v>38.214206461639002</v>
      </c>
    </row>
    <row r="49" spans="1:11" x14ac:dyDescent="0.25">
      <c r="A49" s="264" t="s">
        <v>478</v>
      </c>
      <c r="B49" s="244">
        <v>6</v>
      </c>
      <c r="C49" s="244">
        <v>7.5</v>
      </c>
      <c r="D49" s="754">
        <f t="shared" si="17"/>
        <v>6.8</v>
      </c>
      <c r="E49" s="633">
        <f t="shared" ref="E49" si="22">0.1*2.12*LN(1+D49)</f>
        <v>0.43547423154345583</v>
      </c>
      <c r="F49" s="633">
        <f t="shared" si="19"/>
        <v>0.30483196208041907</v>
      </c>
      <c r="G49" s="633">
        <f t="shared" si="20"/>
        <v>0.56611650100649258</v>
      </c>
      <c r="H49" s="569">
        <f t="shared" si="21"/>
        <v>39.099873708049074</v>
      </c>
    </row>
    <row r="50" spans="1:11" x14ac:dyDescent="0.25">
      <c r="A50" s="264" t="s">
        <v>479</v>
      </c>
      <c r="B50" s="244">
        <v>7</v>
      </c>
      <c r="C50" s="244">
        <v>8.5</v>
      </c>
      <c r="D50" s="754">
        <f>B50+0.8</f>
        <v>7.8</v>
      </c>
      <c r="E50" s="633">
        <f>0.1*2.12*LN(1+D50)</f>
        <v>0.46104736495464216</v>
      </c>
      <c r="F50" s="633">
        <f>0.7*E50</f>
        <v>0.32273315546824949</v>
      </c>
      <c r="G50" s="633">
        <f>1.3*E50</f>
        <v>0.59936157444103477</v>
      </c>
      <c r="H50" s="569">
        <f>22*D50^0.3</f>
        <v>40.742817784548983</v>
      </c>
    </row>
    <row r="51" spans="1:11" ht="18.75" x14ac:dyDescent="0.35">
      <c r="A51" s="264"/>
      <c r="B51" s="244" t="s">
        <v>1762</v>
      </c>
      <c r="H51" s="254"/>
      <c r="I51" s="244" t="s">
        <v>1761</v>
      </c>
      <c r="J51" s="244" t="s">
        <v>1769</v>
      </c>
      <c r="K51" s="755" t="s">
        <v>1768</v>
      </c>
    </row>
    <row r="52" spans="1:11" x14ac:dyDescent="0.25">
      <c r="A52" s="264" t="str">
        <f>"LC "&amp;B52*10&amp;"/"&amp;C52*10&amp;"-"&amp;$B$51</f>
        <v>LC 12/13-Cl1.0</v>
      </c>
      <c r="B52" s="244">
        <v>1.2000000000000002</v>
      </c>
      <c r="C52" s="244">
        <v>1.3</v>
      </c>
      <c r="D52" s="244">
        <f>IF(B52&lt;2,B52+0.6,B52+0.8)</f>
        <v>1.8000000000000003</v>
      </c>
      <c r="H52" s="254"/>
      <c r="I52" s="633">
        <f>0.4+0.6*(K52/2200)</f>
        <v>0.67272727272727273</v>
      </c>
      <c r="J52" s="633">
        <f>(K52/2200)^2</f>
        <v>0.20661157024793386</v>
      </c>
      <c r="K52" s="244">
        <v>1000</v>
      </c>
    </row>
    <row r="53" spans="1:11" x14ac:dyDescent="0.25">
      <c r="A53" s="264" t="str">
        <f t="shared" ref="A53:A63" si="23">"LC "&amp;B53*10&amp;"/"&amp;C53*10&amp;"-"&amp;$B$51</f>
        <v>LC 16/18-Cl1.0</v>
      </c>
      <c r="B53" s="244">
        <v>1.6</v>
      </c>
      <c r="C53" s="244">
        <v>1.8</v>
      </c>
      <c r="D53" s="244">
        <f t="shared" ref="D53:D63" si="24">IF(B53&lt;2,B53+0.6,B53+0.8)</f>
        <v>2.2000000000000002</v>
      </c>
      <c r="E53" s="633">
        <f>E40*I53</f>
        <v>0.12814655764979646</v>
      </c>
      <c r="F53" s="633">
        <f>F40*I53</f>
        <v>8.9702590354857503E-2</v>
      </c>
      <c r="G53" s="633">
        <f>G40*I53</f>
        <v>0.16659052494473539</v>
      </c>
      <c r="H53" s="569">
        <f>H40*J53</f>
        <v>5.9107241518515288</v>
      </c>
      <c r="I53" s="633">
        <f>$I$52</f>
        <v>0.67272727272727273</v>
      </c>
      <c r="J53" s="633">
        <f>$J$52</f>
        <v>0.20661157024793386</v>
      </c>
    </row>
    <row r="54" spans="1:11" x14ac:dyDescent="0.25">
      <c r="A54" s="264" t="str">
        <f t="shared" si="23"/>
        <v>LC 20/22-Cl1.0</v>
      </c>
      <c r="B54" s="244">
        <v>2</v>
      </c>
      <c r="C54" s="244">
        <v>2.2000000000000002</v>
      </c>
      <c r="D54" s="244">
        <f t="shared" si="24"/>
        <v>2.8</v>
      </c>
      <c r="E54" s="633">
        <f t="shared" ref="E54:E62" si="25">E41*I54</f>
        <v>0.14870090776330283</v>
      </c>
      <c r="F54" s="633">
        <f t="shared" ref="F54:F62" si="26">F41*I54</f>
        <v>0.10409063543431198</v>
      </c>
      <c r="G54" s="633">
        <f t="shared" ref="G54:G62" si="27">G41*I54</f>
        <v>0.19331118009229367</v>
      </c>
      <c r="H54" s="569">
        <f t="shared" ref="H54:H62" si="28">H41*J54</f>
        <v>6.1904857550909727</v>
      </c>
      <c r="I54" s="633">
        <f t="shared" ref="I54:I63" si="29">$I$52</f>
        <v>0.67272727272727273</v>
      </c>
      <c r="J54" s="633">
        <f t="shared" ref="J54:J63" si="30">$J$52</f>
        <v>0.20661157024793386</v>
      </c>
    </row>
    <row r="55" spans="1:11" x14ac:dyDescent="0.25">
      <c r="A55" s="264" t="str">
        <f t="shared" si="23"/>
        <v>LC 25/28-Cl1.0</v>
      </c>
      <c r="B55" s="244">
        <v>2.5</v>
      </c>
      <c r="C55" s="244">
        <v>2.8000000000000003</v>
      </c>
      <c r="D55" s="244">
        <f t="shared" si="24"/>
        <v>3.3</v>
      </c>
      <c r="E55" s="633">
        <f t="shared" si="25"/>
        <v>0.17255211825555752</v>
      </c>
      <c r="F55" s="633">
        <f t="shared" si="26"/>
        <v>0.12078648277889026</v>
      </c>
      <c r="G55" s="633">
        <f t="shared" si="27"/>
        <v>0.22431775373222479</v>
      </c>
      <c r="H55" s="569">
        <f t="shared" si="28"/>
        <v>6.5032657458717651</v>
      </c>
      <c r="I55" s="633">
        <f t="shared" si="29"/>
        <v>0.67272727272727273</v>
      </c>
      <c r="J55" s="633">
        <f t="shared" si="30"/>
        <v>0.20661157024793386</v>
      </c>
    </row>
    <row r="56" spans="1:11" x14ac:dyDescent="0.25">
      <c r="A56" s="264" t="str">
        <f t="shared" si="23"/>
        <v>LC 30/33-Cl1.0</v>
      </c>
      <c r="B56" s="244">
        <v>3</v>
      </c>
      <c r="C56" s="244">
        <v>3.3000000000000003</v>
      </c>
      <c r="D56" s="244">
        <f t="shared" si="24"/>
        <v>3.8</v>
      </c>
      <c r="E56" s="633">
        <f t="shared" si="25"/>
        <v>0.19485331216586343</v>
      </c>
      <c r="F56" s="633">
        <f t="shared" si="26"/>
        <v>0.1363973185161044</v>
      </c>
      <c r="G56" s="633">
        <f t="shared" si="27"/>
        <v>0.2533093058156225</v>
      </c>
      <c r="H56" s="569">
        <f t="shared" si="28"/>
        <v>6.7844148825063613</v>
      </c>
      <c r="I56" s="633">
        <f t="shared" si="29"/>
        <v>0.67272727272727273</v>
      </c>
      <c r="J56" s="633">
        <f t="shared" si="30"/>
        <v>0.20661157024793386</v>
      </c>
    </row>
    <row r="57" spans="1:11" x14ac:dyDescent="0.25">
      <c r="A57" s="264" t="str">
        <f t="shared" si="23"/>
        <v>LC 35/38-Cl1.0</v>
      </c>
      <c r="B57" s="244">
        <v>3.5</v>
      </c>
      <c r="C57" s="244">
        <v>3.8000000000000003</v>
      </c>
      <c r="D57" s="244">
        <f t="shared" si="24"/>
        <v>4.3</v>
      </c>
      <c r="E57" s="633">
        <f t="shared" si="25"/>
        <v>0.21594292789586142</v>
      </c>
      <c r="F57" s="633">
        <f t="shared" si="26"/>
        <v>0.15116004952710299</v>
      </c>
      <c r="G57" s="633">
        <f t="shared" si="27"/>
        <v>0.28072580626461985</v>
      </c>
      <c r="H57" s="569">
        <f t="shared" si="28"/>
        <v>7.0407326857829187</v>
      </c>
      <c r="I57" s="633">
        <f t="shared" si="29"/>
        <v>0.67272727272727273</v>
      </c>
      <c r="J57" s="633">
        <f t="shared" si="30"/>
        <v>0.20661157024793386</v>
      </c>
    </row>
    <row r="58" spans="1:11" x14ac:dyDescent="0.25">
      <c r="A58" s="264" t="str">
        <f t="shared" si="23"/>
        <v>LC 40/44-Cl1.0</v>
      </c>
      <c r="B58" s="244">
        <v>4</v>
      </c>
      <c r="C58" s="244">
        <v>4.4000000000000004</v>
      </c>
      <c r="D58" s="244">
        <f t="shared" si="24"/>
        <v>4.8</v>
      </c>
      <c r="E58" s="633">
        <f t="shared" si="25"/>
        <v>0.23604797741209319</v>
      </c>
      <c r="F58" s="633">
        <f t="shared" si="26"/>
        <v>0.1652335841884652</v>
      </c>
      <c r="G58" s="633">
        <f t="shared" si="27"/>
        <v>0.30686237063572114</v>
      </c>
      <c r="H58" s="569">
        <f t="shared" si="28"/>
        <v>7.2769550183748777</v>
      </c>
      <c r="I58" s="633">
        <f t="shared" si="29"/>
        <v>0.67272727272727273</v>
      </c>
      <c r="J58" s="633">
        <f t="shared" si="30"/>
        <v>0.20661157024793386</v>
      </c>
    </row>
    <row r="59" spans="1:11" x14ac:dyDescent="0.25">
      <c r="A59" s="264" t="str">
        <f t="shared" si="23"/>
        <v>LC 45/50-Cl1.0</v>
      </c>
      <c r="B59" s="244">
        <v>4.5</v>
      </c>
      <c r="C59" s="244">
        <v>5</v>
      </c>
      <c r="D59" s="244">
        <f t="shared" si="24"/>
        <v>5.3</v>
      </c>
      <c r="E59" s="633">
        <f t="shared" si="25"/>
        <v>0.25533007049589312</v>
      </c>
      <c r="F59" s="633">
        <f t="shared" si="26"/>
        <v>0.17873104934712516</v>
      </c>
      <c r="G59" s="633">
        <f t="shared" si="27"/>
        <v>0.33192909164466106</v>
      </c>
      <c r="H59" s="569">
        <f t="shared" si="28"/>
        <v>7.496526491511184</v>
      </c>
      <c r="I59" s="633">
        <f t="shared" si="29"/>
        <v>0.67272727272727273</v>
      </c>
      <c r="J59" s="633">
        <f t="shared" si="30"/>
        <v>0.20661157024793386</v>
      </c>
    </row>
    <row r="60" spans="1:11" x14ac:dyDescent="0.25">
      <c r="A60" s="264" t="str">
        <f t="shared" si="23"/>
        <v>LC 50/55-Cl1.0</v>
      </c>
      <c r="B60" s="244">
        <v>5</v>
      </c>
      <c r="C60" s="244">
        <v>5.5</v>
      </c>
      <c r="D60" s="244">
        <f t="shared" si="24"/>
        <v>5.8</v>
      </c>
      <c r="E60" s="633">
        <f t="shared" si="25"/>
        <v>0.27390941403821323</v>
      </c>
      <c r="F60" s="633">
        <f t="shared" si="26"/>
        <v>0.19173658982674927</v>
      </c>
      <c r="G60" s="633">
        <f t="shared" si="27"/>
        <v>0.35608223824967722</v>
      </c>
      <c r="H60" s="569">
        <f t="shared" si="28"/>
        <v>7.7020390685154236</v>
      </c>
      <c r="I60" s="633">
        <f t="shared" si="29"/>
        <v>0.67272727272727273</v>
      </c>
      <c r="J60" s="633">
        <f t="shared" si="30"/>
        <v>0.20661157024793386</v>
      </c>
    </row>
    <row r="61" spans="1:11" x14ac:dyDescent="0.25">
      <c r="A61" s="264" t="str">
        <f t="shared" si="23"/>
        <v>LC 60/66-Cl1.0</v>
      </c>
      <c r="B61" s="244">
        <v>6</v>
      </c>
      <c r="C61" s="244">
        <v>6.6000000000000005</v>
      </c>
      <c r="D61" s="244">
        <f t="shared" si="24"/>
        <v>6.8</v>
      </c>
      <c r="E61" s="633">
        <f t="shared" si="25"/>
        <v>0.28350702521677618</v>
      </c>
      <c r="F61" s="633">
        <f t="shared" si="26"/>
        <v>0.19845491765174331</v>
      </c>
      <c r="G61" s="633">
        <f t="shared" si="27"/>
        <v>0.36855913278180907</v>
      </c>
      <c r="H61" s="569">
        <f t="shared" si="28"/>
        <v>7.8954972028179746</v>
      </c>
      <c r="I61" s="633">
        <f t="shared" si="29"/>
        <v>0.67272727272727273</v>
      </c>
      <c r="J61" s="633">
        <f t="shared" si="30"/>
        <v>0.20661157024793386</v>
      </c>
    </row>
    <row r="62" spans="1:11" x14ac:dyDescent="0.25">
      <c r="A62" s="264" t="str">
        <f t="shared" si="23"/>
        <v>LC 70/77-Cl1.0</v>
      </c>
      <c r="B62" s="244">
        <v>7</v>
      </c>
      <c r="C62" s="244">
        <v>7.7</v>
      </c>
      <c r="D62" s="244">
        <f t="shared" si="24"/>
        <v>7.8</v>
      </c>
      <c r="E62" s="633">
        <f t="shared" si="25"/>
        <v>0.29295539212923394</v>
      </c>
      <c r="F62" s="633">
        <f t="shared" si="26"/>
        <v>0.20506877449046373</v>
      </c>
      <c r="G62" s="633">
        <f t="shared" si="27"/>
        <v>0.38084200976800409</v>
      </c>
      <c r="H62" s="569">
        <f t="shared" si="28"/>
        <v>8.0784863033159233</v>
      </c>
      <c r="I62" s="633">
        <f t="shared" si="29"/>
        <v>0.67272727272727273</v>
      </c>
      <c r="J62" s="633">
        <f t="shared" si="30"/>
        <v>0.20661157024793386</v>
      </c>
    </row>
    <row r="63" spans="1:11" x14ac:dyDescent="0.25">
      <c r="A63" s="264" t="str">
        <f t="shared" si="23"/>
        <v>LC 80/88-Cl1.0</v>
      </c>
      <c r="B63" s="244">
        <v>8</v>
      </c>
      <c r="C63" s="244">
        <v>8.8000000000000007</v>
      </c>
      <c r="D63" s="244">
        <f t="shared" si="24"/>
        <v>8.8000000000000007</v>
      </c>
      <c r="H63" s="254"/>
      <c r="I63" s="633">
        <f t="shared" si="29"/>
        <v>0.67272727272727273</v>
      </c>
      <c r="J63" s="633">
        <f t="shared" si="30"/>
        <v>0.20661157024793386</v>
      </c>
    </row>
    <row r="64" spans="1:11" x14ac:dyDescent="0.25">
      <c r="A64" s="264"/>
      <c r="B64" s="244" t="s">
        <v>1763</v>
      </c>
      <c r="H64" s="254"/>
    </row>
    <row r="65" spans="1:11" x14ac:dyDescent="0.25">
      <c r="A65" s="264" t="str">
        <f>"LC "&amp;B65*10&amp;"/"&amp;C65*10&amp;"-"&amp;$B$64</f>
        <v>LC 12/13-Cl1.2</v>
      </c>
      <c r="B65" s="244">
        <v>1.2000000000000002</v>
      </c>
      <c r="C65" s="244">
        <v>1.3</v>
      </c>
      <c r="D65" s="244">
        <f>IF(B65&lt;2,B65+0.6,B65+0.8)</f>
        <v>1.8000000000000003</v>
      </c>
      <c r="H65" s="254"/>
      <c r="I65" s="633">
        <f>0.4+0.6*(K65/2200)</f>
        <v>0.72727272727272729</v>
      </c>
      <c r="J65" s="633">
        <f>(K65/2200)^2</f>
        <v>0.29752066115702475</v>
      </c>
      <c r="K65" s="244">
        <v>1200</v>
      </c>
    </row>
    <row r="66" spans="1:11" x14ac:dyDescent="0.25">
      <c r="A66" s="264" t="str">
        <f t="shared" ref="A66:A76" si="31">"LC "&amp;B66*10&amp;"/"&amp;C66*10&amp;"-"&amp;$B$64</f>
        <v>LC 16/18-Cl1.2</v>
      </c>
      <c r="B66" s="244">
        <v>1.6</v>
      </c>
      <c r="C66" s="244">
        <v>1.8</v>
      </c>
      <c r="D66" s="244">
        <f t="shared" ref="D66:D76" si="32">IF(B66&lt;2,B66+0.6,B66+0.8)</f>
        <v>2.2000000000000002</v>
      </c>
      <c r="E66" s="633">
        <f>E41*I66</f>
        <v>0.16075773812248956</v>
      </c>
      <c r="F66" s="633">
        <f>F41*I66</f>
        <v>0.11253041668574268</v>
      </c>
      <c r="G66" s="633">
        <f>G41*I66</f>
        <v>0.20898505955923641</v>
      </c>
      <c r="H66" s="569">
        <f>H41*J66</f>
        <v>8.9142994873310002</v>
      </c>
      <c r="I66" s="633">
        <f>$I$65</f>
        <v>0.72727272727272729</v>
      </c>
      <c r="J66" s="633">
        <f>$J$65</f>
        <v>0.29752066115702475</v>
      </c>
    </row>
    <row r="67" spans="1:11" x14ac:dyDescent="0.25">
      <c r="A67" s="264" t="str">
        <f t="shared" si="31"/>
        <v>LC 20/22-Cl1.2</v>
      </c>
      <c r="B67" s="244">
        <v>2</v>
      </c>
      <c r="C67" s="244">
        <v>2.2000000000000002</v>
      </c>
      <c r="D67" s="244">
        <f t="shared" si="32"/>
        <v>2.8</v>
      </c>
      <c r="E67" s="633">
        <f t="shared" ref="E67:E75" si="33">E42*I67</f>
        <v>0.18654283054654869</v>
      </c>
      <c r="F67" s="633">
        <f t="shared" ref="F67:F75" si="34">F42*I67</f>
        <v>0.13057998138258406</v>
      </c>
      <c r="G67" s="633">
        <f t="shared" ref="G67" si="35">G42*I67</f>
        <v>0.24250567971051332</v>
      </c>
      <c r="H67" s="569">
        <f>H42*J67</f>
        <v>9.3647026740553407</v>
      </c>
      <c r="I67" s="633">
        <f t="shared" ref="I67:I76" si="36">$I$65</f>
        <v>0.72727272727272729</v>
      </c>
      <c r="J67" s="633">
        <f t="shared" ref="J67:J76" si="37">$J$65</f>
        <v>0.29752066115702475</v>
      </c>
    </row>
    <row r="68" spans="1:11" x14ac:dyDescent="0.25">
      <c r="A68" s="264" t="str">
        <f t="shared" si="31"/>
        <v>LC 25/28-Cl1.2</v>
      </c>
      <c r="B68" s="244">
        <v>2.5</v>
      </c>
      <c r="C68" s="244">
        <v>2.8000000000000003</v>
      </c>
      <c r="D68" s="244">
        <f t="shared" si="32"/>
        <v>3.3</v>
      </c>
      <c r="E68" s="633">
        <f t="shared" si="33"/>
        <v>0.21065222936850103</v>
      </c>
      <c r="F68" s="633">
        <f t="shared" si="34"/>
        <v>0.14745656055795073</v>
      </c>
      <c r="G68" s="633">
        <f t="shared" ref="G68:H68" si="38">G43*I68</f>
        <v>0.27384789817905136</v>
      </c>
      <c r="H68" s="569">
        <f t="shared" si="38"/>
        <v>9.7695574308091597</v>
      </c>
      <c r="I68" s="633">
        <f t="shared" si="36"/>
        <v>0.72727272727272729</v>
      </c>
      <c r="J68" s="633">
        <f t="shared" si="37"/>
        <v>0.29752066115702475</v>
      </c>
    </row>
    <row r="69" spans="1:11" x14ac:dyDescent="0.25">
      <c r="A69" s="264" t="str">
        <f t="shared" si="31"/>
        <v>LC 30/33-Cl1.2</v>
      </c>
      <c r="B69" s="244">
        <v>3</v>
      </c>
      <c r="C69" s="244">
        <v>3.3000000000000003</v>
      </c>
      <c r="D69" s="244">
        <f t="shared" si="32"/>
        <v>3.8</v>
      </c>
      <c r="E69" s="633">
        <f t="shared" si="33"/>
        <v>0.2334518139414718</v>
      </c>
      <c r="F69" s="633">
        <f t="shared" si="34"/>
        <v>0.16341626975903026</v>
      </c>
      <c r="G69" s="633">
        <f t="shared" ref="G69:H69" si="39">G44*I69</f>
        <v>0.30348735812391336</v>
      </c>
      <c r="H69" s="569">
        <f t="shared" si="39"/>
        <v>10.138655067527402</v>
      </c>
      <c r="I69" s="633">
        <f t="shared" si="36"/>
        <v>0.72727272727272729</v>
      </c>
      <c r="J69" s="633">
        <f t="shared" si="37"/>
        <v>0.29752066115702475</v>
      </c>
    </row>
    <row r="70" spans="1:11" x14ac:dyDescent="0.25">
      <c r="A70" s="264" t="str">
        <f t="shared" si="31"/>
        <v>LC 35/38-Cl1.2</v>
      </c>
      <c r="B70" s="244">
        <v>3.5</v>
      </c>
      <c r="C70" s="244">
        <v>3.8000000000000003</v>
      </c>
      <c r="D70" s="244">
        <f t="shared" si="32"/>
        <v>4.3</v>
      </c>
      <c r="E70" s="633">
        <f t="shared" si="33"/>
        <v>0.2551870026076683</v>
      </c>
      <c r="F70" s="633">
        <f t="shared" si="34"/>
        <v>0.17863090182536781</v>
      </c>
      <c r="G70" s="633">
        <f t="shared" ref="G70:H70" si="40">G45*I70</f>
        <v>0.33174310338996882</v>
      </c>
      <c r="H70" s="569">
        <f t="shared" si="40"/>
        <v>10.478815226459824</v>
      </c>
      <c r="I70" s="633">
        <f t="shared" si="36"/>
        <v>0.72727272727272729</v>
      </c>
      <c r="J70" s="633">
        <f t="shared" si="37"/>
        <v>0.29752066115702475</v>
      </c>
    </row>
    <row r="71" spans="1:11" x14ac:dyDescent="0.25">
      <c r="A71" s="264" t="str">
        <f t="shared" si="31"/>
        <v>LC 40/44-Cl1.2</v>
      </c>
      <c r="B71" s="244">
        <v>4</v>
      </c>
      <c r="C71" s="244">
        <v>4.4000000000000004</v>
      </c>
      <c r="D71" s="244">
        <f t="shared" si="32"/>
        <v>4.8</v>
      </c>
      <c r="E71" s="633">
        <f t="shared" si="33"/>
        <v>0.27603250864420875</v>
      </c>
      <c r="F71" s="633">
        <f t="shared" si="34"/>
        <v>0.19322275605094613</v>
      </c>
      <c r="G71" s="633">
        <f t="shared" ref="G71:H71" si="41">G46*I71</f>
        <v>0.35884226123747143</v>
      </c>
      <c r="H71" s="569">
        <f t="shared" si="41"/>
        <v>10.794998147776104</v>
      </c>
      <c r="I71" s="633">
        <f t="shared" si="36"/>
        <v>0.72727272727272729</v>
      </c>
      <c r="J71" s="633">
        <f t="shared" si="37"/>
        <v>0.29752066115702475</v>
      </c>
    </row>
    <row r="72" spans="1:11" x14ac:dyDescent="0.25">
      <c r="A72" s="264" t="str">
        <f t="shared" si="31"/>
        <v>LC 45/50-Cl1.2</v>
      </c>
      <c r="B72" s="244">
        <v>4.5</v>
      </c>
      <c r="C72" s="244">
        <v>5</v>
      </c>
      <c r="D72" s="244">
        <f t="shared" si="32"/>
        <v>5.3</v>
      </c>
      <c r="E72" s="633">
        <f t="shared" si="33"/>
        <v>0.29611828544671703</v>
      </c>
      <c r="F72" s="633">
        <f t="shared" si="34"/>
        <v>0.20728279981270192</v>
      </c>
      <c r="G72" s="633">
        <f t="shared" ref="G72:H72" si="42">G47*I72</f>
        <v>0.38495377108073214</v>
      </c>
      <c r="H72" s="569">
        <f t="shared" si="42"/>
        <v>11.090936258662209</v>
      </c>
      <c r="I72" s="633">
        <f t="shared" si="36"/>
        <v>0.72727272727272729</v>
      </c>
      <c r="J72" s="633">
        <f t="shared" si="37"/>
        <v>0.29752066115702475</v>
      </c>
    </row>
    <row r="73" spans="1:11" x14ac:dyDescent="0.25">
      <c r="A73" s="264" t="str">
        <f t="shared" si="31"/>
        <v>LC 50/55-Cl1.2</v>
      </c>
      <c r="B73" s="244">
        <v>5</v>
      </c>
      <c r="C73" s="244">
        <v>5.5</v>
      </c>
      <c r="D73" s="244">
        <f t="shared" si="32"/>
        <v>5.8</v>
      </c>
      <c r="E73" s="633">
        <f t="shared" si="33"/>
        <v>0.30649408131543371</v>
      </c>
      <c r="F73" s="633">
        <f t="shared" si="34"/>
        <v>0.21454585692080358</v>
      </c>
      <c r="G73" s="633">
        <f t="shared" ref="G73:H73" si="43">G48*I73</f>
        <v>0.39844230571006384</v>
      </c>
      <c r="H73" s="569">
        <f t="shared" si="43"/>
        <v>11.369515972057883</v>
      </c>
      <c r="I73" s="633">
        <f t="shared" si="36"/>
        <v>0.72727272727272729</v>
      </c>
      <c r="J73" s="633">
        <f t="shared" si="37"/>
        <v>0.29752066115702475</v>
      </c>
    </row>
    <row r="74" spans="1:11" x14ac:dyDescent="0.25">
      <c r="A74" s="264" t="str">
        <f t="shared" si="31"/>
        <v>LC 60/66-Cl1.2</v>
      </c>
      <c r="B74" s="244">
        <v>6</v>
      </c>
      <c r="C74" s="244">
        <v>6.6000000000000005</v>
      </c>
      <c r="D74" s="244">
        <f t="shared" si="32"/>
        <v>6.8</v>
      </c>
      <c r="E74" s="633">
        <f t="shared" si="33"/>
        <v>0.31670853203160426</v>
      </c>
      <c r="F74" s="633">
        <f t="shared" si="34"/>
        <v>0.22169597242212297</v>
      </c>
      <c r="G74" s="633">
        <f t="shared" ref="G74:H74" si="44">G49*I74</f>
        <v>0.4117210916410855</v>
      </c>
      <c r="H74" s="569">
        <f t="shared" si="44"/>
        <v>11.633020276774928</v>
      </c>
      <c r="I74" s="633">
        <f t="shared" si="36"/>
        <v>0.72727272727272729</v>
      </c>
      <c r="J74" s="633">
        <f t="shared" si="37"/>
        <v>0.29752066115702475</v>
      </c>
    </row>
    <row r="75" spans="1:11" x14ac:dyDescent="0.25">
      <c r="A75" s="264" t="str">
        <f t="shared" si="31"/>
        <v>LC 70/77-Cl1.2</v>
      </c>
      <c r="B75" s="244">
        <v>7</v>
      </c>
      <c r="C75" s="244">
        <v>7.7</v>
      </c>
      <c r="D75" s="244">
        <f t="shared" si="32"/>
        <v>7.8</v>
      </c>
      <c r="E75" s="633">
        <f t="shared" si="33"/>
        <v>0.33530717451246705</v>
      </c>
      <c r="F75" s="633">
        <f t="shared" si="34"/>
        <v>0.23471502215872692</v>
      </c>
      <c r="G75" s="633">
        <f t="shared" ref="G75:H75" si="45">G50*I75</f>
        <v>0.43589932686620714</v>
      </c>
      <c r="H75" s="569">
        <f t="shared" si="45"/>
        <v>12.1218300846592</v>
      </c>
      <c r="I75" s="633">
        <f t="shared" si="36"/>
        <v>0.72727272727272729</v>
      </c>
      <c r="J75" s="633">
        <f t="shared" si="37"/>
        <v>0.29752066115702475</v>
      </c>
    </row>
    <row r="76" spans="1:11" x14ac:dyDescent="0.25">
      <c r="A76" s="264" t="str">
        <f t="shared" si="31"/>
        <v>LC 80/88-Cl1.2</v>
      </c>
      <c r="B76" s="244">
        <v>8</v>
      </c>
      <c r="C76" s="244">
        <v>8.8000000000000007</v>
      </c>
      <c r="D76" s="244">
        <f t="shared" si="32"/>
        <v>8.8000000000000007</v>
      </c>
      <c r="E76" s="633"/>
      <c r="F76" s="633"/>
      <c r="G76" s="633"/>
      <c r="H76" s="569"/>
      <c r="I76" s="633">
        <f t="shared" si="36"/>
        <v>0.72727272727272729</v>
      </c>
      <c r="J76" s="633">
        <f t="shared" si="37"/>
        <v>0.29752066115702475</v>
      </c>
    </row>
    <row r="77" spans="1:11" x14ac:dyDescent="0.25">
      <c r="A77" s="264"/>
      <c r="B77" s="244" t="s">
        <v>1767</v>
      </c>
      <c r="H77" s="254"/>
    </row>
    <row r="78" spans="1:11" x14ac:dyDescent="0.25">
      <c r="A78" s="264" t="str">
        <f>"LC "&amp;B78*10&amp;"/"&amp;C78*10&amp;"-"&amp;$B$77</f>
        <v>LC 12/13-Cl1.4</v>
      </c>
      <c r="B78" s="244">
        <v>1.2000000000000002</v>
      </c>
      <c r="C78" s="244">
        <v>1.3</v>
      </c>
      <c r="D78" s="244">
        <f>IF(B78&lt;2,B78+0.6,B78+0.8)</f>
        <v>1.8000000000000003</v>
      </c>
      <c r="H78" s="254"/>
      <c r="I78" s="633">
        <f>0.4+0.6*(K78/2200)</f>
        <v>0.78181818181818175</v>
      </c>
      <c r="J78" s="633">
        <f>(K78/2200)^2</f>
        <v>0.4049586776859504</v>
      </c>
      <c r="K78" s="244">
        <v>1400</v>
      </c>
    </row>
    <row r="79" spans="1:11" x14ac:dyDescent="0.25">
      <c r="A79" s="264" t="str">
        <f t="shared" ref="A79:A89" si="46">"LC "&amp;B79*10&amp;"/"&amp;C79*10&amp;"-"&amp;$B$77</f>
        <v>LC 16/18-Cl1.4</v>
      </c>
      <c r="B79" s="244">
        <v>1.6</v>
      </c>
      <c r="C79" s="244">
        <v>1.8</v>
      </c>
      <c r="D79" s="244">
        <f t="shared" ref="D79:D89" si="47">IF(B79&lt;2,B79+0.6,B79+0.8)</f>
        <v>2.2000000000000002</v>
      </c>
      <c r="E79" s="633">
        <f>E41*I79</f>
        <v>0.17281456848167626</v>
      </c>
      <c r="F79" s="633">
        <f>F41*I79</f>
        <v>0.12097019793717337</v>
      </c>
      <c r="G79" s="633">
        <f>G41*I79</f>
        <v>0.22465893902617912</v>
      </c>
      <c r="H79" s="569">
        <f>H41*J79</f>
        <v>12.133352079978307</v>
      </c>
      <c r="I79" s="633">
        <f>$I$78</f>
        <v>0.78181818181818175</v>
      </c>
      <c r="J79" s="633">
        <f>$J$78</f>
        <v>0.4049586776859504</v>
      </c>
    </row>
    <row r="80" spans="1:11" x14ac:dyDescent="0.25">
      <c r="A80" s="264" t="str">
        <f t="shared" si="46"/>
        <v>LC 20/22-Cl1.4</v>
      </c>
      <c r="B80" s="244">
        <v>2</v>
      </c>
      <c r="C80" s="244">
        <v>2.2000000000000002</v>
      </c>
      <c r="D80" s="244">
        <f t="shared" si="47"/>
        <v>2.8</v>
      </c>
      <c r="E80" s="633">
        <f t="shared" ref="E80:E88" si="48">E42*I80</f>
        <v>0.2005335428375398</v>
      </c>
      <c r="F80" s="633">
        <f t="shared" ref="F80:F88" si="49">F42*I80</f>
        <v>0.14037347998627786</v>
      </c>
      <c r="G80" s="633">
        <f t="shared" ref="G80:H80" si="50">G42*I80</f>
        <v>0.26069360568880179</v>
      </c>
      <c r="H80" s="569">
        <f t="shared" si="50"/>
        <v>12.74640086190866</v>
      </c>
      <c r="I80" s="633">
        <f t="shared" ref="I80:I89" si="51">$I$78</f>
        <v>0.78181818181818175</v>
      </c>
      <c r="J80" s="633">
        <f t="shared" ref="J80:J89" si="52">$J$78</f>
        <v>0.4049586776859504</v>
      </c>
    </row>
    <row r="81" spans="1:11" x14ac:dyDescent="0.25">
      <c r="A81" s="264" t="str">
        <f t="shared" si="46"/>
        <v>LC 25/28-Cl1.4</v>
      </c>
      <c r="B81" s="244">
        <v>2.5</v>
      </c>
      <c r="C81" s="244">
        <v>2.8000000000000003</v>
      </c>
      <c r="D81" s="244">
        <f t="shared" si="47"/>
        <v>3.3</v>
      </c>
      <c r="E81" s="633">
        <f t="shared" si="48"/>
        <v>0.22645114657113857</v>
      </c>
      <c r="F81" s="633">
        <f t="shared" si="49"/>
        <v>0.158515802599797</v>
      </c>
      <c r="G81" s="633">
        <f t="shared" ref="G81:H81" si="53">G43*I81</f>
        <v>0.29438649054248017</v>
      </c>
      <c r="H81" s="569">
        <f t="shared" si="53"/>
        <v>13.297453169712469</v>
      </c>
      <c r="I81" s="633">
        <f t="shared" si="51"/>
        <v>0.78181818181818175</v>
      </c>
      <c r="J81" s="633">
        <f t="shared" si="52"/>
        <v>0.4049586776859504</v>
      </c>
    </row>
    <row r="82" spans="1:11" x14ac:dyDescent="0.25">
      <c r="A82" s="264" t="str">
        <f t="shared" si="46"/>
        <v>LC 30/33-Cl1.4</v>
      </c>
      <c r="B82" s="244">
        <v>3</v>
      </c>
      <c r="C82" s="244">
        <v>3.3000000000000003</v>
      </c>
      <c r="D82" s="244">
        <f t="shared" si="47"/>
        <v>3.8</v>
      </c>
      <c r="E82" s="633">
        <f t="shared" si="48"/>
        <v>0.25096069998708215</v>
      </c>
      <c r="F82" s="633">
        <f t="shared" si="49"/>
        <v>0.1756724899909575</v>
      </c>
      <c r="G82" s="633">
        <f t="shared" ref="G82:H82" si="54">G44*I82</f>
        <v>0.32624890998320683</v>
      </c>
      <c r="H82" s="569">
        <f t="shared" si="54"/>
        <v>13.799836064134521</v>
      </c>
      <c r="I82" s="633">
        <f t="shared" si="51"/>
        <v>0.78181818181818175</v>
      </c>
      <c r="J82" s="633">
        <f t="shared" si="52"/>
        <v>0.4049586776859504</v>
      </c>
    </row>
    <row r="83" spans="1:11" x14ac:dyDescent="0.25">
      <c r="A83" s="264" t="str">
        <f t="shared" si="46"/>
        <v>LC 35/38-Cl1.4</v>
      </c>
      <c r="B83" s="244">
        <v>3.5</v>
      </c>
      <c r="C83" s="244">
        <v>3.8000000000000003</v>
      </c>
      <c r="D83" s="244">
        <f t="shared" si="47"/>
        <v>4.3</v>
      </c>
      <c r="E83" s="633">
        <f t="shared" si="48"/>
        <v>0.27432602780324339</v>
      </c>
      <c r="F83" s="633">
        <f t="shared" si="49"/>
        <v>0.19202821946227036</v>
      </c>
      <c r="G83" s="633">
        <f t="shared" ref="G83:H83" si="55">G45*I83</f>
        <v>0.35662383614421644</v>
      </c>
      <c r="H83" s="569">
        <f t="shared" si="55"/>
        <v>14.262831836014762</v>
      </c>
      <c r="I83" s="633">
        <f t="shared" si="51"/>
        <v>0.78181818181818175</v>
      </c>
      <c r="J83" s="633">
        <f t="shared" si="52"/>
        <v>0.4049586776859504</v>
      </c>
    </row>
    <row r="84" spans="1:11" x14ac:dyDescent="0.25">
      <c r="A84" s="264" t="str">
        <f t="shared" si="46"/>
        <v>LC 40/44-Cl1.4</v>
      </c>
      <c r="B84" s="244">
        <v>4</v>
      </c>
      <c r="C84" s="244">
        <v>4.4000000000000004</v>
      </c>
      <c r="D84" s="244">
        <f t="shared" si="47"/>
        <v>4.8</v>
      </c>
      <c r="E84" s="633">
        <f t="shared" si="48"/>
        <v>0.29673494679252438</v>
      </c>
      <c r="F84" s="633">
        <f t="shared" si="49"/>
        <v>0.20771446275476707</v>
      </c>
      <c r="G84" s="633">
        <f t="shared" ref="G84:H84" si="56">G46*I84</f>
        <v>0.38575543083028174</v>
      </c>
      <c r="H84" s="569">
        <f t="shared" si="56"/>
        <v>14.693191923361921</v>
      </c>
      <c r="I84" s="633">
        <f t="shared" si="51"/>
        <v>0.78181818181818175</v>
      </c>
      <c r="J84" s="633">
        <f t="shared" si="52"/>
        <v>0.4049586776859504</v>
      </c>
    </row>
    <row r="85" spans="1:11" x14ac:dyDescent="0.25">
      <c r="A85" s="264" t="str">
        <f t="shared" si="46"/>
        <v>LC 45/50-Cl1.4</v>
      </c>
      <c r="B85" s="244">
        <v>4.5</v>
      </c>
      <c r="C85" s="244">
        <v>5</v>
      </c>
      <c r="D85" s="244">
        <f t="shared" si="47"/>
        <v>5.3</v>
      </c>
      <c r="E85" s="633">
        <f t="shared" si="48"/>
        <v>0.31832715685522078</v>
      </c>
      <c r="F85" s="633">
        <f t="shared" si="49"/>
        <v>0.22282900979865453</v>
      </c>
      <c r="G85" s="633">
        <f t="shared" ref="G85:H85" si="57">G47*I85</f>
        <v>0.41382530391178696</v>
      </c>
      <c r="H85" s="569">
        <f t="shared" si="57"/>
        <v>15.095996574290231</v>
      </c>
      <c r="I85" s="633">
        <f t="shared" si="51"/>
        <v>0.78181818181818175</v>
      </c>
      <c r="J85" s="633">
        <f t="shared" si="52"/>
        <v>0.4049586776859504</v>
      </c>
    </row>
    <row r="86" spans="1:11" x14ac:dyDescent="0.25">
      <c r="A86" s="264" t="str">
        <f t="shared" si="46"/>
        <v>LC 50/55-Cl1.4</v>
      </c>
      <c r="B86" s="244">
        <v>5</v>
      </c>
      <c r="C86" s="244">
        <v>5.5</v>
      </c>
      <c r="D86" s="244">
        <f t="shared" si="47"/>
        <v>5.8</v>
      </c>
      <c r="E86" s="633">
        <f t="shared" si="48"/>
        <v>0.32948113741409119</v>
      </c>
      <c r="F86" s="633">
        <f t="shared" si="49"/>
        <v>0.23063679618986382</v>
      </c>
      <c r="G86" s="633">
        <f t="shared" ref="G86:H86" si="58">G48*I86</f>
        <v>0.4283254786383186</v>
      </c>
      <c r="H86" s="569">
        <f t="shared" si="58"/>
        <v>15.475174517523232</v>
      </c>
      <c r="I86" s="633">
        <f t="shared" si="51"/>
        <v>0.78181818181818175</v>
      </c>
      <c r="J86" s="633">
        <f t="shared" si="52"/>
        <v>0.4049586776859504</v>
      </c>
    </row>
    <row r="87" spans="1:11" x14ac:dyDescent="0.25">
      <c r="A87" s="264" t="str">
        <f t="shared" si="46"/>
        <v>LC 60/66-Cl1.4</v>
      </c>
      <c r="B87" s="244">
        <v>6</v>
      </c>
      <c r="C87" s="244">
        <v>6.6000000000000005</v>
      </c>
      <c r="D87" s="244">
        <f t="shared" si="47"/>
        <v>6.8</v>
      </c>
      <c r="E87" s="633">
        <f t="shared" si="48"/>
        <v>0.34046167193397453</v>
      </c>
      <c r="F87" s="633">
        <f t="shared" si="49"/>
        <v>0.23832317035378217</v>
      </c>
      <c r="G87" s="633">
        <f t="shared" ref="G87:H87" si="59">G49*I87</f>
        <v>0.44260017351416686</v>
      </c>
      <c r="H87" s="569">
        <f t="shared" si="59"/>
        <v>15.833833154499212</v>
      </c>
      <c r="I87" s="633">
        <f t="shared" si="51"/>
        <v>0.78181818181818175</v>
      </c>
      <c r="J87" s="633">
        <f t="shared" si="52"/>
        <v>0.4049586776859504</v>
      </c>
    </row>
    <row r="88" spans="1:11" x14ac:dyDescent="0.25">
      <c r="A88" s="264" t="str">
        <f t="shared" si="46"/>
        <v>LC 70/77-Cl1.4</v>
      </c>
      <c r="B88" s="244">
        <v>7</v>
      </c>
      <c r="C88" s="244">
        <v>7.7</v>
      </c>
      <c r="D88" s="244">
        <f t="shared" si="47"/>
        <v>7.8</v>
      </c>
      <c r="E88" s="633">
        <f t="shared" si="48"/>
        <v>0.36045521260090202</v>
      </c>
      <c r="F88" s="633">
        <f t="shared" si="49"/>
        <v>0.25231864882063137</v>
      </c>
      <c r="G88" s="633">
        <f t="shared" ref="G88:H88" si="60">G50*I88</f>
        <v>0.46859177638117261</v>
      </c>
      <c r="H88" s="569">
        <f t="shared" si="60"/>
        <v>16.49915761523058</v>
      </c>
      <c r="I88" s="633">
        <f t="shared" si="51"/>
        <v>0.78181818181818175</v>
      </c>
      <c r="J88" s="633">
        <f t="shared" si="52"/>
        <v>0.4049586776859504</v>
      </c>
    </row>
    <row r="89" spans="1:11" x14ac:dyDescent="0.25">
      <c r="A89" s="264" t="str">
        <f t="shared" si="46"/>
        <v>LC 80/88-Cl1.4</v>
      </c>
      <c r="B89" s="244">
        <v>8</v>
      </c>
      <c r="C89" s="244">
        <v>8.8000000000000007</v>
      </c>
      <c r="D89" s="244">
        <f t="shared" si="47"/>
        <v>8.8000000000000007</v>
      </c>
      <c r="E89" s="633"/>
      <c r="F89" s="633"/>
      <c r="G89" s="633"/>
      <c r="H89" s="569"/>
      <c r="I89" s="633">
        <f t="shared" si="51"/>
        <v>0.78181818181818175</v>
      </c>
      <c r="J89" s="633">
        <f t="shared" si="52"/>
        <v>0.4049586776859504</v>
      </c>
    </row>
    <row r="90" spans="1:11" x14ac:dyDescent="0.25">
      <c r="A90" s="264"/>
      <c r="B90" s="244" t="s">
        <v>1766</v>
      </c>
      <c r="E90" s="633"/>
      <c r="F90" s="633"/>
      <c r="G90" s="633"/>
      <c r="H90" s="569"/>
    </row>
    <row r="91" spans="1:11" x14ac:dyDescent="0.25">
      <c r="A91" s="264" t="str">
        <f>"LC "&amp;B91*10&amp;"/"&amp;C91*10&amp;"-"&amp;$B$90</f>
        <v>LC 12/13-Cl1.6</v>
      </c>
      <c r="B91" s="244">
        <v>1.2000000000000002</v>
      </c>
      <c r="C91" s="244">
        <v>1.3</v>
      </c>
      <c r="D91" s="244">
        <f>IF(B91&lt;2,B91+0.6,B91+0.8)</f>
        <v>1.8000000000000003</v>
      </c>
      <c r="E91" s="633"/>
      <c r="F91" s="633"/>
      <c r="G91" s="633"/>
      <c r="H91" s="569"/>
      <c r="I91" s="633">
        <f>0.4+0.6*(K91/2200)</f>
        <v>0.83636363636363642</v>
      </c>
      <c r="J91" s="633">
        <f>(K91/2200)^2</f>
        <v>0.52892561983471076</v>
      </c>
      <c r="K91" s="244">
        <v>1600</v>
      </c>
    </row>
    <row r="92" spans="1:11" x14ac:dyDescent="0.25">
      <c r="A92" s="264" t="str">
        <f t="shared" ref="A92:A102" si="61">"LC "&amp;B92*10&amp;"/"&amp;C92*10&amp;"-"&amp;$B$90</f>
        <v>LC 16/18-Cl1.6</v>
      </c>
      <c r="B92" s="244">
        <v>1.6</v>
      </c>
      <c r="C92" s="244">
        <v>1.8</v>
      </c>
      <c r="D92" s="244">
        <f t="shared" ref="D92:D102" si="62">IF(B92&lt;2,B92+0.6,B92+0.8)</f>
        <v>2.2000000000000002</v>
      </c>
      <c r="E92" s="633">
        <f>E41*I92</f>
        <v>0.18487139884086301</v>
      </c>
      <c r="F92" s="633">
        <f>F41*I92</f>
        <v>0.12940997918860409</v>
      </c>
      <c r="G92" s="633">
        <f>G41*I92</f>
        <v>0.24033281849312188</v>
      </c>
      <c r="H92" s="569">
        <f>H41*J92</f>
        <v>15.84764353303289</v>
      </c>
      <c r="I92" s="633">
        <f>$I$91</f>
        <v>0.83636363636363642</v>
      </c>
      <c r="J92" s="633">
        <f>$J$91</f>
        <v>0.52892561983471076</v>
      </c>
    </row>
    <row r="93" spans="1:11" x14ac:dyDescent="0.25">
      <c r="A93" s="264" t="str">
        <f t="shared" si="61"/>
        <v>LC 20/22-Cl1.6</v>
      </c>
      <c r="B93" s="244">
        <v>2</v>
      </c>
      <c r="C93" s="244">
        <v>2.2000000000000002</v>
      </c>
      <c r="D93" s="244">
        <f t="shared" si="62"/>
        <v>2.8</v>
      </c>
      <c r="E93" s="633">
        <f t="shared" ref="E93:E101" si="63">E42*I93</f>
        <v>0.21452425512853099</v>
      </c>
      <c r="F93" s="633">
        <f t="shared" ref="F93:F101" si="64">F42*I93</f>
        <v>0.15016697858997169</v>
      </c>
      <c r="G93" s="633">
        <f t="shared" ref="G93:H93" si="65">G42*I93</f>
        <v>0.27888153166709029</v>
      </c>
      <c r="H93" s="569">
        <f t="shared" si="65"/>
        <v>16.64836030943172</v>
      </c>
      <c r="I93" s="633">
        <f t="shared" ref="I93:I102" si="66">$I$91</f>
        <v>0.83636363636363642</v>
      </c>
      <c r="J93" s="633">
        <f t="shared" ref="J93:J102" si="67">$J$91</f>
        <v>0.52892561983471076</v>
      </c>
    </row>
    <row r="94" spans="1:11" x14ac:dyDescent="0.25">
      <c r="A94" s="264" t="str">
        <f t="shared" si="61"/>
        <v>LC 25/28-Cl1.6</v>
      </c>
      <c r="B94" s="244">
        <v>2.5</v>
      </c>
      <c r="C94" s="244">
        <v>2.8000000000000003</v>
      </c>
      <c r="D94" s="244">
        <f t="shared" si="62"/>
        <v>3.3</v>
      </c>
      <c r="E94" s="633">
        <f t="shared" si="63"/>
        <v>0.2422500637737762</v>
      </c>
      <c r="F94" s="633">
        <f t="shared" si="64"/>
        <v>0.16957504464164333</v>
      </c>
      <c r="G94" s="633">
        <f t="shared" ref="G94:H94" si="68">G43*I94</f>
        <v>0.31492508290590904</v>
      </c>
      <c r="H94" s="569">
        <f t="shared" si="68"/>
        <v>17.368102099216287</v>
      </c>
      <c r="I94" s="633">
        <f t="shared" si="66"/>
        <v>0.83636363636363642</v>
      </c>
      <c r="J94" s="633">
        <f t="shared" si="67"/>
        <v>0.52892561983471076</v>
      </c>
    </row>
    <row r="95" spans="1:11" x14ac:dyDescent="0.25">
      <c r="A95" s="264" t="str">
        <f t="shared" si="61"/>
        <v>LC 30/33-Cl1.6</v>
      </c>
      <c r="B95" s="244">
        <v>3</v>
      </c>
      <c r="C95" s="244">
        <v>3.3000000000000003</v>
      </c>
      <c r="D95" s="244">
        <f t="shared" si="62"/>
        <v>3.8</v>
      </c>
      <c r="E95" s="633">
        <f t="shared" si="63"/>
        <v>0.26846958603269255</v>
      </c>
      <c r="F95" s="633">
        <f t="shared" si="64"/>
        <v>0.18792871022288479</v>
      </c>
      <c r="G95" s="633">
        <f t="shared" ref="G95:H95" si="69">G44*I95</f>
        <v>0.34901046184250034</v>
      </c>
      <c r="H95" s="569">
        <f t="shared" si="69"/>
        <v>18.024275675604272</v>
      </c>
      <c r="I95" s="633">
        <f t="shared" si="66"/>
        <v>0.83636363636363642</v>
      </c>
      <c r="J95" s="633">
        <f t="shared" si="67"/>
        <v>0.52892561983471076</v>
      </c>
    </row>
    <row r="96" spans="1:11" x14ac:dyDescent="0.25">
      <c r="A96" s="264" t="str">
        <f t="shared" si="61"/>
        <v>LC 35/38-Cl1.6</v>
      </c>
      <c r="B96" s="244">
        <v>3.5</v>
      </c>
      <c r="C96" s="244">
        <v>3.8000000000000003</v>
      </c>
      <c r="D96" s="244">
        <f t="shared" si="62"/>
        <v>4.3</v>
      </c>
      <c r="E96" s="633">
        <f t="shared" si="63"/>
        <v>0.29346505299881859</v>
      </c>
      <c r="F96" s="633">
        <f t="shared" si="64"/>
        <v>0.20542553709917299</v>
      </c>
      <c r="G96" s="633">
        <f t="shared" ref="G96:H96" si="70">G45*I96</f>
        <v>0.38150456889846418</v>
      </c>
      <c r="H96" s="569">
        <f t="shared" si="70"/>
        <v>18.629004847039692</v>
      </c>
      <c r="I96" s="633">
        <f t="shared" si="66"/>
        <v>0.83636363636363642</v>
      </c>
      <c r="J96" s="633">
        <f t="shared" si="67"/>
        <v>0.52892561983471076</v>
      </c>
    </row>
    <row r="97" spans="1:11" x14ac:dyDescent="0.25">
      <c r="A97" s="264" t="str">
        <f t="shared" si="61"/>
        <v>LC 40/44-Cl1.6</v>
      </c>
      <c r="B97" s="244">
        <v>4</v>
      </c>
      <c r="C97" s="244">
        <v>4.4000000000000004</v>
      </c>
      <c r="D97" s="244">
        <f t="shared" si="62"/>
        <v>4.8</v>
      </c>
      <c r="E97" s="633">
        <f t="shared" si="63"/>
        <v>0.31743738494084012</v>
      </c>
      <c r="F97" s="633">
        <f t="shared" si="64"/>
        <v>0.22220616945858807</v>
      </c>
      <c r="G97" s="633">
        <f t="shared" ref="G97:H97" si="71">G46*I97</f>
        <v>0.41266860042309211</v>
      </c>
      <c r="H97" s="569">
        <f t="shared" si="71"/>
        <v>19.191107818268634</v>
      </c>
      <c r="I97" s="633">
        <f t="shared" si="66"/>
        <v>0.83636363636363642</v>
      </c>
      <c r="J97" s="633">
        <f t="shared" si="67"/>
        <v>0.52892561983471076</v>
      </c>
    </row>
    <row r="98" spans="1:11" x14ac:dyDescent="0.25">
      <c r="A98" s="264" t="str">
        <f t="shared" si="61"/>
        <v>LC 45/50-Cl1.6</v>
      </c>
      <c r="B98" s="244">
        <v>4.5</v>
      </c>
      <c r="C98" s="244">
        <v>5</v>
      </c>
      <c r="D98" s="244">
        <f t="shared" si="62"/>
        <v>5.3</v>
      </c>
      <c r="E98" s="633">
        <f t="shared" si="63"/>
        <v>0.34053602826372459</v>
      </c>
      <c r="F98" s="633">
        <f t="shared" si="64"/>
        <v>0.23837521978460721</v>
      </c>
      <c r="G98" s="633">
        <f t="shared" ref="G98:H98" si="72">G47*I98</f>
        <v>0.44269683674284194</v>
      </c>
      <c r="H98" s="569">
        <f t="shared" si="72"/>
        <v>19.717220015399487</v>
      </c>
      <c r="I98" s="633">
        <f t="shared" si="66"/>
        <v>0.83636363636363642</v>
      </c>
      <c r="J98" s="633">
        <f t="shared" si="67"/>
        <v>0.52892561983471076</v>
      </c>
    </row>
    <row r="99" spans="1:11" x14ac:dyDescent="0.25">
      <c r="A99" s="264" t="str">
        <f t="shared" si="61"/>
        <v>LC 50/55-Cl1.6</v>
      </c>
      <c r="B99" s="244">
        <v>5</v>
      </c>
      <c r="C99" s="244">
        <v>5.5</v>
      </c>
      <c r="D99" s="244">
        <f t="shared" si="62"/>
        <v>5.8</v>
      </c>
      <c r="E99" s="633">
        <f t="shared" si="63"/>
        <v>0.35246819351274877</v>
      </c>
      <c r="F99" s="633">
        <f t="shared" si="64"/>
        <v>0.24672773545892412</v>
      </c>
      <c r="G99" s="633">
        <f t="shared" ref="G99:H99" si="73">G48*I99</f>
        <v>0.45820865156657342</v>
      </c>
      <c r="H99" s="569">
        <f t="shared" si="73"/>
        <v>20.212472839214019</v>
      </c>
      <c r="I99" s="633">
        <f t="shared" si="66"/>
        <v>0.83636363636363642</v>
      </c>
      <c r="J99" s="633">
        <f t="shared" si="67"/>
        <v>0.52892561983471076</v>
      </c>
    </row>
    <row r="100" spans="1:11" x14ac:dyDescent="0.25">
      <c r="A100" s="264" t="str">
        <f t="shared" si="61"/>
        <v>LC 60/66-Cl1.6</v>
      </c>
      <c r="B100" s="244">
        <v>6</v>
      </c>
      <c r="C100" s="244">
        <v>6.6000000000000005</v>
      </c>
      <c r="D100" s="244">
        <f t="shared" si="62"/>
        <v>6.8</v>
      </c>
      <c r="E100" s="633">
        <f t="shared" si="63"/>
        <v>0.36421481183634491</v>
      </c>
      <c r="F100" s="633">
        <f t="shared" si="64"/>
        <v>0.25495036828544143</v>
      </c>
      <c r="G100" s="633">
        <f t="shared" ref="G100:H100" si="74">G49*I100</f>
        <v>0.47347925538724839</v>
      </c>
      <c r="H100" s="569">
        <f t="shared" si="74"/>
        <v>20.680924936488768</v>
      </c>
      <c r="I100" s="633">
        <f t="shared" si="66"/>
        <v>0.83636363636363642</v>
      </c>
      <c r="J100" s="633">
        <f t="shared" si="67"/>
        <v>0.52892561983471076</v>
      </c>
    </row>
    <row r="101" spans="1:11" x14ac:dyDescent="0.25">
      <c r="A101" s="264" t="str">
        <f t="shared" si="61"/>
        <v>LC 70/77-Cl1.6</v>
      </c>
      <c r="B101" s="244">
        <v>7</v>
      </c>
      <c r="C101" s="244">
        <v>7.7</v>
      </c>
      <c r="D101" s="244">
        <f t="shared" si="62"/>
        <v>7.8</v>
      </c>
      <c r="E101" s="633">
        <f t="shared" si="63"/>
        <v>0.3856032506893371</v>
      </c>
      <c r="F101" s="633">
        <f t="shared" si="64"/>
        <v>0.26992227548253594</v>
      </c>
      <c r="G101" s="633">
        <f t="shared" ref="G101:H101" si="75">G50*I101</f>
        <v>0.50128422589613819</v>
      </c>
      <c r="H101" s="569">
        <f t="shared" si="75"/>
        <v>21.549920150505248</v>
      </c>
      <c r="I101" s="633">
        <f t="shared" si="66"/>
        <v>0.83636363636363642</v>
      </c>
      <c r="J101" s="633">
        <f t="shared" si="67"/>
        <v>0.52892561983471076</v>
      </c>
    </row>
    <row r="102" spans="1:11" x14ac:dyDescent="0.25">
      <c r="A102" s="264" t="str">
        <f t="shared" si="61"/>
        <v>LC 80/88-Cl1.6</v>
      </c>
      <c r="B102" s="244">
        <v>8</v>
      </c>
      <c r="C102" s="244">
        <v>8.8000000000000007</v>
      </c>
      <c r="D102" s="244">
        <f t="shared" si="62"/>
        <v>8.8000000000000007</v>
      </c>
      <c r="E102" s="633"/>
      <c r="F102" s="633"/>
      <c r="G102" s="633"/>
      <c r="H102" s="569"/>
      <c r="I102" s="633">
        <f t="shared" si="66"/>
        <v>0.83636363636363642</v>
      </c>
      <c r="J102" s="633">
        <f t="shared" si="67"/>
        <v>0.52892561983471076</v>
      </c>
    </row>
    <row r="103" spans="1:11" x14ac:dyDescent="0.25">
      <c r="A103" s="264"/>
      <c r="B103" s="244" t="s">
        <v>1765</v>
      </c>
      <c r="E103" s="633"/>
      <c r="F103" s="633"/>
      <c r="G103" s="633"/>
      <c r="H103" s="569"/>
    </row>
    <row r="104" spans="1:11" x14ac:dyDescent="0.25">
      <c r="A104" s="264" t="str">
        <f>"LC "&amp;B104*10&amp;"/"&amp;C104*10&amp;"-"&amp;$B$103</f>
        <v>LC 12/13-Cl1.8</v>
      </c>
      <c r="B104" s="244">
        <v>1.2000000000000002</v>
      </c>
      <c r="C104" s="244">
        <v>1.3</v>
      </c>
      <c r="D104" s="244">
        <f>IF(B104&lt;2,B104+0.6,B104+0.8)</f>
        <v>1.8000000000000003</v>
      </c>
      <c r="E104" s="633"/>
      <c r="F104" s="633"/>
      <c r="G104" s="633"/>
      <c r="H104" s="569"/>
      <c r="I104" s="633">
        <f>0.4+0.6*(K104/2200)</f>
        <v>0.89090909090909087</v>
      </c>
      <c r="J104" s="633">
        <f>(K104/2200)^2</f>
        <v>0.66942148760330589</v>
      </c>
      <c r="K104" s="244">
        <v>1800</v>
      </c>
    </row>
    <row r="105" spans="1:11" x14ac:dyDescent="0.25">
      <c r="A105" s="264" t="str">
        <f t="shared" ref="A105:A115" si="76">"LC "&amp;B105*10&amp;"/"&amp;C105*10&amp;"-"&amp;$B$103</f>
        <v>LC 16/18-Cl1.8</v>
      </c>
      <c r="B105" s="244">
        <v>1.6</v>
      </c>
      <c r="C105" s="244">
        <v>1.8</v>
      </c>
      <c r="D105" s="244">
        <f t="shared" ref="D105:D115" si="77">IF(B105&lt;2,B105+0.6,B105+0.8)</f>
        <v>2.2000000000000002</v>
      </c>
      <c r="E105" s="633">
        <f>E41*I105</f>
        <v>0.19692822920004968</v>
      </c>
      <c r="F105" s="633">
        <f>F41*I105</f>
        <v>0.13784976044003477</v>
      </c>
      <c r="G105" s="633">
        <f>G41*I105</f>
        <v>0.25600669796006459</v>
      </c>
      <c r="H105" s="569">
        <f>H41*J105</f>
        <v>20.057173846494756</v>
      </c>
      <c r="I105" s="633">
        <f>$I$104</f>
        <v>0.89090909090909087</v>
      </c>
      <c r="J105" s="633">
        <f>$J$104</f>
        <v>0.66942148760330589</v>
      </c>
    </row>
    <row r="106" spans="1:11" x14ac:dyDescent="0.25">
      <c r="A106" s="264" t="str">
        <f t="shared" si="76"/>
        <v>LC 20/22-Cl1.8</v>
      </c>
      <c r="B106" s="244">
        <v>2</v>
      </c>
      <c r="C106" s="244">
        <v>2.2000000000000002</v>
      </c>
      <c r="D106" s="244">
        <f t="shared" si="77"/>
        <v>2.8</v>
      </c>
      <c r="E106" s="633">
        <f t="shared" ref="E106:E114" si="78">E42*I106</f>
        <v>0.22851496741952212</v>
      </c>
      <c r="F106" s="633">
        <f t="shared" ref="F106:F114" si="79">F42*I106</f>
        <v>0.15996047719366546</v>
      </c>
      <c r="G106" s="633">
        <f t="shared" ref="G106:H106" si="80">G42*I106</f>
        <v>0.29706945764537879</v>
      </c>
      <c r="H106" s="569">
        <f t="shared" si="80"/>
        <v>21.070581016624523</v>
      </c>
      <c r="I106" s="633">
        <f t="shared" ref="I106:I115" si="81">$I$104</f>
        <v>0.89090909090909087</v>
      </c>
      <c r="J106" s="633">
        <f t="shared" ref="J106:J115" si="82">$J$104</f>
        <v>0.66942148760330589</v>
      </c>
    </row>
    <row r="107" spans="1:11" x14ac:dyDescent="0.25">
      <c r="A107" s="264" t="str">
        <f t="shared" si="76"/>
        <v>LC 25/28-Cl1.8</v>
      </c>
      <c r="B107" s="244">
        <v>2.5</v>
      </c>
      <c r="C107" s="244">
        <v>2.8000000000000003</v>
      </c>
      <c r="D107" s="244">
        <f t="shared" si="77"/>
        <v>3.3</v>
      </c>
      <c r="E107" s="633">
        <f t="shared" si="78"/>
        <v>0.25804898097641377</v>
      </c>
      <c r="F107" s="633">
        <f t="shared" si="79"/>
        <v>0.18063428668348963</v>
      </c>
      <c r="G107" s="633">
        <f t="shared" ref="G107:H107" si="83">G43*I107</f>
        <v>0.33546367526933785</v>
      </c>
      <c r="H107" s="569">
        <f t="shared" si="83"/>
        <v>21.981504219320616</v>
      </c>
      <c r="I107" s="633">
        <f t="shared" si="81"/>
        <v>0.89090909090909087</v>
      </c>
      <c r="J107" s="633">
        <f t="shared" si="82"/>
        <v>0.66942148760330589</v>
      </c>
    </row>
    <row r="108" spans="1:11" x14ac:dyDescent="0.25">
      <c r="A108" s="264" t="str">
        <f t="shared" si="76"/>
        <v>LC 30/33-Cl1.8</v>
      </c>
      <c r="B108" s="244">
        <v>3</v>
      </c>
      <c r="C108" s="244">
        <v>3.3000000000000003</v>
      </c>
      <c r="D108" s="244">
        <f t="shared" si="77"/>
        <v>3.8</v>
      </c>
      <c r="E108" s="633">
        <f t="shared" si="78"/>
        <v>0.28597847207830296</v>
      </c>
      <c r="F108" s="633">
        <f t="shared" si="79"/>
        <v>0.20018493045481206</v>
      </c>
      <c r="G108" s="633">
        <f t="shared" ref="G108:H108" si="84">G44*I108</f>
        <v>0.3717720137017938</v>
      </c>
      <c r="H108" s="569">
        <f t="shared" si="84"/>
        <v>22.811973901936661</v>
      </c>
      <c r="I108" s="633">
        <f t="shared" si="81"/>
        <v>0.89090909090909087</v>
      </c>
      <c r="J108" s="633">
        <f t="shared" si="82"/>
        <v>0.66942148760330589</v>
      </c>
    </row>
    <row r="109" spans="1:11" x14ac:dyDescent="0.25">
      <c r="A109" s="264" t="str">
        <f t="shared" si="76"/>
        <v>LC 35/38-Cl1.8</v>
      </c>
      <c r="B109" s="244">
        <v>3.5</v>
      </c>
      <c r="C109" s="244">
        <v>3.8000000000000003</v>
      </c>
      <c r="D109" s="244">
        <f t="shared" si="77"/>
        <v>4.3</v>
      </c>
      <c r="E109" s="633">
        <f t="shared" si="78"/>
        <v>0.31260407819439368</v>
      </c>
      <c r="F109" s="633">
        <f t="shared" si="79"/>
        <v>0.21882285473607554</v>
      </c>
      <c r="G109" s="633">
        <f t="shared" ref="G109:H109" si="85">G45*I109</f>
        <v>0.40638530165271175</v>
      </c>
      <c r="H109" s="569">
        <f t="shared" si="85"/>
        <v>23.577334259534609</v>
      </c>
      <c r="I109" s="633">
        <f t="shared" si="81"/>
        <v>0.89090909090909087</v>
      </c>
      <c r="J109" s="633">
        <f t="shared" si="82"/>
        <v>0.66942148760330589</v>
      </c>
    </row>
    <row r="110" spans="1:11" x14ac:dyDescent="0.25">
      <c r="A110" s="264" t="str">
        <f t="shared" si="76"/>
        <v>LC 40/44-Cl1.8</v>
      </c>
      <c r="B110" s="244">
        <v>4</v>
      </c>
      <c r="C110" s="244">
        <v>4.4000000000000004</v>
      </c>
      <c r="D110" s="244">
        <f t="shared" si="77"/>
        <v>4.8</v>
      </c>
      <c r="E110" s="633">
        <f t="shared" si="78"/>
        <v>0.33813982308915574</v>
      </c>
      <c r="F110" s="633">
        <f t="shared" si="79"/>
        <v>0.236697876162409</v>
      </c>
      <c r="G110" s="633">
        <f t="shared" ref="G110:H110" si="86">G46*I110</f>
        <v>0.43958177001590243</v>
      </c>
      <c r="H110" s="569">
        <f t="shared" si="86"/>
        <v>24.288745832496243</v>
      </c>
      <c r="I110" s="633">
        <f t="shared" si="81"/>
        <v>0.89090909090909087</v>
      </c>
      <c r="J110" s="633">
        <f t="shared" si="82"/>
        <v>0.66942148760330589</v>
      </c>
    </row>
    <row r="111" spans="1:11" x14ac:dyDescent="0.25">
      <c r="A111" s="264" t="str">
        <f t="shared" si="76"/>
        <v>LC 45/50-Cl1.8</v>
      </c>
      <c r="B111" s="244">
        <v>4.5</v>
      </c>
      <c r="C111" s="244">
        <v>5</v>
      </c>
      <c r="D111" s="244">
        <f t="shared" si="77"/>
        <v>5.3</v>
      </c>
      <c r="E111" s="633">
        <f t="shared" si="78"/>
        <v>0.36274489967222834</v>
      </c>
      <c r="F111" s="633">
        <f t="shared" si="79"/>
        <v>0.25392142977055981</v>
      </c>
      <c r="G111" s="633">
        <f t="shared" ref="G111:H111" si="87">G47*I111</f>
        <v>0.47156836957389681</v>
      </c>
      <c r="H111" s="569">
        <f t="shared" si="87"/>
        <v>24.954606581989978</v>
      </c>
      <c r="I111" s="633">
        <f t="shared" si="81"/>
        <v>0.89090909090909087</v>
      </c>
      <c r="J111" s="633">
        <f t="shared" si="82"/>
        <v>0.66942148760330589</v>
      </c>
    </row>
    <row r="112" spans="1:11" x14ac:dyDescent="0.25">
      <c r="A112" s="264" t="str">
        <f t="shared" si="76"/>
        <v>LC 50/55-Cl1.8</v>
      </c>
      <c r="B112" s="244">
        <v>5</v>
      </c>
      <c r="C112" s="244">
        <v>5.5</v>
      </c>
      <c r="D112" s="244">
        <f t="shared" si="77"/>
        <v>5.8</v>
      </c>
      <c r="E112" s="633">
        <f t="shared" si="78"/>
        <v>0.37545524961140625</v>
      </c>
      <c r="F112" s="633">
        <f t="shared" si="79"/>
        <v>0.26281867472798437</v>
      </c>
      <c r="G112" s="633">
        <f t="shared" ref="G112:H112" si="88">G48*I112</f>
        <v>0.48809182449482819</v>
      </c>
      <c r="H112" s="569">
        <f t="shared" si="88"/>
        <v>25.581410937130244</v>
      </c>
      <c r="I112" s="633">
        <f t="shared" si="81"/>
        <v>0.89090909090909087</v>
      </c>
      <c r="J112" s="633">
        <f t="shared" si="82"/>
        <v>0.66942148760330589</v>
      </c>
    </row>
    <row r="113" spans="1:11" x14ac:dyDescent="0.25">
      <c r="A113" s="264" t="str">
        <f t="shared" si="76"/>
        <v>LC 60/66-Cl1.8</v>
      </c>
      <c r="B113" s="244">
        <v>6</v>
      </c>
      <c r="C113" s="244">
        <v>6.6000000000000005</v>
      </c>
      <c r="D113" s="244">
        <f t="shared" si="77"/>
        <v>6.8</v>
      </c>
      <c r="E113" s="633">
        <f t="shared" si="78"/>
        <v>0.38796795173871518</v>
      </c>
      <c r="F113" s="633">
        <f t="shared" si="79"/>
        <v>0.27157756621710061</v>
      </c>
      <c r="G113" s="633">
        <f t="shared" ref="G113:H113" si="89">G49*I113</f>
        <v>0.50435833726032975</v>
      </c>
      <c r="H113" s="569">
        <f t="shared" si="89"/>
        <v>26.1742956227436</v>
      </c>
      <c r="I113" s="633">
        <f t="shared" si="81"/>
        <v>0.89090909090909087</v>
      </c>
      <c r="J113" s="633">
        <f t="shared" si="82"/>
        <v>0.66942148760330589</v>
      </c>
    </row>
    <row r="114" spans="1:11" x14ac:dyDescent="0.25">
      <c r="A114" s="264" t="str">
        <f t="shared" si="76"/>
        <v>LC 70/77-Cl1.8</v>
      </c>
      <c r="B114" s="244">
        <v>7</v>
      </c>
      <c r="C114" s="244">
        <v>7.7</v>
      </c>
      <c r="D114" s="244">
        <f t="shared" si="77"/>
        <v>7.8</v>
      </c>
      <c r="E114" s="633">
        <f t="shared" si="78"/>
        <v>0.41075128877777206</v>
      </c>
      <c r="F114" s="633">
        <f t="shared" si="79"/>
        <v>0.28752590214444046</v>
      </c>
      <c r="G114" s="633">
        <f t="shared" ref="G114:H114" si="90">G50*I114</f>
        <v>0.53397667541110372</v>
      </c>
      <c r="H114" s="569">
        <f t="shared" si="90"/>
        <v>27.274117690483209</v>
      </c>
      <c r="I114" s="633">
        <f t="shared" si="81"/>
        <v>0.89090909090909087</v>
      </c>
      <c r="J114" s="633">
        <f t="shared" si="82"/>
        <v>0.66942148760330589</v>
      </c>
    </row>
    <row r="115" spans="1:11" x14ac:dyDescent="0.25">
      <c r="A115" s="264" t="str">
        <f t="shared" si="76"/>
        <v>LC 80/88-Cl1.8</v>
      </c>
      <c r="B115" s="244">
        <v>8</v>
      </c>
      <c r="C115" s="244">
        <v>8.8000000000000007</v>
      </c>
      <c r="D115" s="244">
        <f t="shared" si="77"/>
        <v>8.8000000000000007</v>
      </c>
      <c r="E115" s="633"/>
      <c r="F115" s="633"/>
      <c r="G115" s="633"/>
      <c r="H115" s="569"/>
      <c r="I115" s="633">
        <f t="shared" si="81"/>
        <v>0.89090909090909087</v>
      </c>
      <c r="J115" s="633">
        <f t="shared" si="82"/>
        <v>0.66942148760330589</v>
      </c>
    </row>
    <row r="116" spans="1:11" x14ac:dyDescent="0.25">
      <c r="A116" s="264"/>
      <c r="B116" s="244" t="s">
        <v>1764</v>
      </c>
      <c r="E116" s="633"/>
      <c r="F116" s="633"/>
      <c r="G116" s="633"/>
      <c r="H116" s="569"/>
    </row>
    <row r="117" spans="1:11" x14ac:dyDescent="0.25">
      <c r="A117" s="264" t="str">
        <f>"LC "&amp;B117*10&amp;"/"&amp;C117*10&amp;"-"&amp;$B$116</f>
        <v>LC 12/13-Cl2.0</v>
      </c>
      <c r="B117" s="244">
        <v>1.2000000000000002</v>
      </c>
      <c r="C117" s="244">
        <v>1.3</v>
      </c>
      <c r="D117" s="244">
        <f>IF(B117&lt;2,B117+0.6,B117+0.8)</f>
        <v>1.8000000000000003</v>
      </c>
      <c r="E117" s="633"/>
      <c r="F117" s="633"/>
      <c r="G117" s="633"/>
      <c r="H117" s="569"/>
      <c r="I117" s="633">
        <f>0.4+0.6*(K117/2200)</f>
        <v>0.94545454545454544</v>
      </c>
      <c r="J117" s="633">
        <f>(K117/2200)^2</f>
        <v>0.82644628099173545</v>
      </c>
      <c r="K117" s="244">
        <v>2000</v>
      </c>
    </row>
    <row r="118" spans="1:11" x14ac:dyDescent="0.25">
      <c r="A118" s="264" t="str">
        <f t="shared" ref="A118:A128" si="91">"LC "&amp;B118*10&amp;"/"&amp;C118*10&amp;"-"&amp;$B$116</f>
        <v>LC 16/18-Cl2.0</v>
      </c>
      <c r="B118" s="244">
        <v>1.6</v>
      </c>
      <c r="C118" s="244">
        <v>1.8</v>
      </c>
      <c r="D118" s="244">
        <f t="shared" ref="D118:D128" si="92">IF(B118&lt;2,B118+0.6,B118+0.8)</f>
        <v>2.2000000000000002</v>
      </c>
      <c r="E118" s="633">
        <f>E41*I118</f>
        <v>0.20898505955923641</v>
      </c>
      <c r="F118" s="633">
        <f>F41*I118</f>
        <v>0.14628954169146546</v>
      </c>
      <c r="G118" s="633">
        <f>G41*I118</f>
        <v>0.27168057742700735</v>
      </c>
      <c r="H118" s="569">
        <f>H41*J118</f>
        <v>24.761943020363891</v>
      </c>
      <c r="I118" s="633">
        <f>$I$117</f>
        <v>0.94545454545454544</v>
      </c>
      <c r="J118" s="633">
        <f>$J$117</f>
        <v>0.82644628099173545</v>
      </c>
    </row>
    <row r="119" spans="1:11" x14ac:dyDescent="0.25">
      <c r="A119" s="264" t="str">
        <f t="shared" si="91"/>
        <v>LC 20/22-Cl2.0</v>
      </c>
      <c r="B119" s="244">
        <v>2</v>
      </c>
      <c r="C119" s="244">
        <v>2.2000000000000002</v>
      </c>
      <c r="D119" s="244">
        <f t="shared" si="92"/>
        <v>2.8</v>
      </c>
      <c r="E119" s="633">
        <f t="shared" ref="E119:E127" si="93">E42*I119</f>
        <v>0.24250567971051326</v>
      </c>
      <c r="F119" s="633">
        <f t="shared" ref="F119:F127" si="94">F42*I119</f>
        <v>0.16975397579735929</v>
      </c>
      <c r="G119" s="633">
        <f t="shared" ref="G119:H119" si="95">G42*I119</f>
        <v>0.31525738362366729</v>
      </c>
      <c r="H119" s="569">
        <f t="shared" si="95"/>
        <v>26.01306298348706</v>
      </c>
      <c r="I119" s="633">
        <f t="shared" ref="I119:I128" si="96">$I$117</f>
        <v>0.94545454545454544</v>
      </c>
      <c r="J119" s="633">
        <f t="shared" ref="J119:J128" si="97">$J$117</f>
        <v>0.82644628099173545</v>
      </c>
    </row>
    <row r="120" spans="1:11" x14ac:dyDescent="0.25">
      <c r="A120" s="264" t="str">
        <f t="shared" si="91"/>
        <v>LC 25/28-Cl2.0</v>
      </c>
      <c r="B120" s="244">
        <v>2.5</v>
      </c>
      <c r="C120" s="244">
        <v>2.8000000000000003</v>
      </c>
      <c r="D120" s="244">
        <f t="shared" si="92"/>
        <v>3.3</v>
      </c>
      <c r="E120" s="633">
        <f t="shared" si="93"/>
        <v>0.27384789817905131</v>
      </c>
      <c r="F120" s="633">
        <f t="shared" si="94"/>
        <v>0.19169352872533593</v>
      </c>
      <c r="G120" s="633">
        <f t="shared" ref="G120:H120" si="98">G43*I120</f>
        <v>0.35600226763276671</v>
      </c>
      <c r="H120" s="569">
        <f t="shared" si="98"/>
        <v>27.137659530025445</v>
      </c>
      <c r="I120" s="633">
        <f t="shared" si="96"/>
        <v>0.94545454545454544</v>
      </c>
      <c r="J120" s="633">
        <f t="shared" si="97"/>
        <v>0.82644628099173545</v>
      </c>
    </row>
    <row r="121" spans="1:11" x14ac:dyDescent="0.25">
      <c r="A121" s="264" t="str">
        <f t="shared" si="91"/>
        <v>LC 30/33-Cl2.0</v>
      </c>
      <c r="B121" s="244">
        <v>3</v>
      </c>
      <c r="C121" s="244">
        <v>3.3000000000000003</v>
      </c>
      <c r="D121" s="244">
        <f t="shared" si="92"/>
        <v>3.8</v>
      </c>
      <c r="E121" s="633">
        <f t="shared" si="93"/>
        <v>0.30348735812391331</v>
      </c>
      <c r="F121" s="633">
        <f t="shared" si="94"/>
        <v>0.21244115068673933</v>
      </c>
      <c r="G121" s="633">
        <f t="shared" ref="G121:H121" si="99">G44*I121</f>
        <v>0.39453356556108732</v>
      </c>
      <c r="H121" s="569">
        <f t="shared" si="99"/>
        <v>28.162930743131675</v>
      </c>
      <c r="I121" s="633">
        <f t="shared" si="96"/>
        <v>0.94545454545454544</v>
      </c>
      <c r="J121" s="633">
        <f t="shared" si="97"/>
        <v>0.82644628099173545</v>
      </c>
    </row>
    <row r="122" spans="1:11" x14ac:dyDescent="0.25">
      <c r="A122" s="264" t="str">
        <f t="shared" si="91"/>
        <v>LC 35/38-Cl2.0</v>
      </c>
      <c r="B122" s="244">
        <v>3.5</v>
      </c>
      <c r="C122" s="244">
        <v>3.8000000000000003</v>
      </c>
      <c r="D122" s="244">
        <f t="shared" si="92"/>
        <v>4.3</v>
      </c>
      <c r="E122" s="633">
        <f t="shared" si="93"/>
        <v>0.33174310338996876</v>
      </c>
      <c r="F122" s="633">
        <f t="shared" si="94"/>
        <v>0.23222017237297815</v>
      </c>
      <c r="G122" s="633">
        <f t="shared" ref="G122:H122" si="100">G45*I122</f>
        <v>0.43126603440695943</v>
      </c>
      <c r="H122" s="569">
        <f t="shared" si="100"/>
        <v>29.107820073499511</v>
      </c>
      <c r="I122" s="633">
        <f t="shared" si="96"/>
        <v>0.94545454545454544</v>
      </c>
      <c r="J122" s="633">
        <f t="shared" si="97"/>
        <v>0.82644628099173545</v>
      </c>
    </row>
    <row r="123" spans="1:11" x14ac:dyDescent="0.25">
      <c r="A123" s="264" t="str">
        <f t="shared" si="91"/>
        <v>LC 40/44-Cl2.0</v>
      </c>
      <c r="B123" s="244">
        <v>4</v>
      </c>
      <c r="C123" s="244">
        <v>4.4000000000000004</v>
      </c>
      <c r="D123" s="244">
        <f t="shared" si="92"/>
        <v>4.8</v>
      </c>
      <c r="E123" s="633">
        <f t="shared" si="93"/>
        <v>0.35884226123747137</v>
      </c>
      <c r="F123" s="633">
        <f t="shared" si="94"/>
        <v>0.25118958286623</v>
      </c>
      <c r="G123" s="633">
        <f t="shared" ref="G123:H123" si="101">G46*I123</f>
        <v>0.4664949396087128</v>
      </c>
      <c r="H123" s="569">
        <f t="shared" si="101"/>
        <v>29.986105966044736</v>
      </c>
      <c r="I123" s="633">
        <f t="shared" si="96"/>
        <v>0.94545454545454544</v>
      </c>
      <c r="J123" s="633">
        <f t="shared" si="97"/>
        <v>0.82644628099173545</v>
      </c>
    </row>
    <row r="124" spans="1:11" x14ac:dyDescent="0.25">
      <c r="A124" s="264" t="str">
        <f t="shared" si="91"/>
        <v>LC 45/50-Cl2.0</v>
      </c>
      <c r="B124" s="244">
        <v>4.5</v>
      </c>
      <c r="C124" s="244">
        <v>5</v>
      </c>
      <c r="D124" s="244">
        <f t="shared" si="92"/>
        <v>5.3</v>
      </c>
      <c r="E124" s="633">
        <f t="shared" si="93"/>
        <v>0.38495377108073209</v>
      </c>
      <c r="F124" s="633">
        <f t="shared" si="94"/>
        <v>0.2694676397565125</v>
      </c>
      <c r="G124" s="633">
        <f t="shared" ref="G124:H124" si="102">G47*I124</f>
        <v>0.50043990240495173</v>
      </c>
      <c r="H124" s="569">
        <f t="shared" si="102"/>
        <v>30.808156274061695</v>
      </c>
      <c r="I124" s="633">
        <f t="shared" si="96"/>
        <v>0.94545454545454544</v>
      </c>
      <c r="J124" s="633">
        <f t="shared" si="97"/>
        <v>0.82644628099173545</v>
      </c>
    </row>
    <row r="125" spans="1:11" x14ac:dyDescent="0.25">
      <c r="A125" s="264" t="str">
        <f t="shared" si="91"/>
        <v>LC 50/55-Cl2.0</v>
      </c>
      <c r="B125" s="244">
        <v>5</v>
      </c>
      <c r="C125" s="244">
        <v>5.5</v>
      </c>
      <c r="D125" s="244">
        <f t="shared" si="92"/>
        <v>5.8</v>
      </c>
      <c r="E125" s="633">
        <f t="shared" si="93"/>
        <v>0.39844230571006378</v>
      </c>
      <c r="F125" s="633">
        <f t="shared" si="94"/>
        <v>0.27890961399704461</v>
      </c>
      <c r="G125" s="633">
        <f t="shared" ref="G125:H125" si="103">G48*I125</f>
        <v>0.51797499742308295</v>
      </c>
      <c r="H125" s="569">
        <f t="shared" si="103"/>
        <v>31.581988811271898</v>
      </c>
      <c r="I125" s="633">
        <f t="shared" si="96"/>
        <v>0.94545454545454544</v>
      </c>
      <c r="J125" s="633">
        <f t="shared" si="97"/>
        <v>0.82644628099173545</v>
      </c>
    </row>
    <row r="126" spans="1:11" x14ac:dyDescent="0.25">
      <c r="A126" s="264" t="str">
        <f t="shared" si="91"/>
        <v>LC 60/66-Cl2.0</v>
      </c>
      <c r="B126" s="244">
        <v>6</v>
      </c>
      <c r="C126" s="244">
        <v>6.6000000000000005</v>
      </c>
      <c r="D126" s="244">
        <f t="shared" si="92"/>
        <v>6.8</v>
      </c>
      <c r="E126" s="633">
        <f t="shared" si="93"/>
        <v>0.4117210916410855</v>
      </c>
      <c r="F126" s="633">
        <f t="shared" si="94"/>
        <v>0.28820476414875984</v>
      </c>
      <c r="G126" s="633">
        <f t="shared" ref="G126:H126" si="104">G49*I126</f>
        <v>0.53523741913341116</v>
      </c>
      <c r="H126" s="569">
        <f t="shared" si="104"/>
        <v>32.313945213263693</v>
      </c>
      <c r="I126" s="633">
        <f t="shared" si="96"/>
        <v>0.94545454545454544</v>
      </c>
      <c r="J126" s="633">
        <f t="shared" si="97"/>
        <v>0.82644628099173545</v>
      </c>
    </row>
    <row r="127" spans="1:11" x14ac:dyDescent="0.25">
      <c r="A127" s="264" t="str">
        <f t="shared" si="91"/>
        <v>LC 70/77-Cl2.0</v>
      </c>
      <c r="B127" s="244">
        <v>7</v>
      </c>
      <c r="C127" s="244">
        <v>7.7</v>
      </c>
      <c r="D127" s="244">
        <f t="shared" si="92"/>
        <v>7.8</v>
      </c>
      <c r="E127" s="633">
        <f t="shared" si="93"/>
        <v>0.43589932686620714</v>
      </c>
      <c r="F127" s="633">
        <f t="shared" si="94"/>
        <v>0.30512952880634497</v>
      </c>
      <c r="G127" s="633">
        <f t="shared" ref="G127:H127" si="105">G50*I127</f>
        <v>0.56666912492606925</v>
      </c>
      <c r="H127" s="569">
        <f t="shared" si="105"/>
        <v>33.671750235164446</v>
      </c>
      <c r="I127" s="633">
        <f t="shared" si="96"/>
        <v>0.94545454545454544</v>
      </c>
      <c r="J127" s="633">
        <f t="shared" si="97"/>
        <v>0.82644628099173545</v>
      </c>
    </row>
    <row r="128" spans="1:11" ht="15.75" thickBot="1" x14ac:dyDescent="0.3">
      <c r="A128" s="273" t="str">
        <f t="shared" si="91"/>
        <v>LC 80/88-Cl2.0</v>
      </c>
      <c r="B128" s="261">
        <v>8</v>
      </c>
      <c r="C128" s="261">
        <v>8.8000000000000007</v>
      </c>
      <c r="D128" s="261">
        <f t="shared" si="92"/>
        <v>8.8000000000000007</v>
      </c>
      <c r="E128" s="261"/>
      <c r="F128" s="261"/>
      <c r="G128" s="261"/>
      <c r="H128" s="262"/>
      <c r="I128" s="633">
        <f t="shared" si="96"/>
        <v>0.94545454545454544</v>
      </c>
      <c r="J128" s="633">
        <f t="shared" si="97"/>
        <v>0.82644628099173545</v>
      </c>
    </row>
  </sheetData>
  <sheetProtection algorithmName="SHA-512" hashValue="wfPK35Vm5RKnOvg6VDO3AURZsUjRDpuGOonTK13bssL4jhYbag50tRpvojarlv2ij5IpoAykCOHj9nGYIb7pSA==" saltValue="kI5zVloKwKvqQR9u07d57w==" spinCount="100000" sheet="1" objects="1" scenarios="1"/>
  <mergeCells count="6">
    <mergeCell ref="J38:N38"/>
    <mergeCell ref="T2:U2"/>
    <mergeCell ref="A38:A39"/>
    <mergeCell ref="F24:G24"/>
    <mergeCell ref="F23:I23"/>
    <mergeCell ref="H24:I24"/>
  </mergeCells>
  <phoneticPr fontId="70" type="noConversion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1AD10-1AC1-4E8A-B2FB-285EBE5ECB1B}">
  <sheetPr codeName="Feuil2">
    <tabColor rgb="FFFF0000"/>
  </sheetPr>
  <dimension ref="A1:U184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5.85546875" customWidth="1"/>
    <col min="10" max="10" width="13" customWidth="1"/>
    <col min="12" max="12" width="12.5703125" customWidth="1"/>
    <col min="13" max="13" width="13.140625" customWidth="1"/>
    <col min="15" max="15" width="12.140625" customWidth="1"/>
    <col min="16" max="16" width="12.28515625" customWidth="1"/>
    <col min="18" max="18" width="13.42578125" style="64" customWidth="1"/>
    <col min="20" max="20" width="19.42578125" customWidth="1"/>
    <col min="21" max="21" width="11.42578125" style="12"/>
  </cols>
  <sheetData>
    <row r="1" spans="1:21" ht="42.75" customHeight="1" x14ac:dyDescent="0.25">
      <c r="A1" s="1" t="s">
        <v>0</v>
      </c>
      <c r="B1" s="1" t="s">
        <v>1</v>
      </c>
      <c r="C1" s="1126" t="s">
        <v>2</v>
      </c>
      <c r="D1" s="1127"/>
      <c r="E1" s="1127"/>
      <c r="F1" s="1127"/>
      <c r="G1" s="1128"/>
      <c r="H1" s="1" t="s">
        <v>3</v>
      </c>
      <c r="I1" s="2" t="s">
        <v>4</v>
      </c>
      <c r="J1" s="1129" t="s">
        <v>5</v>
      </c>
      <c r="K1" s="1130"/>
      <c r="L1" s="3" t="s">
        <v>6</v>
      </c>
      <c r="M1" s="4" t="s">
        <v>7</v>
      </c>
      <c r="N1" s="2" t="s">
        <v>4</v>
      </c>
      <c r="O1" s="1131" t="s">
        <v>5</v>
      </c>
      <c r="P1" s="1132"/>
      <c r="Q1" s="3" t="s">
        <v>6</v>
      </c>
      <c r="R1" s="4" t="s">
        <v>7</v>
      </c>
      <c r="S1" s="5" t="s">
        <v>8</v>
      </c>
      <c r="T1" s="6" t="s">
        <v>9</v>
      </c>
      <c r="U1"/>
    </row>
    <row r="2" spans="1:21" ht="15.75" thickBot="1" x14ac:dyDescent="0.3">
      <c r="A2" s="7"/>
      <c r="B2" s="7" t="s">
        <v>10</v>
      </c>
      <c r="C2" s="8" t="s">
        <v>11</v>
      </c>
      <c r="D2" s="9" t="s">
        <v>12</v>
      </c>
      <c r="E2" s="9" t="s">
        <v>13</v>
      </c>
      <c r="F2" s="9" t="s">
        <v>14</v>
      </c>
      <c r="G2" s="10" t="s">
        <v>15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28</v>
      </c>
    </row>
    <row r="3" spans="1:21" s="18" customFormat="1" ht="15.75" x14ac:dyDescent="0.25">
      <c r="A3" s="13"/>
      <c r="B3" s="14" t="s">
        <v>29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6"/>
      <c r="U3" s="17"/>
    </row>
    <row r="4" spans="1:21" x14ac:dyDescent="0.25">
      <c r="A4" s="19" t="s">
        <v>30</v>
      </c>
      <c r="B4" s="19">
        <v>6</v>
      </c>
      <c r="C4" s="20">
        <v>80</v>
      </c>
      <c r="D4" s="21">
        <v>46</v>
      </c>
      <c r="E4" s="21">
        <v>3.8</v>
      </c>
      <c r="F4" s="21">
        <v>5.2</v>
      </c>
      <c r="G4" s="22">
        <v>5</v>
      </c>
      <c r="H4" s="19">
        <v>7.64</v>
      </c>
      <c r="I4" s="20">
        <v>80.14</v>
      </c>
      <c r="J4" s="21">
        <v>20.03</v>
      </c>
      <c r="K4" s="21">
        <v>23.22</v>
      </c>
      <c r="L4" s="21">
        <v>3.24</v>
      </c>
      <c r="M4" s="22">
        <v>3.58</v>
      </c>
      <c r="N4" s="20">
        <v>8.48</v>
      </c>
      <c r="O4" s="21">
        <v>3.69</v>
      </c>
      <c r="P4" s="21">
        <v>5.82</v>
      </c>
      <c r="Q4" s="21">
        <v>1.05</v>
      </c>
      <c r="R4" s="22">
        <v>4.7840000000000007</v>
      </c>
      <c r="S4" s="23">
        <f>(0.67*(D4-0.63*F4)*F4^3+0.33*(C4-2*F4)*E4^3+2*(E4/F4)*(0.145+0.1*G4/F4)*(((G4+0.5*E4)^2+(G4+F4)^2-G4^2)/(2*G4+F4))^4)/10000</f>
        <v>0.69840490394336441</v>
      </c>
      <c r="T4" s="24">
        <f>(F4*D4^3*(C4-F4)^2)/24000000</f>
        <v>117.99640957866667</v>
      </c>
    </row>
    <row r="5" spans="1:21" x14ac:dyDescent="0.25">
      <c r="A5" s="19" t="s">
        <v>31</v>
      </c>
      <c r="B5" s="19">
        <v>8.1</v>
      </c>
      <c r="C5" s="20">
        <v>100</v>
      </c>
      <c r="D5" s="21">
        <v>55</v>
      </c>
      <c r="E5" s="21">
        <v>4.0999999999999996</v>
      </c>
      <c r="F5" s="21">
        <v>5.7</v>
      </c>
      <c r="G5" s="22">
        <v>7</v>
      </c>
      <c r="H5" s="19">
        <v>10.3</v>
      </c>
      <c r="I5" s="20">
        <v>171</v>
      </c>
      <c r="J5" s="21">
        <v>34.200000000000003</v>
      </c>
      <c r="K5" s="21">
        <v>39.409999999999997</v>
      </c>
      <c r="L5" s="21">
        <v>4.07</v>
      </c>
      <c r="M5" s="22">
        <v>5.08</v>
      </c>
      <c r="N5" s="20">
        <v>15.92</v>
      </c>
      <c r="O5" s="21">
        <v>5.79</v>
      </c>
      <c r="P5" s="21">
        <v>9.15</v>
      </c>
      <c r="Q5" s="21">
        <v>1.24</v>
      </c>
      <c r="R5" s="22">
        <v>6.27</v>
      </c>
      <c r="S5" s="23">
        <f t="shared" ref="S5:S89" si="0">(0.67*(D5-0.63*F5)*F5^3+0.33*(C5-2*F5)*E5^3+2*(E5/F5)*(0.145+0.1*G5/F5)*(((G5+0.5*E5)^2+(G5+F5)^2-G5^2)/(2*G5+F5))^4)/10000</f>
        <v>1.2031596870098096</v>
      </c>
      <c r="T5" s="24">
        <f t="shared" ref="T5:T89" si="1">(F5*D5^3*(C5-F5)^2)/24000000</f>
        <v>351.37840564062498</v>
      </c>
    </row>
    <row r="6" spans="1:21" x14ac:dyDescent="0.25">
      <c r="A6" s="19" t="s">
        <v>32</v>
      </c>
      <c r="B6" s="19">
        <v>10.4</v>
      </c>
      <c r="C6" s="20">
        <v>120</v>
      </c>
      <c r="D6" s="21">
        <v>64</v>
      </c>
      <c r="E6" s="21">
        <v>4.4000000000000004</v>
      </c>
      <c r="F6" s="21">
        <v>6.3</v>
      </c>
      <c r="G6" s="22">
        <v>7</v>
      </c>
      <c r="H6" s="19">
        <v>13.2</v>
      </c>
      <c r="I6" s="20">
        <v>317.8</v>
      </c>
      <c r="J6" s="21">
        <v>52.96</v>
      </c>
      <c r="K6" s="21">
        <v>60.73</v>
      </c>
      <c r="L6" s="21">
        <v>4.9000000000000004</v>
      </c>
      <c r="M6" s="22">
        <v>6.31</v>
      </c>
      <c r="N6" s="20">
        <v>27.67</v>
      </c>
      <c r="O6" s="21">
        <v>8.65</v>
      </c>
      <c r="P6" s="21">
        <v>13.58</v>
      </c>
      <c r="Q6" s="21">
        <v>1.45</v>
      </c>
      <c r="R6" s="22">
        <v>8.0640000000000001</v>
      </c>
      <c r="S6" s="23">
        <f t="shared" si="0"/>
        <v>1.7374183596568267</v>
      </c>
      <c r="T6" s="24">
        <f t="shared" si="1"/>
        <v>889.590546432</v>
      </c>
    </row>
    <row r="7" spans="1:21" x14ac:dyDescent="0.25">
      <c r="A7" s="19" t="s">
        <v>33</v>
      </c>
      <c r="B7" s="19">
        <v>12.9</v>
      </c>
      <c r="C7" s="20">
        <v>140</v>
      </c>
      <c r="D7" s="21">
        <v>73</v>
      </c>
      <c r="E7" s="21">
        <v>4.7</v>
      </c>
      <c r="F7" s="21">
        <v>6.9</v>
      </c>
      <c r="G7" s="22">
        <v>7</v>
      </c>
      <c r="H7" s="19">
        <v>16.399999999999999</v>
      </c>
      <c r="I7" s="20">
        <v>541.20000000000005</v>
      </c>
      <c r="J7" s="21">
        <v>77.319999999999993</v>
      </c>
      <c r="K7" s="21">
        <v>88.34</v>
      </c>
      <c r="L7" s="21">
        <v>5.74</v>
      </c>
      <c r="M7" s="22">
        <v>7.64</v>
      </c>
      <c r="N7" s="20">
        <v>44.92</v>
      </c>
      <c r="O7" s="21">
        <v>12.31</v>
      </c>
      <c r="P7" s="21">
        <v>19.25</v>
      </c>
      <c r="Q7" s="21">
        <v>1.65</v>
      </c>
      <c r="R7" s="22">
        <v>10.074000000000002</v>
      </c>
      <c r="S7" s="23">
        <f t="shared" si="0"/>
        <v>2.4499871607378241</v>
      </c>
      <c r="T7" s="24">
        <f t="shared" si="1"/>
        <v>1981.3561184188748</v>
      </c>
    </row>
    <row r="8" spans="1:21" x14ac:dyDescent="0.25">
      <c r="A8" s="19" t="s">
        <v>34</v>
      </c>
      <c r="B8" s="19">
        <v>15.8</v>
      </c>
      <c r="C8" s="20">
        <v>160</v>
      </c>
      <c r="D8" s="21">
        <v>82</v>
      </c>
      <c r="E8" s="21">
        <v>5</v>
      </c>
      <c r="F8" s="21">
        <v>7.4</v>
      </c>
      <c r="G8" s="22">
        <v>9</v>
      </c>
      <c r="H8" s="19">
        <v>20.100000000000001</v>
      </c>
      <c r="I8" s="20">
        <v>869.3</v>
      </c>
      <c r="J8" s="21">
        <v>108.7</v>
      </c>
      <c r="K8" s="21">
        <v>123.9</v>
      </c>
      <c r="L8" s="21">
        <v>6.58</v>
      </c>
      <c r="M8" s="22">
        <v>9.66</v>
      </c>
      <c r="N8" s="20">
        <v>68.31</v>
      </c>
      <c r="O8" s="21">
        <v>16.66</v>
      </c>
      <c r="P8" s="21">
        <v>26.1</v>
      </c>
      <c r="Q8" s="21">
        <v>1.84</v>
      </c>
      <c r="R8" s="22">
        <v>12.136000000000001</v>
      </c>
      <c r="S8" s="23">
        <f t="shared" si="0"/>
        <v>3.6087337888998934</v>
      </c>
      <c r="T8" s="24">
        <f t="shared" si="1"/>
        <v>3958.8687387013333</v>
      </c>
    </row>
    <row r="9" spans="1:21" x14ac:dyDescent="0.25">
      <c r="A9" s="19" t="s">
        <v>35</v>
      </c>
      <c r="B9" s="19">
        <v>18.8</v>
      </c>
      <c r="C9" s="20">
        <v>180</v>
      </c>
      <c r="D9" s="21">
        <v>91</v>
      </c>
      <c r="E9" s="21">
        <v>5.3</v>
      </c>
      <c r="F9" s="21">
        <v>8</v>
      </c>
      <c r="G9" s="22">
        <v>9</v>
      </c>
      <c r="H9" s="19">
        <v>23.9</v>
      </c>
      <c r="I9" s="20">
        <v>1317</v>
      </c>
      <c r="J9" s="21">
        <v>146.30000000000001</v>
      </c>
      <c r="K9" s="21">
        <v>166.4</v>
      </c>
      <c r="L9" s="21">
        <v>7.42</v>
      </c>
      <c r="M9" s="22">
        <v>11.25</v>
      </c>
      <c r="N9" s="20">
        <v>100.9</v>
      </c>
      <c r="O9" s="21">
        <v>22.16</v>
      </c>
      <c r="P9" s="21">
        <v>34.6</v>
      </c>
      <c r="Q9" s="21">
        <v>2.0499999999999998</v>
      </c>
      <c r="R9" s="22">
        <v>14.56</v>
      </c>
      <c r="S9" s="23">
        <f t="shared" si="0"/>
        <v>4.7966473662344677</v>
      </c>
      <c r="T9" s="24">
        <f t="shared" si="1"/>
        <v>7431.214821333333</v>
      </c>
    </row>
    <row r="10" spans="1:21" x14ac:dyDescent="0.25">
      <c r="A10" s="19" t="s">
        <v>36</v>
      </c>
      <c r="B10" s="19">
        <v>22.4</v>
      </c>
      <c r="C10" s="20">
        <v>200</v>
      </c>
      <c r="D10" s="21">
        <v>100</v>
      </c>
      <c r="E10" s="21">
        <v>5.6</v>
      </c>
      <c r="F10" s="21">
        <v>8.5</v>
      </c>
      <c r="G10" s="22">
        <v>12</v>
      </c>
      <c r="H10" s="19">
        <v>28.5</v>
      </c>
      <c r="I10" s="20">
        <v>1943</v>
      </c>
      <c r="J10" s="21">
        <v>194.3</v>
      </c>
      <c r="K10" s="21">
        <v>220.6</v>
      </c>
      <c r="L10" s="21">
        <v>8.26</v>
      </c>
      <c r="M10" s="22">
        <v>14</v>
      </c>
      <c r="N10" s="20">
        <v>142.4</v>
      </c>
      <c r="O10" s="21">
        <v>28.47</v>
      </c>
      <c r="P10" s="21">
        <v>44.61</v>
      </c>
      <c r="Q10" s="21">
        <v>2.2400000000000002</v>
      </c>
      <c r="R10" s="22">
        <v>17</v>
      </c>
      <c r="S10" s="23">
        <f t="shared" si="0"/>
        <v>6.988782174306273</v>
      </c>
      <c r="T10" s="24">
        <f t="shared" si="1"/>
        <v>12988.088541666666</v>
      </c>
    </row>
    <row r="11" spans="1:21" x14ac:dyDescent="0.25">
      <c r="A11" s="19" t="s">
        <v>37</v>
      </c>
      <c r="B11" s="19">
        <v>26.2</v>
      </c>
      <c r="C11" s="20">
        <v>220</v>
      </c>
      <c r="D11" s="21">
        <v>110</v>
      </c>
      <c r="E11" s="21">
        <v>5.9</v>
      </c>
      <c r="F11" s="21">
        <v>9.1999999999999993</v>
      </c>
      <c r="G11" s="22">
        <v>12</v>
      </c>
      <c r="H11" s="19">
        <v>33.4</v>
      </c>
      <c r="I11" s="20">
        <v>2772</v>
      </c>
      <c r="J11" s="21">
        <v>252</v>
      </c>
      <c r="K11" s="21">
        <v>285.39999999999998</v>
      </c>
      <c r="L11" s="21">
        <v>9.11</v>
      </c>
      <c r="M11" s="22">
        <v>15.88</v>
      </c>
      <c r="N11" s="20">
        <v>204.9</v>
      </c>
      <c r="O11" s="21">
        <v>37.25</v>
      </c>
      <c r="P11" s="21">
        <v>58.11</v>
      </c>
      <c r="Q11" s="21">
        <v>2.48</v>
      </c>
      <c r="R11" s="22">
        <v>20.239999999999998</v>
      </c>
      <c r="S11" s="23">
        <f t="shared" si="0"/>
        <v>9.0790029789805367</v>
      </c>
      <c r="T11" s="24">
        <f t="shared" si="1"/>
        <v>22672.314338666667</v>
      </c>
    </row>
    <row r="12" spans="1:21" x14ac:dyDescent="0.25">
      <c r="A12" s="19" t="s">
        <v>38</v>
      </c>
      <c r="B12" s="19">
        <v>30.7</v>
      </c>
      <c r="C12" s="20">
        <v>240</v>
      </c>
      <c r="D12" s="21">
        <v>120</v>
      </c>
      <c r="E12" s="21">
        <v>6.2</v>
      </c>
      <c r="F12" s="21">
        <v>9.8000000000000007</v>
      </c>
      <c r="G12" s="22">
        <v>15</v>
      </c>
      <c r="H12" s="19">
        <v>39.119999999999997</v>
      </c>
      <c r="I12" s="20">
        <v>3892</v>
      </c>
      <c r="J12" s="21">
        <v>324.3</v>
      </c>
      <c r="K12" s="21">
        <v>366.6</v>
      </c>
      <c r="L12" s="21">
        <v>9.9700000000000006</v>
      </c>
      <c r="M12" s="22">
        <v>19.14</v>
      </c>
      <c r="N12" s="20">
        <v>283.60000000000002</v>
      </c>
      <c r="O12" s="21">
        <v>47.27</v>
      </c>
      <c r="P12" s="21">
        <v>73.92</v>
      </c>
      <c r="Q12" s="21">
        <v>2.69</v>
      </c>
      <c r="R12" s="22">
        <v>23.52</v>
      </c>
      <c r="S12" s="23">
        <f t="shared" si="0"/>
        <v>12.898014396092313</v>
      </c>
      <c r="T12" s="24">
        <f t="shared" si="1"/>
        <v>37391.183423999995</v>
      </c>
    </row>
    <row r="13" spans="1:21" x14ac:dyDescent="0.25">
      <c r="A13" s="19" t="s">
        <v>39</v>
      </c>
      <c r="B13" s="19">
        <v>36.1</v>
      </c>
      <c r="C13" s="20">
        <v>270</v>
      </c>
      <c r="D13" s="21">
        <v>135</v>
      </c>
      <c r="E13" s="21">
        <v>6.6</v>
      </c>
      <c r="F13" s="21">
        <v>10.199999999999999</v>
      </c>
      <c r="G13" s="22">
        <v>15</v>
      </c>
      <c r="H13" s="19">
        <v>45.94</v>
      </c>
      <c r="I13" s="20">
        <v>5790</v>
      </c>
      <c r="J13" s="21">
        <v>428.9</v>
      </c>
      <c r="K13" s="21">
        <v>484</v>
      </c>
      <c r="L13" s="21">
        <v>11.23</v>
      </c>
      <c r="M13" s="22">
        <v>22.14</v>
      </c>
      <c r="N13" s="20">
        <v>419.9</v>
      </c>
      <c r="O13" s="21">
        <v>62.2</v>
      </c>
      <c r="P13" s="21">
        <v>96.95</v>
      </c>
      <c r="Q13" s="21">
        <v>3.02</v>
      </c>
      <c r="R13" s="22">
        <v>27.54</v>
      </c>
      <c r="S13" s="23">
        <f t="shared" si="0"/>
        <v>15.966359107646754</v>
      </c>
      <c r="T13" s="24">
        <f t="shared" si="1"/>
        <v>70577.867001375009</v>
      </c>
    </row>
    <row r="14" spans="1:21" x14ac:dyDescent="0.25">
      <c r="A14" s="19" t="s">
        <v>40</v>
      </c>
      <c r="B14" s="19">
        <v>42.2</v>
      </c>
      <c r="C14" s="20">
        <v>300</v>
      </c>
      <c r="D14" s="21">
        <v>150</v>
      </c>
      <c r="E14" s="21">
        <v>7.1</v>
      </c>
      <c r="F14" s="21">
        <v>10.7</v>
      </c>
      <c r="G14" s="22">
        <v>15</v>
      </c>
      <c r="H14" s="19">
        <v>53.81</v>
      </c>
      <c r="I14" s="20">
        <v>8356</v>
      </c>
      <c r="J14" s="21">
        <v>557.1</v>
      </c>
      <c r="K14" s="21">
        <v>628.4</v>
      </c>
      <c r="L14" s="21">
        <v>12.46</v>
      </c>
      <c r="M14" s="22">
        <v>25.68</v>
      </c>
      <c r="N14" s="20">
        <v>603.79999999999995</v>
      </c>
      <c r="O14" s="21">
        <v>80.5</v>
      </c>
      <c r="P14" s="21">
        <v>125.2</v>
      </c>
      <c r="Q14" s="21">
        <v>3.35</v>
      </c>
      <c r="R14" s="22">
        <v>32.1</v>
      </c>
      <c r="S14" s="23">
        <f t="shared" si="0"/>
        <v>20.143757256284992</v>
      </c>
      <c r="T14" s="24">
        <f t="shared" si="1"/>
        <v>125934.052921875</v>
      </c>
    </row>
    <row r="15" spans="1:21" x14ac:dyDescent="0.25">
      <c r="A15" s="19" t="s">
        <v>41</v>
      </c>
      <c r="B15" s="19">
        <v>49.1</v>
      </c>
      <c r="C15" s="20">
        <v>330</v>
      </c>
      <c r="D15" s="21">
        <v>160</v>
      </c>
      <c r="E15" s="21">
        <v>7.5</v>
      </c>
      <c r="F15" s="21">
        <v>11.5</v>
      </c>
      <c r="G15" s="22">
        <v>18</v>
      </c>
      <c r="H15" s="19">
        <v>62.61</v>
      </c>
      <c r="I15" s="20">
        <v>11770</v>
      </c>
      <c r="J15" s="21">
        <v>713.1</v>
      </c>
      <c r="K15" s="21">
        <v>804.3</v>
      </c>
      <c r="L15" s="21">
        <v>13.71</v>
      </c>
      <c r="M15" s="22">
        <v>30.81</v>
      </c>
      <c r="N15" s="20">
        <v>788.1</v>
      </c>
      <c r="O15" s="21">
        <v>98.52</v>
      </c>
      <c r="P15" s="21">
        <v>153.69999999999999</v>
      </c>
      <c r="Q15" s="21">
        <v>3.55</v>
      </c>
      <c r="R15" s="22">
        <v>36.799999999999997</v>
      </c>
      <c r="S15" s="23">
        <f t="shared" si="0"/>
        <v>28.179558507703348</v>
      </c>
      <c r="T15" s="24">
        <f t="shared" si="1"/>
        <v>199097.32266666667</v>
      </c>
    </row>
    <row r="16" spans="1:21" x14ac:dyDescent="0.25">
      <c r="A16" s="19" t="s">
        <v>42</v>
      </c>
      <c r="B16" s="19">
        <v>57.1</v>
      </c>
      <c r="C16" s="20">
        <v>360</v>
      </c>
      <c r="D16" s="21">
        <v>170</v>
      </c>
      <c r="E16" s="21">
        <v>8</v>
      </c>
      <c r="F16" s="21">
        <v>12.7</v>
      </c>
      <c r="G16" s="22">
        <v>18</v>
      </c>
      <c r="H16" s="19">
        <v>72.73</v>
      </c>
      <c r="I16" s="20">
        <v>16270</v>
      </c>
      <c r="J16" s="21">
        <v>903.6</v>
      </c>
      <c r="K16" s="21">
        <v>1019</v>
      </c>
      <c r="L16" s="21">
        <v>14.95</v>
      </c>
      <c r="M16" s="22">
        <v>35.14</v>
      </c>
      <c r="N16" s="20">
        <v>1043</v>
      </c>
      <c r="O16" s="21">
        <v>122.8</v>
      </c>
      <c r="P16" s="21">
        <v>191.1</v>
      </c>
      <c r="Q16" s="21">
        <v>3.79</v>
      </c>
      <c r="R16" s="22">
        <v>43.18</v>
      </c>
      <c r="S16" s="23">
        <f t="shared" si="0"/>
        <v>37.374434630303199</v>
      </c>
      <c r="T16" s="24">
        <f t="shared" si="1"/>
        <v>313580.32796995837</v>
      </c>
    </row>
    <row r="17" spans="1:21" x14ac:dyDescent="0.25">
      <c r="A17" s="19" t="s">
        <v>43</v>
      </c>
      <c r="B17" s="19">
        <v>66.3</v>
      </c>
      <c r="C17" s="20">
        <v>400</v>
      </c>
      <c r="D17" s="21">
        <v>180</v>
      </c>
      <c r="E17" s="21">
        <v>8.6</v>
      </c>
      <c r="F17" s="21">
        <v>13.5</v>
      </c>
      <c r="G17" s="22">
        <v>21</v>
      </c>
      <c r="H17" s="19">
        <v>84.46</v>
      </c>
      <c r="I17" s="20">
        <v>23130</v>
      </c>
      <c r="J17" s="21">
        <v>1156</v>
      </c>
      <c r="K17" s="21">
        <v>1307</v>
      </c>
      <c r="L17" s="21">
        <v>16.55</v>
      </c>
      <c r="M17" s="22">
        <v>42.69</v>
      </c>
      <c r="N17" s="20">
        <v>1318</v>
      </c>
      <c r="O17" s="21">
        <v>146.4</v>
      </c>
      <c r="P17" s="21">
        <v>229</v>
      </c>
      <c r="Q17" s="21">
        <v>3.95</v>
      </c>
      <c r="R17" s="22">
        <v>48.6</v>
      </c>
      <c r="S17" s="23">
        <f t="shared" si="0"/>
        <v>51.137036586288559</v>
      </c>
      <c r="T17" s="24">
        <f t="shared" si="1"/>
        <v>490048.47112499998</v>
      </c>
    </row>
    <row r="18" spans="1:21" x14ac:dyDescent="0.25">
      <c r="A18" s="19" t="s">
        <v>44</v>
      </c>
      <c r="B18" s="19">
        <v>77.599999999999994</v>
      </c>
      <c r="C18" s="20">
        <v>450</v>
      </c>
      <c r="D18" s="21">
        <v>190</v>
      </c>
      <c r="E18" s="21">
        <v>9.4</v>
      </c>
      <c r="F18" s="21">
        <v>14.6</v>
      </c>
      <c r="G18" s="22">
        <v>21</v>
      </c>
      <c r="H18" s="19">
        <v>98.82</v>
      </c>
      <c r="I18" s="20">
        <v>33740</v>
      </c>
      <c r="J18" s="21">
        <v>1500</v>
      </c>
      <c r="K18" s="21">
        <v>1702</v>
      </c>
      <c r="L18" s="21">
        <v>18.48</v>
      </c>
      <c r="M18" s="22">
        <v>50.85</v>
      </c>
      <c r="N18" s="20">
        <v>1676</v>
      </c>
      <c r="O18" s="21">
        <v>176.4</v>
      </c>
      <c r="P18" s="21">
        <v>276.39999999999998</v>
      </c>
      <c r="Q18" s="21">
        <v>4.12</v>
      </c>
      <c r="R18" s="22">
        <v>55.48</v>
      </c>
      <c r="S18" s="23">
        <f t="shared" si="0"/>
        <v>66.945043883850715</v>
      </c>
      <c r="T18" s="24">
        <f t="shared" si="1"/>
        <v>791005.06853433314</v>
      </c>
    </row>
    <row r="19" spans="1:21" x14ac:dyDescent="0.25">
      <c r="A19" s="19" t="s">
        <v>45</v>
      </c>
      <c r="B19" s="19">
        <v>90.7</v>
      </c>
      <c r="C19" s="20">
        <v>500</v>
      </c>
      <c r="D19" s="21">
        <v>200</v>
      </c>
      <c r="E19" s="21">
        <v>10.199999999999999</v>
      </c>
      <c r="F19" s="21">
        <v>16</v>
      </c>
      <c r="G19" s="22">
        <v>21</v>
      </c>
      <c r="H19" s="19">
        <v>115.5</v>
      </c>
      <c r="I19" s="20">
        <v>48200</v>
      </c>
      <c r="J19" s="21">
        <v>1928</v>
      </c>
      <c r="K19" s="21">
        <v>2194</v>
      </c>
      <c r="L19" s="21">
        <v>20.43</v>
      </c>
      <c r="M19" s="22">
        <v>59.87</v>
      </c>
      <c r="N19" s="20">
        <v>2142</v>
      </c>
      <c r="O19" s="21">
        <v>214.2</v>
      </c>
      <c r="P19" s="21">
        <v>335.9</v>
      </c>
      <c r="Q19" s="21">
        <v>4.3099999999999996</v>
      </c>
      <c r="R19" s="22">
        <v>64</v>
      </c>
      <c r="S19" s="23">
        <f t="shared" si="0"/>
        <v>89.380812500482236</v>
      </c>
      <c r="T19" s="24">
        <f t="shared" si="1"/>
        <v>1249365.3333333333</v>
      </c>
    </row>
    <row r="20" spans="1:21" x14ac:dyDescent="0.25">
      <c r="A20" s="19" t="s">
        <v>46</v>
      </c>
      <c r="B20" s="19">
        <v>106</v>
      </c>
      <c r="C20" s="20">
        <v>550</v>
      </c>
      <c r="D20" s="21">
        <v>210</v>
      </c>
      <c r="E20" s="21">
        <v>11.1</v>
      </c>
      <c r="F20" s="21">
        <v>17.2</v>
      </c>
      <c r="G20" s="22">
        <v>24</v>
      </c>
      <c r="H20" s="19">
        <v>134.4</v>
      </c>
      <c r="I20" s="20">
        <v>67120</v>
      </c>
      <c r="J20" s="21">
        <v>2441</v>
      </c>
      <c r="K20" s="21">
        <v>2787</v>
      </c>
      <c r="L20" s="21">
        <v>22.35</v>
      </c>
      <c r="M20" s="22">
        <v>72.34</v>
      </c>
      <c r="N20" s="20">
        <v>2668</v>
      </c>
      <c r="O20" s="21">
        <v>254.1</v>
      </c>
      <c r="P20" s="21">
        <v>400.5</v>
      </c>
      <c r="Q20" s="21">
        <v>4.45</v>
      </c>
      <c r="R20" s="22">
        <v>72.239999999999995</v>
      </c>
      <c r="S20" s="23">
        <f t="shared" si="0"/>
        <v>123.3385922267821</v>
      </c>
      <c r="T20" s="24">
        <f t="shared" si="1"/>
        <v>1884098.1438719996</v>
      </c>
    </row>
    <row r="21" spans="1:21" ht="15.75" thickBot="1" x14ac:dyDescent="0.3">
      <c r="A21" s="25" t="s">
        <v>47</v>
      </c>
      <c r="B21" s="25">
        <v>122</v>
      </c>
      <c r="C21" s="26">
        <v>600</v>
      </c>
      <c r="D21" s="27">
        <v>220</v>
      </c>
      <c r="E21" s="27">
        <v>12</v>
      </c>
      <c r="F21" s="27">
        <v>19</v>
      </c>
      <c r="G21" s="28">
        <v>24</v>
      </c>
      <c r="H21" s="25">
        <v>156</v>
      </c>
      <c r="I21" s="26">
        <v>92080</v>
      </c>
      <c r="J21" s="27">
        <v>3069</v>
      </c>
      <c r="K21" s="27">
        <v>3512</v>
      </c>
      <c r="L21" s="27">
        <v>24.3</v>
      </c>
      <c r="M21" s="28">
        <v>83.78</v>
      </c>
      <c r="N21" s="26">
        <v>3387</v>
      </c>
      <c r="O21" s="27">
        <v>307.89999999999998</v>
      </c>
      <c r="P21" s="27">
        <v>485.6</v>
      </c>
      <c r="Q21" s="27">
        <v>4.66</v>
      </c>
      <c r="R21" s="28">
        <v>83.6</v>
      </c>
      <c r="S21" s="23">
        <f t="shared" si="0"/>
        <v>165.56865441713069</v>
      </c>
      <c r="T21" s="24">
        <f t="shared" si="1"/>
        <v>2845526.7096666666</v>
      </c>
    </row>
    <row r="22" spans="1:21" s="18" customFormat="1" ht="15.75" x14ac:dyDescent="0.25">
      <c r="A22" s="13"/>
      <c r="B22" s="14" t="s">
        <v>48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29"/>
      <c r="U22" s="17"/>
    </row>
    <row r="23" spans="1:21" x14ac:dyDescent="0.25">
      <c r="A23" s="19" t="s">
        <v>49</v>
      </c>
      <c r="B23" s="30">
        <f>7.85*H23*0.1</f>
        <v>5.004690441733004</v>
      </c>
      <c r="C23" s="20">
        <v>78</v>
      </c>
      <c r="D23" s="21">
        <v>46</v>
      </c>
      <c r="E23" s="21">
        <v>3.3</v>
      </c>
      <c r="F23" s="21">
        <v>4.2</v>
      </c>
      <c r="G23" s="22">
        <v>5</v>
      </c>
      <c r="H23" s="31">
        <f>((C23-2*F23)*E23+2*D23*F23+(2*G23)^2-PI()*G23^2)*0.01</f>
        <v>6.3754018366025527</v>
      </c>
      <c r="I23" s="32">
        <f>0.0001*(C23^3*E23/12+(D23-F23)*F23*(C23-F23)^2/2+F23^3*(D23-E23)/6+G23^2*(4-PI())*(0.5*C23-F23-G23*(1-2/(12-3*PI())))^2+4*G23^4*(1/3-PI()/16-1/(9*(4-PI()))))</f>
        <v>63.348419044552955</v>
      </c>
      <c r="J23" s="33">
        <f>I23/(C23*0.5*0.1)</f>
        <v>16.243184370398193</v>
      </c>
      <c r="K23" s="34">
        <f>((E23*C23^2)/4+(D23-E23)*(C23-F23)*F23+((C23-2*F23)*(4-PI())*G23^2/2)+((3*PI()-10)*3)/3)*0.001</f>
        <v>19.000831169337648</v>
      </c>
      <c r="L23" s="34">
        <f>SQRT(I23/H23)</f>
        <v>3.1522024978034975</v>
      </c>
      <c r="M23" s="35">
        <f>H23-(2*D23*F23-(E23+2*G23)*F23)*0.01</f>
        <v>3.0700018366025525</v>
      </c>
      <c r="N23" s="36">
        <f>0.0001*(C23*E23^3/12+(D23-F23)*F23*(D23+F23)^2/8+F23*(D23-E23)^3/24+G23^2*(4-PI())*(0.5*E23-G23*(1-2/(12-3*PI())))^2+4*G23^4*(1/3-PI()/16-1/(9*(4-PI()))))</f>
        <v>6.9185365884003831</v>
      </c>
      <c r="O23" s="34">
        <f>N23/(D23*0.5*0.1)</f>
        <v>3.0080593862610359</v>
      </c>
      <c r="P23" s="34">
        <f>0.001*(D23^2*F23/2+((C23-2*F23)*E23^2)/4+G23^3*(10/3-PI())+(2-PI()/2)*E23*G23^2)</f>
        <v>4.6924628880073636</v>
      </c>
      <c r="Q23" s="34">
        <f>SQRT(N23/H23)</f>
        <v>1.0417256059953579</v>
      </c>
      <c r="R23" s="35">
        <f>0.01*2*D23*E23</f>
        <v>3.036</v>
      </c>
      <c r="S23" s="23">
        <f>(0.67*(D23-0.63*F23)*F23^3+0.33*(C23-2*F23)*E23^3+2*(E23/F23)*(0.145+0.1*G23/F23)*(((G23+0.5*E23)^2+(G23+F23)^2-G23^2)/(2*G23+F23))^4)/10000</f>
        <v>0.41650168285892725</v>
      </c>
      <c r="T23" s="24">
        <f>(F23*D23^3*(C23-F23)^2)/24000000</f>
        <v>92.773569671999994</v>
      </c>
    </row>
    <row r="24" spans="1:21" x14ac:dyDescent="0.25">
      <c r="A24" s="19" t="s">
        <v>50</v>
      </c>
      <c r="B24" s="30">
        <f t="shared" ref="B24:B40" si="2">7.85*H24*0.1</f>
        <v>6.8924723857966859</v>
      </c>
      <c r="C24" s="20">
        <v>98</v>
      </c>
      <c r="D24" s="21">
        <v>55</v>
      </c>
      <c r="E24" s="21">
        <v>3.6</v>
      </c>
      <c r="F24" s="21">
        <v>4.7</v>
      </c>
      <c r="G24" s="22">
        <v>7</v>
      </c>
      <c r="H24" s="31">
        <f t="shared" ref="H24:H40" si="3">((C24-2*F24)*E24+2*D24*F24+(2*G24)^2-PI()*G24^2)*0.01</f>
        <v>8.7802195997410006</v>
      </c>
      <c r="I24" s="32">
        <f t="shared" ref="I24:I40" si="4">0.0001*(C24^3*E24/12+(D24-F24)*F24*(C24-F24)^2/2+F24^3*(D24-E24)/6+G24^2*(4-PI())*(0.5*C24-F24-G24*(1-2/(12-3*PI())))^2+4*G24^4*(1/3-PI()/16-1/(9*(4-PI()))))</f>
        <v>138.91030494520484</v>
      </c>
      <c r="J24" s="33">
        <f t="shared" ref="J24:J40" si="5">I24/(C24*0.5*0.1)</f>
        <v>28.349041825552007</v>
      </c>
      <c r="K24" s="34">
        <f t="shared" ref="K24:K40" si="6">((E24*C24^2)/4+(D24-E24)*(C24-F24)*F24+((C24-2*F24)*(4-PI())*G24^2/2)+((3*PI()-10)*3)/3)*0.001</f>
        <v>33.045783604813408</v>
      </c>
      <c r="L24" s="34">
        <f t="shared" ref="L24:L40" si="7">SQRT(I24/H24)</f>
        <v>3.9775398856249331</v>
      </c>
      <c r="M24" s="35">
        <f t="shared" ref="M24:M40" si="8">H24-(2*D24*F24-(E24+2*G24)*F24)*0.01</f>
        <v>4.4374195997410011</v>
      </c>
      <c r="N24" s="36">
        <f t="shared" ref="N24:N40" si="9">0.0001*(C24*E24^3/12+(D24-F24)*F24*(D24+F24)^2/8+F24*(D24-E24)^3/24+G24^2*(4-PI())*(0.5*E24-G24*(1-2/(12-3*PI())))^2+4*G24^4*(1/3-PI()/16-1/(9*(4-PI()))))</f>
        <v>13.237268205321575</v>
      </c>
      <c r="O24" s="34">
        <f t="shared" ref="O24:O40" si="10">N24/(D24*0.5*0.1)</f>
        <v>4.8135520746623905</v>
      </c>
      <c r="P24" s="34">
        <f t="shared" ref="P24:P40" si="11">0.001*(D24^2*F24/2+((C24-2*F24)*E24^2)/4+G24^3*(10/3-PI())+(2-PI()/2)*E24*G24^2)</f>
        <v>7.5372925811054152</v>
      </c>
      <c r="Q24" s="34">
        <f t="shared" ref="Q24:Q40" si="12">SQRT(N24/H24)</f>
        <v>1.2278533377728318</v>
      </c>
      <c r="R24" s="35">
        <f t="shared" ref="R24:R40" si="13">0.01*2*D24*E24</f>
        <v>3.9600000000000004</v>
      </c>
      <c r="S24" s="23">
        <f t="shared" ref="S24:S40" si="14">(0.67*(D24-0.63*F24)*F24^3+0.33*(C24-2*F24)*E24^3+2*(E24/F24)*(0.145+0.1*G24/F24)*(((G24+0.5*E24)^2+(G24+F24)^2-G24^2)/(2*G24+F24))^4)/10000</f>
        <v>0.77352707296777246</v>
      </c>
      <c r="T24" s="24">
        <f t="shared" ref="T24:T40" si="15">(F24*D24^3*(C24-F24)^2)/24000000</f>
        <v>283.62073110937501</v>
      </c>
    </row>
    <row r="25" spans="1:21" x14ac:dyDescent="0.25">
      <c r="A25" s="19" t="s">
        <v>51</v>
      </c>
      <c r="B25" s="30">
        <f t="shared" si="2"/>
        <v>8.6584083857966849</v>
      </c>
      <c r="C25" s="20">
        <v>117.6</v>
      </c>
      <c r="D25" s="21">
        <v>64</v>
      </c>
      <c r="E25" s="21">
        <v>3.8</v>
      </c>
      <c r="F25" s="21">
        <v>5.0999999999999996</v>
      </c>
      <c r="G25" s="22">
        <v>7</v>
      </c>
      <c r="H25" s="31">
        <f t="shared" si="3"/>
        <v>11.029819599741</v>
      </c>
      <c r="I25" s="32">
        <f t="shared" si="4"/>
        <v>253.16622297475982</v>
      </c>
      <c r="J25" s="33">
        <f t="shared" si="5"/>
        <v>43.055480097748273</v>
      </c>
      <c r="K25" s="34">
        <f t="shared" si="6"/>
        <v>49.936174028569944</v>
      </c>
      <c r="L25" s="34">
        <f t="shared" si="7"/>
        <v>4.7909173254973281</v>
      </c>
      <c r="M25" s="35">
        <f t="shared" si="8"/>
        <v>5.4096195997410002</v>
      </c>
      <c r="N25" s="36">
        <f t="shared" si="9"/>
        <v>22.626364820944236</v>
      </c>
      <c r="O25" s="34">
        <f t="shared" si="10"/>
        <v>7.0707390065450735</v>
      </c>
      <c r="P25" s="34">
        <f t="shared" si="11"/>
        <v>10.978198777102824</v>
      </c>
      <c r="Q25" s="34">
        <f t="shared" si="12"/>
        <v>1.4322643691326233</v>
      </c>
      <c r="R25" s="35">
        <f t="shared" si="13"/>
        <v>4.8639999999999999</v>
      </c>
      <c r="S25" s="23">
        <f t="shared" si="14"/>
        <v>1.0422755395467032</v>
      </c>
      <c r="T25" s="24">
        <f t="shared" si="15"/>
        <v>705.02399999999989</v>
      </c>
    </row>
    <row r="26" spans="1:21" x14ac:dyDescent="0.25">
      <c r="A26" s="19" t="s">
        <v>52</v>
      </c>
      <c r="B26" s="30">
        <f t="shared" si="2"/>
        <v>10.512892385796684</v>
      </c>
      <c r="C26" s="20">
        <v>137.4</v>
      </c>
      <c r="D26" s="21">
        <v>73</v>
      </c>
      <c r="E26" s="21">
        <v>3.8</v>
      </c>
      <c r="F26" s="21">
        <v>5.6</v>
      </c>
      <c r="G26" s="22">
        <v>7</v>
      </c>
      <c r="H26" s="31">
        <f t="shared" si="3"/>
        <v>13.392219599740999</v>
      </c>
      <c r="I26" s="32">
        <f t="shared" si="4"/>
        <v>426.10905116597706</v>
      </c>
      <c r="J26" s="33">
        <f t="shared" si="5"/>
        <v>62.024607156619652</v>
      </c>
      <c r="K26" s="34">
        <f t="shared" si="6"/>
        <v>71.663492452326508</v>
      </c>
      <c r="L26" s="34">
        <f t="shared" si="7"/>
        <v>5.6407142375739854</v>
      </c>
      <c r="M26" s="35">
        <f t="shared" si="8"/>
        <v>6.2130195997409992</v>
      </c>
      <c r="N26" s="36">
        <f t="shared" si="9"/>
        <v>36.950223498860915</v>
      </c>
      <c r="O26" s="34">
        <f t="shared" si="10"/>
        <v>10.12334890379751</v>
      </c>
      <c r="P26" s="34">
        <f t="shared" si="11"/>
        <v>15.522466777102824</v>
      </c>
      <c r="Q26" s="34">
        <f t="shared" si="12"/>
        <v>1.6610482721473057</v>
      </c>
      <c r="R26" s="35">
        <f t="shared" si="13"/>
        <v>5.548</v>
      </c>
      <c r="S26" s="23">
        <f t="shared" si="14"/>
        <v>1.3625650321121925</v>
      </c>
      <c r="T26" s="24">
        <f t="shared" si="15"/>
        <v>1576.7984565853333</v>
      </c>
    </row>
    <row r="27" spans="1:21" x14ac:dyDescent="0.25">
      <c r="A27" s="19" t="s">
        <v>53</v>
      </c>
      <c r="B27" s="30">
        <f t="shared" si="2"/>
        <v>12.700758311214932</v>
      </c>
      <c r="C27" s="20">
        <v>157</v>
      </c>
      <c r="D27" s="21">
        <v>82</v>
      </c>
      <c r="E27" s="21">
        <v>4</v>
      </c>
      <c r="F27" s="21">
        <v>5.9</v>
      </c>
      <c r="G27" s="22">
        <v>9</v>
      </c>
      <c r="H27" s="31">
        <f t="shared" si="3"/>
        <v>16.17930995059227</v>
      </c>
      <c r="I27" s="32">
        <f t="shared" si="4"/>
        <v>676.47910457080525</v>
      </c>
      <c r="J27" s="33">
        <f t="shared" si="5"/>
        <v>86.175682110930595</v>
      </c>
      <c r="K27" s="34">
        <f t="shared" si="6"/>
        <v>99.232595019260629</v>
      </c>
      <c r="L27" s="34">
        <f t="shared" si="7"/>
        <v>6.4661711525931516</v>
      </c>
      <c r="M27" s="35">
        <f t="shared" si="8"/>
        <v>7.8013099505922696</v>
      </c>
      <c r="N27" s="36">
        <f t="shared" si="9"/>
        <v>55.133115797868491</v>
      </c>
      <c r="O27" s="34">
        <f t="shared" si="10"/>
        <v>13.447101414114265</v>
      </c>
      <c r="P27" s="34">
        <f t="shared" si="11"/>
        <v>20.695440945651498</v>
      </c>
      <c r="Q27" s="34">
        <f t="shared" si="12"/>
        <v>1.8459769377901249</v>
      </c>
      <c r="R27" s="35">
        <f t="shared" si="13"/>
        <v>6.5600000000000005</v>
      </c>
      <c r="S27" s="23">
        <f t="shared" si="14"/>
        <v>1.9665962862402209</v>
      </c>
      <c r="T27" s="24">
        <f t="shared" si="15"/>
        <v>3094.6479880063339</v>
      </c>
    </row>
    <row r="28" spans="1:21" x14ac:dyDescent="0.25">
      <c r="A28" s="19" t="s">
        <v>54</v>
      </c>
      <c r="B28" s="30">
        <f t="shared" si="2"/>
        <v>15.368188311214929</v>
      </c>
      <c r="C28" s="20">
        <v>177</v>
      </c>
      <c r="D28" s="21">
        <v>91</v>
      </c>
      <c r="E28" s="21">
        <v>4.3</v>
      </c>
      <c r="F28" s="21">
        <v>6.5</v>
      </c>
      <c r="G28" s="22">
        <v>9</v>
      </c>
      <c r="H28" s="31">
        <f t="shared" si="3"/>
        <v>19.577309950592266</v>
      </c>
      <c r="I28" s="32">
        <f t="shared" si="4"/>
        <v>1041.9509237820571</v>
      </c>
      <c r="J28" s="33">
        <f t="shared" si="5"/>
        <v>117.7345676589895</v>
      </c>
      <c r="K28" s="34">
        <f t="shared" si="6"/>
        <v>135.46491637281738</v>
      </c>
      <c r="L28" s="34">
        <f t="shared" si="7"/>
        <v>7.2953666526427758</v>
      </c>
      <c r="M28" s="35">
        <f t="shared" si="8"/>
        <v>9.1968099505922662</v>
      </c>
      <c r="N28" s="32">
        <f t="shared" si="9"/>
        <v>83.054154889061607</v>
      </c>
      <c r="O28" s="33">
        <f t="shared" si="10"/>
        <v>18.253660415178377</v>
      </c>
      <c r="P28" s="33">
        <f t="shared" si="11"/>
        <v>27.960610594910381</v>
      </c>
      <c r="Q28" s="34">
        <f t="shared" si="12"/>
        <v>2.0597009693612072</v>
      </c>
      <c r="R28" s="35">
        <f t="shared" si="13"/>
        <v>7.8259999999999996</v>
      </c>
      <c r="S28" s="23">
        <f t="shared" si="14"/>
        <v>2.7024202414589213</v>
      </c>
      <c r="T28" s="24">
        <f t="shared" si="15"/>
        <v>5933.0097024114584</v>
      </c>
    </row>
    <row r="29" spans="1:21" x14ac:dyDescent="0.25">
      <c r="A29" s="19" t="s">
        <v>55</v>
      </c>
      <c r="B29" s="30">
        <f t="shared" si="2"/>
        <v>18.424818664382098</v>
      </c>
      <c r="C29" s="20">
        <v>197</v>
      </c>
      <c r="D29" s="21">
        <v>100</v>
      </c>
      <c r="E29" s="21">
        <v>4.5</v>
      </c>
      <c r="F29" s="21">
        <v>7</v>
      </c>
      <c r="G29" s="22">
        <v>12</v>
      </c>
      <c r="H29" s="31">
        <f t="shared" si="3"/>
        <v>23.4711065788307</v>
      </c>
      <c r="I29" s="32">
        <f t="shared" si="4"/>
        <v>1559.8804535835927</v>
      </c>
      <c r="J29" s="37">
        <f t="shared" si="5"/>
        <v>158.36349782574544</v>
      </c>
      <c r="K29" s="34">
        <f t="shared" si="6"/>
        <v>181.98492497426167</v>
      </c>
      <c r="L29" s="34">
        <f t="shared" si="7"/>
        <v>8.152276014053303</v>
      </c>
      <c r="M29" s="35">
        <f t="shared" si="8"/>
        <v>11.466106578830699</v>
      </c>
      <c r="N29" s="32">
        <f t="shared" si="9"/>
        <v>118.78440291404667</v>
      </c>
      <c r="O29" s="37">
        <f t="shared" si="10"/>
        <v>23.756880582809334</v>
      </c>
      <c r="P29" s="33">
        <f t="shared" si="11"/>
        <v>36.535889374833744</v>
      </c>
      <c r="Q29" s="34">
        <f t="shared" si="12"/>
        <v>2.2496394887413569</v>
      </c>
      <c r="R29" s="35">
        <f t="shared" si="13"/>
        <v>9</v>
      </c>
      <c r="S29" s="23">
        <f t="shared" si="14"/>
        <v>4.1186625892174789</v>
      </c>
      <c r="T29" s="24">
        <f t="shared" si="15"/>
        <v>10529.166666666666</v>
      </c>
    </row>
    <row r="30" spans="1:21" x14ac:dyDescent="0.25">
      <c r="A30" s="19" t="s">
        <v>56</v>
      </c>
      <c r="B30" s="30">
        <f t="shared" si="2"/>
        <v>22.181043664382102</v>
      </c>
      <c r="C30" s="20">
        <v>217</v>
      </c>
      <c r="D30" s="21">
        <v>110</v>
      </c>
      <c r="E30" s="21">
        <v>5</v>
      </c>
      <c r="F30" s="21">
        <v>7.7</v>
      </c>
      <c r="G30" s="22">
        <v>12</v>
      </c>
      <c r="H30" s="31">
        <f t="shared" si="3"/>
        <v>28.2561065788307</v>
      </c>
      <c r="I30" s="32">
        <f t="shared" si="4"/>
        <v>2270.9706472897938</v>
      </c>
      <c r="J30" s="37">
        <f t="shared" si="5"/>
        <v>209.30605044145562</v>
      </c>
      <c r="K30" s="34">
        <f t="shared" si="6"/>
        <v>240.53967909257423</v>
      </c>
      <c r="L30" s="34">
        <f t="shared" si="7"/>
        <v>8.964985685493005</v>
      </c>
      <c r="M30" s="35">
        <f t="shared" si="8"/>
        <v>13.549106578830699</v>
      </c>
      <c r="N30" s="32">
        <f t="shared" si="9"/>
        <v>173.83418329619045</v>
      </c>
      <c r="O30" s="37">
        <f t="shared" si="10"/>
        <v>31.606215144761901</v>
      </c>
      <c r="P30" s="33">
        <f t="shared" si="11"/>
        <v>48.48535453930451</v>
      </c>
      <c r="Q30" s="34">
        <f t="shared" si="12"/>
        <v>2.4803412201596222</v>
      </c>
      <c r="R30" s="35">
        <f t="shared" si="13"/>
        <v>11</v>
      </c>
      <c r="S30" s="23">
        <f t="shared" si="14"/>
        <v>5.6965522749067397</v>
      </c>
      <c r="T30" s="24">
        <f t="shared" si="15"/>
        <v>18706.648919291671</v>
      </c>
    </row>
    <row r="31" spans="1:21" x14ac:dyDescent="0.25">
      <c r="A31" s="19" t="s">
        <v>57</v>
      </c>
      <c r="B31" s="30">
        <f t="shared" si="2"/>
        <v>26.15008997559703</v>
      </c>
      <c r="C31" s="20">
        <v>237</v>
      </c>
      <c r="D31" s="21">
        <v>120</v>
      </c>
      <c r="E31" s="21">
        <v>5.2</v>
      </c>
      <c r="F31" s="21">
        <v>8.3000000000000007</v>
      </c>
      <c r="G31" s="22">
        <v>15</v>
      </c>
      <c r="H31" s="31">
        <f t="shared" si="3"/>
        <v>33.312216529422969</v>
      </c>
      <c r="I31" s="32">
        <f t="shared" si="4"/>
        <v>3223.172325347683</v>
      </c>
      <c r="J31" s="37">
        <f t="shared" si="5"/>
        <v>271.99766458630234</v>
      </c>
      <c r="K31" s="34">
        <f t="shared" si="6"/>
        <v>312.21784293220179</v>
      </c>
      <c r="L31" s="34">
        <f t="shared" si="7"/>
        <v>9.836486434679049</v>
      </c>
      <c r="M31" s="35">
        <f t="shared" si="8"/>
        <v>16.313816529422969</v>
      </c>
      <c r="N31" s="32">
        <f t="shared" si="9"/>
        <v>243.52755055885791</v>
      </c>
      <c r="O31" s="37">
        <f t="shared" si="10"/>
        <v>40.587925093142985</v>
      </c>
      <c r="P31" s="33">
        <f t="shared" si="11"/>
        <v>62.39919709178443</v>
      </c>
      <c r="Q31" s="34">
        <f t="shared" si="12"/>
        <v>2.7037858128616521</v>
      </c>
      <c r="R31" s="35">
        <f t="shared" si="13"/>
        <v>12.48</v>
      </c>
      <c r="S31" s="23">
        <f t="shared" si="14"/>
        <v>8.3631144603405438</v>
      </c>
      <c r="T31" s="24">
        <f t="shared" si="15"/>
        <v>31256.685143999999</v>
      </c>
    </row>
    <row r="32" spans="1:21" x14ac:dyDescent="0.25">
      <c r="A32" s="19" t="s">
        <v>58</v>
      </c>
      <c r="B32" s="30">
        <f t="shared" si="2"/>
        <v>30.732291975597033</v>
      </c>
      <c r="C32" s="20">
        <v>267</v>
      </c>
      <c r="D32" s="21">
        <v>135</v>
      </c>
      <c r="E32" s="21">
        <v>5.5</v>
      </c>
      <c r="F32" s="21">
        <v>8.6999999999999993</v>
      </c>
      <c r="G32" s="22">
        <v>15</v>
      </c>
      <c r="H32" s="31">
        <f t="shared" si="3"/>
        <v>39.149416529422972</v>
      </c>
      <c r="I32" s="32">
        <f t="shared" si="4"/>
        <v>4824.4258536716452</v>
      </c>
      <c r="J32" s="37">
        <f t="shared" si="5"/>
        <v>361.38021375817561</v>
      </c>
      <c r="K32" s="34">
        <f t="shared" si="6"/>
        <v>413.13957306515931</v>
      </c>
      <c r="L32" s="34">
        <f t="shared" si="7"/>
        <v>11.100950628807938</v>
      </c>
      <c r="M32" s="35">
        <f t="shared" si="8"/>
        <v>18.747916529422969</v>
      </c>
      <c r="N32" s="32">
        <f t="shared" si="9"/>
        <v>362.88185380726571</v>
      </c>
      <c r="O32" s="37">
        <f t="shared" si="10"/>
        <v>53.760274638113437</v>
      </c>
      <c r="P32" s="33">
        <f t="shared" si="11"/>
        <v>82.344614339725766</v>
      </c>
      <c r="Q32" s="34">
        <f t="shared" si="12"/>
        <v>3.0445280440635654</v>
      </c>
      <c r="R32" s="35">
        <f t="shared" si="13"/>
        <v>14.850000000000001</v>
      </c>
      <c r="S32" s="23">
        <f t="shared" si="14"/>
        <v>10.313128617232667</v>
      </c>
      <c r="T32" s="24">
        <f t="shared" si="15"/>
        <v>59505.639756609373</v>
      </c>
    </row>
    <row r="33" spans="1:20" x14ac:dyDescent="0.25">
      <c r="A33" s="19" t="s">
        <v>59</v>
      </c>
      <c r="B33" s="30">
        <f t="shared" si="2"/>
        <v>36.522922975597027</v>
      </c>
      <c r="C33" s="20">
        <v>297</v>
      </c>
      <c r="D33" s="21">
        <v>150</v>
      </c>
      <c r="E33" s="21">
        <v>6.1</v>
      </c>
      <c r="F33" s="21">
        <v>9.1999999999999993</v>
      </c>
      <c r="G33" s="22">
        <v>15</v>
      </c>
      <c r="H33" s="31">
        <f t="shared" si="3"/>
        <v>46.526016529422968</v>
      </c>
      <c r="I33" s="32">
        <f t="shared" si="4"/>
        <v>7055.3834795413095</v>
      </c>
      <c r="J33" s="37">
        <f t="shared" si="5"/>
        <v>475.10999862231034</v>
      </c>
      <c r="K33" s="34">
        <f t="shared" si="6"/>
        <v>542.43544603282271</v>
      </c>
      <c r="L33" s="34">
        <f t="shared" si="7"/>
        <v>12.314375054145884</v>
      </c>
      <c r="M33" s="35">
        <f t="shared" si="8"/>
        <v>22.247216529422968</v>
      </c>
      <c r="N33" s="32">
        <f t="shared" si="9"/>
        <v>525.32114330389618</v>
      </c>
      <c r="O33" s="37">
        <f t="shared" si="10"/>
        <v>70.042819107186162</v>
      </c>
      <c r="P33" s="33">
        <f t="shared" si="11"/>
        <v>107.32788333560843</v>
      </c>
      <c r="Q33" s="34">
        <f t="shared" si="12"/>
        <v>3.3601951843207232</v>
      </c>
      <c r="R33" s="35">
        <f t="shared" si="13"/>
        <v>18.299999999999997</v>
      </c>
      <c r="S33" s="23">
        <f t="shared" si="14"/>
        <v>13.451349901072943</v>
      </c>
      <c r="T33" s="24">
        <f t="shared" si="15"/>
        <v>107159.81174999999</v>
      </c>
    </row>
    <row r="34" spans="1:20" x14ac:dyDescent="0.25">
      <c r="A34" s="19" t="s">
        <v>60</v>
      </c>
      <c r="B34" s="30">
        <f t="shared" si="2"/>
        <v>42.967948244859727</v>
      </c>
      <c r="C34" s="20">
        <v>327</v>
      </c>
      <c r="D34" s="21">
        <v>160</v>
      </c>
      <c r="E34" s="21">
        <v>6.5</v>
      </c>
      <c r="F34" s="21">
        <v>10</v>
      </c>
      <c r="G34" s="22">
        <v>18</v>
      </c>
      <c r="H34" s="31">
        <f t="shared" si="3"/>
        <v>54.736239802369077</v>
      </c>
      <c r="I34" s="32">
        <f t="shared" si="4"/>
        <v>10054.97263088772</v>
      </c>
      <c r="J34" s="37">
        <f t="shared" si="5"/>
        <v>614.98303552830089</v>
      </c>
      <c r="K34" s="34">
        <f t="shared" si="6"/>
        <v>703.04608074432599</v>
      </c>
      <c r="L34" s="34">
        <f t="shared" si="7"/>
        <v>13.553547016196424</v>
      </c>
      <c r="M34" s="35">
        <f t="shared" si="8"/>
        <v>26.986239802369077</v>
      </c>
      <c r="N34" s="32">
        <f t="shared" si="9"/>
        <v>693.65691616828144</v>
      </c>
      <c r="O34" s="37">
        <f t="shared" si="10"/>
        <v>86.70711452103518</v>
      </c>
      <c r="P34" s="33">
        <f t="shared" si="11"/>
        <v>133.26482208003429</v>
      </c>
      <c r="Q34" s="34">
        <f t="shared" si="12"/>
        <v>3.5598760823660571</v>
      </c>
      <c r="R34" s="35">
        <f t="shared" si="13"/>
        <v>20.8</v>
      </c>
      <c r="S34" s="23">
        <f t="shared" si="14"/>
        <v>19.595527469070458</v>
      </c>
      <c r="T34" s="24">
        <f t="shared" si="15"/>
        <v>171501.22666666665</v>
      </c>
    </row>
    <row r="35" spans="1:20" x14ac:dyDescent="0.25">
      <c r="A35" s="19" t="s">
        <v>61</v>
      </c>
      <c r="B35" s="30">
        <f t="shared" si="2"/>
        <v>50.212399244859725</v>
      </c>
      <c r="C35" s="20">
        <v>357.6</v>
      </c>
      <c r="D35" s="21">
        <v>170</v>
      </c>
      <c r="E35" s="21">
        <v>6.6</v>
      </c>
      <c r="F35" s="21">
        <v>11.5</v>
      </c>
      <c r="G35" s="22">
        <v>18</v>
      </c>
      <c r="H35" s="31">
        <f t="shared" si="3"/>
        <v>63.964839802369077</v>
      </c>
      <c r="I35" s="32">
        <f t="shared" si="4"/>
        <v>14177.965873901352</v>
      </c>
      <c r="J35" s="37">
        <f t="shared" si="5"/>
        <v>792.95111151573542</v>
      </c>
      <c r="K35" s="34">
        <f t="shared" si="6"/>
        <v>907.88438067159541</v>
      </c>
      <c r="L35" s="34">
        <f t="shared" si="7"/>
        <v>14.887998112562101</v>
      </c>
      <c r="M35" s="35">
        <f t="shared" si="8"/>
        <v>29.763839802369077</v>
      </c>
      <c r="N35" s="32">
        <f t="shared" si="9"/>
        <v>960.80301073594194</v>
      </c>
      <c r="O35" s="37">
        <f t="shared" si="10"/>
        <v>113.03564832187553</v>
      </c>
      <c r="P35" s="33">
        <f t="shared" si="11"/>
        <v>171.85483477904614</v>
      </c>
      <c r="Q35" s="34">
        <f t="shared" si="12"/>
        <v>3.875667573549229</v>
      </c>
      <c r="R35" s="35">
        <f t="shared" si="13"/>
        <v>22.439999999999998</v>
      </c>
      <c r="S35" s="23">
        <f t="shared" si="14"/>
        <v>26.555964919887575</v>
      </c>
      <c r="T35" s="24">
        <f t="shared" si="15"/>
        <v>281991.85301645839</v>
      </c>
    </row>
    <row r="36" spans="1:20" x14ac:dyDescent="0.25">
      <c r="A36" s="19" t="s">
        <v>62</v>
      </c>
      <c r="B36" s="30">
        <f t="shared" si="2"/>
        <v>57.380027472170177</v>
      </c>
      <c r="C36" s="20">
        <v>397</v>
      </c>
      <c r="D36" s="21">
        <v>180</v>
      </c>
      <c r="E36" s="21">
        <v>7</v>
      </c>
      <c r="F36" s="21">
        <v>12</v>
      </c>
      <c r="G36" s="22">
        <v>21</v>
      </c>
      <c r="H36" s="31">
        <f t="shared" si="3"/>
        <v>73.095576397669006</v>
      </c>
      <c r="I36" s="32">
        <f t="shared" si="4"/>
        <v>19847.918695574303</v>
      </c>
      <c r="J36" s="37">
        <f t="shared" si="5"/>
        <v>999.89514839165247</v>
      </c>
      <c r="K36" s="34">
        <f t="shared" si="6"/>
        <v>1145.676174594488</v>
      </c>
      <c r="L36" s="34">
        <f t="shared" si="7"/>
        <v>16.478282292753789</v>
      </c>
      <c r="M36" s="35">
        <f t="shared" si="8"/>
        <v>35.775576397669006</v>
      </c>
      <c r="N36" s="32">
        <f t="shared" si="9"/>
        <v>1189.6340340296249</v>
      </c>
      <c r="O36" s="37">
        <f t="shared" si="10"/>
        <v>132.18155933662499</v>
      </c>
      <c r="P36" s="33">
        <f t="shared" si="11"/>
        <v>202.0699121742891</v>
      </c>
      <c r="Q36" s="34">
        <f t="shared" si="12"/>
        <v>4.0342345330595517</v>
      </c>
      <c r="R36" s="35">
        <f t="shared" si="13"/>
        <v>25.2</v>
      </c>
      <c r="S36" s="23">
        <f t="shared" si="14"/>
        <v>34.845684295310392</v>
      </c>
      <c r="T36" s="24">
        <f t="shared" si="15"/>
        <v>432224.1</v>
      </c>
    </row>
    <row r="37" spans="1:20" x14ac:dyDescent="0.25">
      <c r="A37" s="19" t="s">
        <v>63</v>
      </c>
      <c r="B37" s="30">
        <f t="shared" si="2"/>
        <v>67.153905472170166</v>
      </c>
      <c r="C37" s="20">
        <v>447</v>
      </c>
      <c r="D37" s="21">
        <v>190</v>
      </c>
      <c r="E37" s="21">
        <v>7.6</v>
      </c>
      <c r="F37" s="21">
        <v>13.1</v>
      </c>
      <c r="G37" s="22">
        <v>21</v>
      </c>
      <c r="H37" s="31">
        <f t="shared" si="3"/>
        <v>85.546376397669007</v>
      </c>
      <c r="I37" s="32">
        <f t="shared" si="4"/>
        <v>29080.589226160297</v>
      </c>
      <c r="J37" s="37">
        <f t="shared" si="5"/>
        <v>1301.1449318192526</v>
      </c>
      <c r="K37" s="34">
        <f t="shared" si="6"/>
        <v>1496.0630681849168</v>
      </c>
      <c r="L37" s="34">
        <f t="shared" si="7"/>
        <v>18.437447292724674</v>
      </c>
      <c r="M37" s="35">
        <f t="shared" si="8"/>
        <v>42.263976397669012</v>
      </c>
      <c r="N37" s="32">
        <f t="shared" si="9"/>
        <v>1528.3788248270441</v>
      </c>
      <c r="O37" s="37">
        <f t="shared" si="10"/>
        <v>160.88198156074148</v>
      </c>
      <c r="P37" s="33">
        <f t="shared" si="11"/>
        <v>245.74558146621919</v>
      </c>
      <c r="Q37" s="34">
        <f t="shared" si="12"/>
        <v>4.2268291796864466</v>
      </c>
      <c r="R37" s="35">
        <f t="shared" si="13"/>
        <v>28.88</v>
      </c>
      <c r="S37" s="23">
        <f t="shared" si="14"/>
        <v>45.746179756441705</v>
      </c>
      <c r="T37" s="24">
        <f t="shared" si="15"/>
        <v>704855.60413370829</v>
      </c>
    </row>
    <row r="38" spans="1:20" x14ac:dyDescent="0.25">
      <c r="A38" s="19" t="s">
        <v>64</v>
      </c>
      <c r="B38" s="30">
        <f t="shared" si="2"/>
        <v>79.361597472170175</v>
      </c>
      <c r="C38" s="20">
        <v>497</v>
      </c>
      <c r="D38" s="21">
        <v>200</v>
      </c>
      <c r="E38" s="21">
        <v>8.4</v>
      </c>
      <c r="F38" s="21">
        <v>14.5</v>
      </c>
      <c r="G38" s="22">
        <v>21</v>
      </c>
      <c r="H38" s="31">
        <f t="shared" si="3"/>
        <v>101.09757639766902</v>
      </c>
      <c r="I38" s="32">
        <f t="shared" si="4"/>
        <v>41903.855786545224</v>
      </c>
      <c r="J38" s="37">
        <f t="shared" si="5"/>
        <v>1686.2718626376347</v>
      </c>
      <c r="K38" s="34">
        <f t="shared" si="6"/>
        <v>1947.7823124834158</v>
      </c>
      <c r="L38" s="34">
        <f t="shared" si="7"/>
        <v>20.359008374524645</v>
      </c>
      <c r="M38" s="35">
        <f t="shared" si="8"/>
        <v>50.405576397669016</v>
      </c>
      <c r="N38" s="32">
        <f t="shared" si="9"/>
        <v>1974.9570495552944</v>
      </c>
      <c r="O38" s="37">
        <f t="shared" si="10"/>
        <v>197.49570495552945</v>
      </c>
      <c r="P38" s="33">
        <f t="shared" si="11"/>
        <v>301.6211725221259</v>
      </c>
      <c r="Q38" s="34">
        <f t="shared" si="12"/>
        <v>4.4198594118649899</v>
      </c>
      <c r="R38" s="35">
        <f t="shared" si="13"/>
        <v>33.6</v>
      </c>
      <c r="S38" s="23">
        <f t="shared" si="14"/>
        <v>62.879189321234634</v>
      </c>
      <c r="T38" s="24">
        <f t="shared" si="15"/>
        <v>1125230.2083333333</v>
      </c>
    </row>
    <row r="39" spans="1:20" x14ac:dyDescent="0.25">
      <c r="A39" s="19" t="s">
        <v>65</v>
      </c>
      <c r="B39" s="30">
        <f t="shared" si="2"/>
        <v>92.071414657528408</v>
      </c>
      <c r="C39" s="20">
        <v>547</v>
      </c>
      <c r="D39" s="21">
        <v>210</v>
      </c>
      <c r="E39" s="21">
        <v>9</v>
      </c>
      <c r="F39" s="21">
        <v>15.7</v>
      </c>
      <c r="G39" s="22">
        <v>24</v>
      </c>
      <c r="H39" s="31">
        <f t="shared" si="3"/>
        <v>117.28842631532281</v>
      </c>
      <c r="I39" s="32">
        <f t="shared" si="4"/>
        <v>58494.727625496605</v>
      </c>
      <c r="J39" s="37">
        <f t="shared" si="5"/>
        <v>2138.7468967274808</v>
      </c>
      <c r="K39" s="34">
        <f t="shared" si="6"/>
        <v>2477.3103951869821</v>
      </c>
      <c r="L39" s="34">
        <f t="shared" si="7"/>
        <v>22.332162631141212</v>
      </c>
      <c r="M39" s="35">
        <f t="shared" si="8"/>
        <v>60.297426315322802</v>
      </c>
      <c r="N39" s="32">
        <f t="shared" si="9"/>
        <v>2478.0145555818303</v>
      </c>
      <c r="O39" s="37">
        <f t="shared" si="10"/>
        <v>236.0013862458886</v>
      </c>
      <c r="P39" s="33">
        <f t="shared" si="11"/>
        <v>361.50151499866996</v>
      </c>
      <c r="Q39" s="34">
        <f t="shared" si="12"/>
        <v>4.5964691209289192</v>
      </c>
      <c r="R39" s="35">
        <f t="shared" si="13"/>
        <v>37.800000000000004</v>
      </c>
      <c r="S39" s="23">
        <f t="shared" si="14"/>
        <v>86.665269493398839</v>
      </c>
      <c r="T39" s="24">
        <f t="shared" si="15"/>
        <v>1710117.4034463747</v>
      </c>
    </row>
    <row r="40" spans="1:20" ht="15.75" thickBot="1" x14ac:dyDescent="0.3">
      <c r="A40" s="19" t="s">
        <v>66</v>
      </c>
      <c r="B40" s="30">
        <f t="shared" si="2"/>
        <v>107.56103465752841</v>
      </c>
      <c r="C40" s="26">
        <v>597</v>
      </c>
      <c r="D40" s="27">
        <v>220</v>
      </c>
      <c r="E40" s="27">
        <v>9.8000000000000007</v>
      </c>
      <c r="F40" s="27">
        <v>17.5</v>
      </c>
      <c r="G40" s="28">
        <v>24</v>
      </c>
      <c r="H40" s="31">
        <f t="shared" si="3"/>
        <v>137.02042631532279</v>
      </c>
      <c r="I40" s="32">
        <f t="shared" si="4"/>
        <v>80656.272729859964</v>
      </c>
      <c r="J40" s="37">
        <f t="shared" si="5"/>
        <v>2702.0526877675029</v>
      </c>
      <c r="K40" s="34">
        <f t="shared" si="6"/>
        <v>3143.8306042385311</v>
      </c>
      <c r="L40" s="34">
        <f t="shared" si="7"/>
        <v>24.26198987193531</v>
      </c>
      <c r="M40" s="35">
        <f t="shared" si="8"/>
        <v>70.135426315322789</v>
      </c>
      <c r="N40" s="32">
        <f t="shared" si="9"/>
        <v>3181.5273142870769</v>
      </c>
      <c r="O40" s="37">
        <f t="shared" si="10"/>
        <v>289.22975584427974</v>
      </c>
      <c r="P40" s="33">
        <f t="shared" si="11"/>
        <v>442.06701205128286</v>
      </c>
      <c r="Q40" s="34">
        <f t="shared" si="12"/>
        <v>4.8186476494380175</v>
      </c>
      <c r="R40" s="35">
        <f t="shared" si="13"/>
        <v>43.120000000000005</v>
      </c>
      <c r="S40" s="23">
        <f t="shared" si="14"/>
        <v>118.95816313976962</v>
      </c>
      <c r="T40" s="24">
        <f t="shared" si="15"/>
        <v>2607364.3910416667</v>
      </c>
    </row>
    <row r="41" spans="1:20" ht="15.75" x14ac:dyDescent="0.25">
      <c r="A41" s="38"/>
      <c r="B41" s="39" t="s">
        <v>67</v>
      </c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1"/>
    </row>
    <row r="42" spans="1:20" x14ac:dyDescent="0.25">
      <c r="A42" s="19" t="s">
        <v>68</v>
      </c>
      <c r="B42" s="19">
        <v>5.94</v>
      </c>
      <c r="C42" s="20">
        <v>80</v>
      </c>
      <c r="D42" s="21">
        <v>42</v>
      </c>
      <c r="E42" s="21">
        <v>3.9</v>
      </c>
      <c r="F42" s="21">
        <v>5.9</v>
      </c>
      <c r="G42" s="22">
        <v>3.9</v>
      </c>
      <c r="H42" s="19">
        <v>7.58</v>
      </c>
      <c r="I42" s="20">
        <v>77.8</v>
      </c>
      <c r="J42" s="21">
        <v>19.5</v>
      </c>
      <c r="K42" s="21">
        <v>22.8</v>
      </c>
      <c r="L42" s="21">
        <v>3.2</v>
      </c>
      <c r="M42" s="22">
        <v>3.41</v>
      </c>
      <c r="N42" s="20">
        <v>6.29</v>
      </c>
      <c r="O42" s="21">
        <v>3</v>
      </c>
      <c r="P42" s="21">
        <v>5</v>
      </c>
      <c r="Q42" s="21">
        <v>0.91</v>
      </c>
      <c r="R42" s="22">
        <v>4.9560000000000004</v>
      </c>
      <c r="S42" s="23">
        <f t="shared" si="0"/>
        <v>0.79910742991300943</v>
      </c>
      <c r="T42" s="24">
        <f t="shared" si="1"/>
        <v>100.005769773</v>
      </c>
    </row>
    <row r="43" spans="1:20" x14ac:dyDescent="0.25">
      <c r="A43" s="19" t="s">
        <v>69</v>
      </c>
      <c r="B43" s="19">
        <v>8.34</v>
      </c>
      <c r="C43" s="20">
        <v>100</v>
      </c>
      <c r="D43" s="21">
        <v>50</v>
      </c>
      <c r="E43" s="21">
        <v>4.5</v>
      </c>
      <c r="F43" s="21">
        <v>6.8</v>
      </c>
      <c r="G43" s="22">
        <v>4.5</v>
      </c>
      <c r="H43" s="19">
        <v>10.6</v>
      </c>
      <c r="I43" s="20">
        <v>171</v>
      </c>
      <c r="J43" s="21">
        <v>34.200000000000003</v>
      </c>
      <c r="K43" s="21">
        <v>39.799999999999997</v>
      </c>
      <c r="L43" s="21">
        <v>4.01</v>
      </c>
      <c r="M43" s="22">
        <v>4.8499999999999996</v>
      </c>
      <c r="N43" s="20">
        <v>12.2</v>
      </c>
      <c r="O43" s="21">
        <v>4.88</v>
      </c>
      <c r="P43" s="21">
        <v>8.1</v>
      </c>
      <c r="Q43" s="21">
        <v>1.07</v>
      </c>
      <c r="R43" s="22">
        <v>6.8</v>
      </c>
      <c r="S43" s="23">
        <f t="shared" si="0"/>
        <v>1.4686910750240914</v>
      </c>
      <c r="T43" s="24">
        <f t="shared" si="1"/>
        <v>307.63766666666669</v>
      </c>
    </row>
    <row r="44" spans="1:20" x14ac:dyDescent="0.25">
      <c r="A44" s="19" t="s">
        <v>70</v>
      </c>
      <c r="B44" s="19">
        <v>11.1</v>
      </c>
      <c r="C44" s="20">
        <v>120</v>
      </c>
      <c r="D44" s="21">
        <v>58</v>
      </c>
      <c r="E44" s="21">
        <v>5.0999999999999996</v>
      </c>
      <c r="F44" s="21">
        <v>7.7</v>
      </c>
      <c r="G44" s="22">
        <v>5.0999999999999996</v>
      </c>
      <c r="H44" s="19">
        <v>14.2</v>
      </c>
      <c r="I44" s="20">
        <v>328</v>
      </c>
      <c r="J44" s="21">
        <v>54.7</v>
      </c>
      <c r="K44" s="21">
        <v>63.6</v>
      </c>
      <c r="L44" s="21">
        <v>4.8099999999999996</v>
      </c>
      <c r="M44" s="22">
        <v>6.63</v>
      </c>
      <c r="N44" s="20">
        <v>21.5</v>
      </c>
      <c r="O44" s="21">
        <v>7.41</v>
      </c>
      <c r="P44" s="21">
        <v>12.4</v>
      </c>
      <c r="Q44" s="21">
        <v>1.23</v>
      </c>
      <c r="R44" s="22">
        <v>8.9320000000000004</v>
      </c>
      <c r="S44" s="23">
        <f t="shared" si="0"/>
        <v>2.4887321697019806</v>
      </c>
      <c r="T44" s="24">
        <f t="shared" si="1"/>
        <v>789.44699631233345</v>
      </c>
    </row>
    <row r="45" spans="1:20" x14ac:dyDescent="0.25">
      <c r="A45" s="19" t="s">
        <v>71</v>
      </c>
      <c r="B45" s="19">
        <v>14.3</v>
      </c>
      <c r="C45" s="20">
        <v>140</v>
      </c>
      <c r="D45" s="21">
        <v>66</v>
      </c>
      <c r="E45" s="21">
        <v>5.7</v>
      </c>
      <c r="F45" s="21">
        <v>8.6</v>
      </c>
      <c r="G45" s="22">
        <v>5.7</v>
      </c>
      <c r="H45" s="19">
        <v>18.3</v>
      </c>
      <c r="I45" s="20">
        <v>573</v>
      </c>
      <c r="J45" s="21">
        <v>81.900000000000006</v>
      </c>
      <c r="K45" s="21">
        <v>95.4</v>
      </c>
      <c r="L45" s="21">
        <v>5.61</v>
      </c>
      <c r="M45" s="22">
        <v>8.65</v>
      </c>
      <c r="N45" s="20">
        <v>35.200000000000003</v>
      </c>
      <c r="O45" s="21">
        <v>10.7</v>
      </c>
      <c r="P45" s="21">
        <v>17.899999999999999</v>
      </c>
      <c r="Q45" s="21">
        <v>1.4</v>
      </c>
      <c r="R45" s="22">
        <v>11.352</v>
      </c>
      <c r="S45" s="23">
        <f t="shared" si="0"/>
        <v>3.9639570280166132</v>
      </c>
      <c r="T45" s="24">
        <f t="shared" si="1"/>
        <v>1778.7288396240003</v>
      </c>
    </row>
    <row r="46" spans="1:20" x14ac:dyDescent="0.25">
      <c r="A46" s="19" t="s">
        <v>72</v>
      </c>
      <c r="B46" s="19">
        <v>17.899999999999999</v>
      </c>
      <c r="C46" s="20">
        <v>160</v>
      </c>
      <c r="D46" s="21">
        <v>74</v>
      </c>
      <c r="E46" s="21">
        <v>6.3</v>
      </c>
      <c r="F46" s="21">
        <v>9.5</v>
      </c>
      <c r="G46" s="22">
        <v>6.3</v>
      </c>
      <c r="H46" s="19">
        <v>22.8</v>
      </c>
      <c r="I46" s="20">
        <v>935</v>
      </c>
      <c r="J46" s="21">
        <v>117</v>
      </c>
      <c r="K46" s="21">
        <v>136</v>
      </c>
      <c r="L46" s="21">
        <v>6.4</v>
      </c>
      <c r="M46" s="22">
        <v>10.83</v>
      </c>
      <c r="N46" s="20">
        <v>54.7</v>
      </c>
      <c r="O46" s="21">
        <v>14.8</v>
      </c>
      <c r="P46" s="21">
        <v>24.9</v>
      </c>
      <c r="Q46" s="21">
        <v>1.55</v>
      </c>
      <c r="R46" s="22">
        <v>14.06</v>
      </c>
      <c r="S46" s="23">
        <f t="shared" si="0"/>
        <v>6.0127695636902558</v>
      </c>
      <c r="T46" s="24">
        <f t="shared" si="1"/>
        <v>3633.1265252916664</v>
      </c>
    </row>
    <row r="47" spans="1:20" x14ac:dyDescent="0.25">
      <c r="A47" s="19" t="s">
        <v>73</v>
      </c>
      <c r="B47" s="19">
        <v>21.9</v>
      </c>
      <c r="C47" s="20">
        <v>180</v>
      </c>
      <c r="D47" s="21">
        <v>82</v>
      </c>
      <c r="E47" s="21">
        <v>6.9</v>
      </c>
      <c r="F47" s="21">
        <v>10.4</v>
      </c>
      <c r="G47" s="22">
        <v>6.9</v>
      </c>
      <c r="H47" s="19">
        <v>27.9</v>
      </c>
      <c r="I47" s="20">
        <v>1450</v>
      </c>
      <c r="J47" s="21">
        <v>161</v>
      </c>
      <c r="K47" s="21">
        <v>187</v>
      </c>
      <c r="L47" s="21">
        <v>7.2</v>
      </c>
      <c r="M47" s="22">
        <v>13.35</v>
      </c>
      <c r="N47" s="20">
        <v>81.3</v>
      </c>
      <c r="O47" s="21">
        <v>19.8</v>
      </c>
      <c r="P47" s="21">
        <v>33.200000000000003</v>
      </c>
      <c r="Q47" s="21">
        <v>1.71</v>
      </c>
      <c r="R47" s="22">
        <v>17.056000000000001</v>
      </c>
      <c r="S47" s="23">
        <f t="shared" si="0"/>
        <v>8.7672512900975104</v>
      </c>
      <c r="T47" s="24">
        <f t="shared" si="1"/>
        <v>6872.509527381334</v>
      </c>
    </row>
    <row r="48" spans="1:20" x14ac:dyDescent="0.25">
      <c r="A48" s="19" t="s">
        <v>74</v>
      </c>
      <c r="B48" s="19">
        <v>26.2</v>
      </c>
      <c r="C48" s="20">
        <v>200</v>
      </c>
      <c r="D48" s="21">
        <v>90</v>
      </c>
      <c r="E48" s="21">
        <v>7.5</v>
      </c>
      <c r="F48" s="21">
        <v>11.3</v>
      </c>
      <c r="G48" s="22">
        <v>7.5</v>
      </c>
      <c r="H48" s="19">
        <v>33.4</v>
      </c>
      <c r="I48" s="20">
        <v>2140</v>
      </c>
      <c r="J48" s="21">
        <v>214</v>
      </c>
      <c r="K48" s="21">
        <v>250</v>
      </c>
      <c r="L48" s="21">
        <v>8</v>
      </c>
      <c r="M48" s="22">
        <v>16.03</v>
      </c>
      <c r="N48" s="20">
        <v>117</v>
      </c>
      <c r="O48" s="21">
        <v>26</v>
      </c>
      <c r="P48" s="21">
        <v>43.5</v>
      </c>
      <c r="Q48" s="21">
        <v>1.87</v>
      </c>
      <c r="R48" s="22">
        <v>20.340000000000003</v>
      </c>
      <c r="S48" s="23">
        <f t="shared" si="0"/>
        <v>12.3731613202653</v>
      </c>
      <c r="T48" s="24">
        <f t="shared" si="1"/>
        <v>12221.894496375</v>
      </c>
    </row>
    <row r="49" spans="1:20" x14ac:dyDescent="0.25">
      <c r="A49" s="19" t="s">
        <v>75</v>
      </c>
      <c r="B49" s="19">
        <v>31.1</v>
      </c>
      <c r="C49" s="20">
        <v>220</v>
      </c>
      <c r="D49" s="21">
        <v>98</v>
      </c>
      <c r="E49" s="21">
        <v>8.1</v>
      </c>
      <c r="F49" s="21">
        <v>12.2</v>
      </c>
      <c r="G49" s="22">
        <v>8.1</v>
      </c>
      <c r="H49" s="19">
        <v>39.5</v>
      </c>
      <c r="I49" s="20">
        <v>3060</v>
      </c>
      <c r="J49" s="21">
        <v>278</v>
      </c>
      <c r="K49" s="21">
        <v>324</v>
      </c>
      <c r="L49" s="21">
        <v>8.8000000000000007</v>
      </c>
      <c r="M49" s="22">
        <v>19.059999999999999</v>
      </c>
      <c r="N49" s="20">
        <v>162</v>
      </c>
      <c r="O49" s="21">
        <v>33.1</v>
      </c>
      <c r="P49" s="21">
        <v>55.7</v>
      </c>
      <c r="Q49" s="21">
        <v>2.02</v>
      </c>
      <c r="R49" s="22">
        <v>23.911999999999999</v>
      </c>
      <c r="S49" s="23">
        <f t="shared" si="0"/>
        <v>16.989936366872886</v>
      </c>
      <c r="T49" s="24">
        <f t="shared" si="1"/>
        <v>20659.409423650664</v>
      </c>
    </row>
    <row r="50" spans="1:20" x14ac:dyDescent="0.25">
      <c r="A50" s="19" t="s">
        <v>76</v>
      </c>
      <c r="B50" s="19">
        <v>36.200000000000003</v>
      </c>
      <c r="C50" s="20">
        <v>240</v>
      </c>
      <c r="D50" s="21">
        <v>106</v>
      </c>
      <c r="E50" s="21">
        <v>8.6999999999999993</v>
      </c>
      <c r="F50" s="21">
        <v>13.1</v>
      </c>
      <c r="G50" s="22">
        <v>8.6999999999999993</v>
      </c>
      <c r="H50" s="19">
        <v>46.1</v>
      </c>
      <c r="I50" s="20">
        <v>4250</v>
      </c>
      <c r="J50" s="21">
        <v>354</v>
      </c>
      <c r="K50" s="21">
        <v>412</v>
      </c>
      <c r="L50" s="21">
        <v>9.59</v>
      </c>
      <c r="M50" s="22">
        <v>22.33</v>
      </c>
      <c r="N50" s="20">
        <v>221</v>
      </c>
      <c r="O50" s="21">
        <v>41.7</v>
      </c>
      <c r="P50" s="21">
        <v>70</v>
      </c>
      <c r="Q50" s="21">
        <v>2.2000000000000002</v>
      </c>
      <c r="R50" s="22">
        <v>27.771999999999998</v>
      </c>
      <c r="S50" s="23">
        <f t="shared" si="0"/>
        <v>22.79069074225189</v>
      </c>
      <c r="T50" s="24">
        <f t="shared" si="1"/>
        <v>33469.300939402332</v>
      </c>
    </row>
    <row r="51" spans="1:20" x14ac:dyDescent="0.25">
      <c r="A51" s="19" t="s">
        <v>77</v>
      </c>
      <c r="B51" s="19">
        <v>41.9</v>
      </c>
      <c r="C51" s="20">
        <v>260</v>
      </c>
      <c r="D51" s="21">
        <v>113</v>
      </c>
      <c r="E51" s="21">
        <v>9.4</v>
      </c>
      <c r="F51" s="21">
        <v>14.1</v>
      </c>
      <c r="G51" s="22">
        <v>9.4</v>
      </c>
      <c r="H51" s="19">
        <v>53.3</v>
      </c>
      <c r="I51" s="20">
        <v>5740</v>
      </c>
      <c r="J51" s="21">
        <v>442</v>
      </c>
      <c r="K51" s="21">
        <v>514</v>
      </c>
      <c r="L51" s="21">
        <v>10.4</v>
      </c>
      <c r="M51" s="22">
        <v>26.08</v>
      </c>
      <c r="N51" s="20">
        <v>288</v>
      </c>
      <c r="O51" s="21">
        <v>51</v>
      </c>
      <c r="P51" s="21">
        <v>85.9</v>
      </c>
      <c r="Q51" s="21">
        <v>2.3199999999999998</v>
      </c>
      <c r="R51" s="22">
        <v>31.866</v>
      </c>
      <c r="S51" s="23">
        <f t="shared" si="0"/>
        <v>30.554247962712473</v>
      </c>
      <c r="T51" s="24">
        <f t="shared" si="1"/>
        <v>51257.835014784883</v>
      </c>
    </row>
    <row r="52" spans="1:20" x14ac:dyDescent="0.25">
      <c r="A52" s="19" t="s">
        <v>78</v>
      </c>
      <c r="B52" s="19">
        <v>47.9</v>
      </c>
      <c r="C52" s="20">
        <v>280</v>
      </c>
      <c r="D52" s="21">
        <v>119</v>
      </c>
      <c r="E52" s="21">
        <v>10.1</v>
      </c>
      <c r="F52" s="21">
        <v>15.2</v>
      </c>
      <c r="G52" s="22">
        <v>10.1</v>
      </c>
      <c r="H52" s="19">
        <v>61</v>
      </c>
      <c r="I52" s="20">
        <v>7590</v>
      </c>
      <c r="J52" s="21">
        <v>542</v>
      </c>
      <c r="K52" s="21">
        <v>632</v>
      </c>
      <c r="L52" s="21">
        <v>11.1</v>
      </c>
      <c r="M52" s="22">
        <v>30.18</v>
      </c>
      <c r="N52" s="20">
        <v>364</v>
      </c>
      <c r="O52" s="21">
        <v>61.2</v>
      </c>
      <c r="P52" s="21">
        <v>103</v>
      </c>
      <c r="Q52" s="21">
        <v>2.4500000000000002</v>
      </c>
      <c r="R52" s="22">
        <v>36.176000000000002</v>
      </c>
      <c r="S52" s="23">
        <f t="shared" si="0"/>
        <v>40.445039213431905</v>
      </c>
      <c r="T52" s="24">
        <f t="shared" si="1"/>
        <v>74835.763173994666</v>
      </c>
    </row>
    <row r="53" spans="1:20" x14ac:dyDescent="0.25">
      <c r="A53" s="19" t="s">
        <v>79</v>
      </c>
      <c r="B53" s="19">
        <v>54.2</v>
      </c>
      <c r="C53" s="20">
        <v>300</v>
      </c>
      <c r="D53" s="21">
        <v>125</v>
      </c>
      <c r="E53" s="21">
        <v>10.8</v>
      </c>
      <c r="F53" s="21">
        <v>16.2</v>
      </c>
      <c r="G53" s="22">
        <v>10.8</v>
      </c>
      <c r="H53" s="19">
        <v>69</v>
      </c>
      <c r="I53" s="20">
        <v>9800</v>
      </c>
      <c r="J53" s="21">
        <v>653</v>
      </c>
      <c r="K53" s="21">
        <v>762</v>
      </c>
      <c r="L53" s="21">
        <v>11.9</v>
      </c>
      <c r="M53" s="22">
        <v>34.58</v>
      </c>
      <c r="N53" s="20">
        <v>451</v>
      </c>
      <c r="O53" s="21">
        <v>72.2</v>
      </c>
      <c r="P53" s="21">
        <v>121</v>
      </c>
      <c r="Q53" s="21">
        <v>2.56</v>
      </c>
      <c r="R53" s="22">
        <v>40.5</v>
      </c>
      <c r="S53" s="23">
        <f t="shared" si="0"/>
        <v>51.919395975312682</v>
      </c>
      <c r="T53" s="24">
        <f t="shared" si="1"/>
        <v>106183.880859375</v>
      </c>
    </row>
    <row r="54" spans="1:20" x14ac:dyDescent="0.25">
      <c r="A54" s="19" t="s">
        <v>80</v>
      </c>
      <c r="B54" s="19">
        <v>61</v>
      </c>
      <c r="C54" s="20">
        <v>320</v>
      </c>
      <c r="D54" s="21">
        <v>131</v>
      </c>
      <c r="E54" s="21">
        <v>11.5</v>
      </c>
      <c r="F54" s="21">
        <v>17.3</v>
      </c>
      <c r="G54" s="22">
        <v>11.5</v>
      </c>
      <c r="H54" s="19">
        <v>77.7</v>
      </c>
      <c r="I54" s="20">
        <v>12510</v>
      </c>
      <c r="J54" s="21">
        <v>782</v>
      </c>
      <c r="K54" s="21">
        <v>914</v>
      </c>
      <c r="L54" s="21">
        <v>12.7</v>
      </c>
      <c r="M54" s="22">
        <v>39.26</v>
      </c>
      <c r="N54" s="20">
        <v>555</v>
      </c>
      <c r="O54" s="21">
        <v>84.7</v>
      </c>
      <c r="P54" s="21">
        <v>143</v>
      </c>
      <c r="Q54" s="21">
        <v>2.67</v>
      </c>
      <c r="R54" s="22">
        <v>45.326000000000001</v>
      </c>
      <c r="S54" s="23">
        <f t="shared" si="0"/>
        <v>66.424858789285267</v>
      </c>
      <c r="T54" s="24">
        <f t="shared" si="1"/>
        <v>148481.92532744363</v>
      </c>
    </row>
    <row r="55" spans="1:20" x14ac:dyDescent="0.25">
      <c r="A55" s="19" t="s">
        <v>81</v>
      </c>
      <c r="B55" s="19">
        <v>68</v>
      </c>
      <c r="C55" s="20">
        <v>340</v>
      </c>
      <c r="D55" s="21">
        <v>137</v>
      </c>
      <c r="E55" s="21">
        <v>12.2</v>
      </c>
      <c r="F55" s="21">
        <v>18.3</v>
      </c>
      <c r="G55" s="22">
        <v>12.2</v>
      </c>
      <c r="H55" s="19">
        <v>86.7</v>
      </c>
      <c r="I55" s="20">
        <v>15700</v>
      </c>
      <c r="J55" s="21">
        <v>923</v>
      </c>
      <c r="K55" s="21">
        <v>1080</v>
      </c>
      <c r="L55" s="21">
        <v>13.5</v>
      </c>
      <c r="M55" s="22">
        <v>44.27</v>
      </c>
      <c r="N55" s="20">
        <v>674</v>
      </c>
      <c r="O55" s="21">
        <v>98.4</v>
      </c>
      <c r="P55" s="21">
        <v>166</v>
      </c>
      <c r="Q55" s="21">
        <v>2.8</v>
      </c>
      <c r="R55" s="22">
        <v>50.141999999999996</v>
      </c>
      <c r="S55" s="23">
        <f t="shared" si="0"/>
        <v>82.882779407870245</v>
      </c>
      <c r="T55" s="24">
        <f t="shared" si="1"/>
        <v>202910.10298655462</v>
      </c>
    </row>
    <row r="56" spans="1:20" x14ac:dyDescent="0.25">
      <c r="A56" s="19" t="s">
        <v>82</v>
      </c>
      <c r="B56" s="19">
        <v>76.099999999999994</v>
      </c>
      <c r="C56" s="20">
        <v>360</v>
      </c>
      <c r="D56" s="21">
        <v>143</v>
      </c>
      <c r="E56" s="21">
        <v>13</v>
      </c>
      <c r="F56" s="21">
        <v>19.5</v>
      </c>
      <c r="G56" s="22">
        <v>13</v>
      </c>
      <c r="H56" s="19">
        <v>97</v>
      </c>
      <c r="I56" s="20">
        <v>19610</v>
      </c>
      <c r="J56" s="21">
        <v>1090</v>
      </c>
      <c r="K56" s="21">
        <v>1276</v>
      </c>
      <c r="L56" s="21">
        <v>14.2</v>
      </c>
      <c r="M56" s="22">
        <v>49.95</v>
      </c>
      <c r="N56" s="20">
        <v>818</v>
      </c>
      <c r="O56" s="21">
        <v>114</v>
      </c>
      <c r="P56" s="21">
        <v>194</v>
      </c>
      <c r="Q56" s="21">
        <v>2.9</v>
      </c>
      <c r="R56" s="22">
        <v>55.77</v>
      </c>
      <c r="S56" s="23">
        <f t="shared" si="0"/>
        <v>105.20723063320986</v>
      </c>
      <c r="T56" s="24">
        <f t="shared" si="1"/>
        <v>275464.5486382969</v>
      </c>
    </row>
    <row r="57" spans="1:20" x14ac:dyDescent="0.25">
      <c r="A57" s="19" t="s">
        <v>83</v>
      </c>
      <c r="B57" s="19">
        <v>84</v>
      </c>
      <c r="C57" s="20">
        <v>380</v>
      </c>
      <c r="D57" s="21">
        <v>149</v>
      </c>
      <c r="E57" s="21">
        <v>13.7</v>
      </c>
      <c r="F57" s="21">
        <v>20.5</v>
      </c>
      <c r="G57" s="22">
        <v>13.7</v>
      </c>
      <c r="H57" s="19">
        <v>107</v>
      </c>
      <c r="I57" s="20">
        <v>24010</v>
      </c>
      <c r="J57" s="21">
        <v>1260</v>
      </c>
      <c r="K57" s="21">
        <v>1482</v>
      </c>
      <c r="L57" s="21">
        <v>15</v>
      </c>
      <c r="M57" s="22">
        <v>55.55</v>
      </c>
      <c r="N57" s="20">
        <v>975</v>
      </c>
      <c r="O57" s="21">
        <v>131</v>
      </c>
      <c r="P57" s="21">
        <v>221</v>
      </c>
      <c r="Q57" s="21">
        <v>3.02</v>
      </c>
      <c r="R57" s="22">
        <v>61.09</v>
      </c>
      <c r="S57" s="23">
        <f t="shared" si="0"/>
        <v>128.22905371614783</v>
      </c>
      <c r="T57" s="24">
        <f t="shared" si="1"/>
        <v>365173.46636744268</v>
      </c>
    </row>
    <row r="58" spans="1:20" x14ac:dyDescent="0.25">
      <c r="A58" s="19" t="s">
        <v>84</v>
      </c>
      <c r="B58" s="19">
        <v>92.4</v>
      </c>
      <c r="C58" s="20">
        <v>400</v>
      </c>
      <c r="D58" s="21">
        <v>155</v>
      </c>
      <c r="E58" s="21">
        <v>14.4</v>
      </c>
      <c r="F58" s="21">
        <v>21.6</v>
      </c>
      <c r="G58" s="22">
        <v>14.4</v>
      </c>
      <c r="H58" s="19">
        <v>118</v>
      </c>
      <c r="I58" s="20">
        <v>29210</v>
      </c>
      <c r="J58" s="21">
        <v>1460</v>
      </c>
      <c r="K58" s="21">
        <v>1714</v>
      </c>
      <c r="L58" s="21">
        <v>15.7</v>
      </c>
      <c r="M58" s="22">
        <v>61.69</v>
      </c>
      <c r="N58" s="20">
        <v>1160</v>
      </c>
      <c r="O58" s="21">
        <v>149</v>
      </c>
      <c r="P58" s="21">
        <v>253</v>
      </c>
      <c r="Q58" s="21">
        <v>3.13</v>
      </c>
      <c r="R58" s="22">
        <v>66.959999999999994</v>
      </c>
      <c r="S58" s="23">
        <f t="shared" si="0"/>
        <v>156.21353144987711</v>
      </c>
      <c r="T58" s="24">
        <f t="shared" si="1"/>
        <v>479887.9660079999</v>
      </c>
    </row>
    <row r="59" spans="1:20" x14ac:dyDescent="0.25">
      <c r="A59" s="19" t="s">
        <v>85</v>
      </c>
      <c r="B59" s="19">
        <v>115</v>
      </c>
      <c r="C59" s="20">
        <v>450</v>
      </c>
      <c r="D59" s="21">
        <v>170</v>
      </c>
      <c r="E59" s="21">
        <v>16.2</v>
      </c>
      <c r="F59" s="21">
        <v>24.3</v>
      </c>
      <c r="G59" s="22">
        <v>16.2</v>
      </c>
      <c r="H59" s="19">
        <v>147</v>
      </c>
      <c r="I59" s="20">
        <v>45850</v>
      </c>
      <c r="J59" s="21">
        <v>2040</v>
      </c>
      <c r="K59" s="21">
        <v>2400</v>
      </c>
      <c r="L59" s="21">
        <v>17.7</v>
      </c>
      <c r="M59" s="22">
        <v>77.790000000000006</v>
      </c>
      <c r="N59" s="20">
        <v>1730</v>
      </c>
      <c r="O59" s="21">
        <v>203</v>
      </c>
      <c r="P59" s="21">
        <v>345</v>
      </c>
      <c r="Q59" s="21">
        <v>3.43</v>
      </c>
      <c r="R59" s="22">
        <v>82.62</v>
      </c>
      <c r="S59" s="23">
        <f t="shared" si="0"/>
        <v>246.01784866752041</v>
      </c>
      <c r="T59" s="24">
        <f t="shared" si="1"/>
        <v>901465.47071212495</v>
      </c>
    </row>
    <row r="60" spans="1:20" x14ac:dyDescent="0.25">
      <c r="A60" s="19" t="s">
        <v>86</v>
      </c>
      <c r="B60" s="19">
        <v>141</v>
      </c>
      <c r="C60" s="20">
        <v>500</v>
      </c>
      <c r="D60" s="21">
        <v>185</v>
      </c>
      <c r="E60" s="21">
        <v>18</v>
      </c>
      <c r="F60" s="21">
        <v>27</v>
      </c>
      <c r="G60" s="22">
        <v>18</v>
      </c>
      <c r="H60" s="19">
        <v>179</v>
      </c>
      <c r="I60" s="20">
        <v>68740</v>
      </c>
      <c r="J60" s="21">
        <v>2750</v>
      </c>
      <c r="K60" s="21">
        <v>3240</v>
      </c>
      <c r="L60" s="21">
        <v>19.600000000000001</v>
      </c>
      <c r="M60" s="22">
        <v>95.6</v>
      </c>
      <c r="N60" s="20">
        <v>2480</v>
      </c>
      <c r="O60" s="21">
        <v>268</v>
      </c>
      <c r="P60" s="21">
        <v>456</v>
      </c>
      <c r="Q60" s="21">
        <v>3.72</v>
      </c>
      <c r="R60" s="22">
        <v>99.9</v>
      </c>
      <c r="S60" s="23">
        <f t="shared" si="0"/>
        <v>369.84153326630155</v>
      </c>
      <c r="T60" s="24">
        <f t="shared" si="1"/>
        <v>1593639.1458281251</v>
      </c>
    </row>
    <row r="61" spans="1:20" ht="15.75" thickBot="1" x14ac:dyDescent="0.3">
      <c r="A61" s="25" t="s">
        <v>87</v>
      </c>
      <c r="B61" s="25">
        <v>166</v>
      </c>
      <c r="C61" s="26">
        <v>550</v>
      </c>
      <c r="D61" s="27">
        <v>200</v>
      </c>
      <c r="E61" s="27">
        <v>19</v>
      </c>
      <c r="F61" s="27">
        <v>30</v>
      </c>
      <c r="G61" s="28">
        <v>19</v>
      </c>
      <c r="H61" s="25">
        <v>212</v>
      </c>
      <c r="I61" s="26">
        <v>99180</v>
      </c>
      <c r="J61" s="27">
        <v>3610</v>
      </c>
      <c r="K61" s="27">
        <v>4240</v>
      </c>
      <c r="L61" s="27">
        <v>21.6</v>
      </c>
      <c r="M61" s="28">
        <v>111.3</v>
      </c>
      <c r="N61" s="26">
        <v>3490</v>
      </c>
      <c r="O61" s="27">
        <v>349</v>
      </c>
      <c r="P61" s="27">
        <v>592</v>
      </c>
      <c r="Q61" s="27">
        <v>4.0199999999999996</v>
      </c>
      <c r="R61" s="28">
        <v>120</v>
      </c>
      <c r="S61" s="23">
        <f t="shared" si="0"/>
        <v>520.20370660452079</v>
      </c>
      <c r="T61" s="24">
        <f t="shared" si="1"/>
        <v>2704000</v>
      </c>
    </row>
    <row r="62" spans="1:20" ht="15.75" x14ac:dyDescent="0.25">
      <c r="A62" s="38"/>
      <c r="B62" s="39" t="s">
        <v>88</v>
      </c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1"/>
    </row>
    <row r="63" spans="1:20" x14ac:dyDescent="0.25">
      <c r="A63" s="19" t="s">
        <v>89</v>
      </c>
      <c r="B63" s="19">
        <v>16.7</v>
      </c>
      <c r="C63" s="20">
        <v>96</v>
      </c>
      <c r="D63" s="21">
        <v>100</v>
      </c>
      <c r="E63" s="21">
        <v>5</v>
      </c>
      <c r="F63" s="21">
        <v>8</v>
      </c>
      <c r="G63" s="22">
        <v>12</v>
      </c>
      <c r="H63" s="19">
        <v>21.24</v>
      </c>
      <c r="I63" s="20">
        <v>349.2</v>
      </c>
      <c r="J63" s="21">
        <v>72.760000000000005</v>
      </c>
      <c r="K63" s="21">
        <v>83.01</v>
      </c>
      <c r="L63" s="21">
        <v>4.0599999999999996</v>
      </c>
      <c r="M63" s="22">
        <v>7.56</v>
      </c>
      <c r="N63" s="20">
        <v>133.80000000000001</v>
      </c>
      <c r="O63" s="21">
        <v>26.76</v>
      </c>
      <c r="P63" s="21">
        <v>41.14</v>
      </c>
      <c r="Q63" s="21">
        <v>2.5099999999999998</v>
      </c>
      <c r="R63" s="22">
        <v>16</v>
      </c>
      <c r="S63" s="23">
        <f t="shared" si="0"/>
        <v>5.2494178167107401</v>
      </c>
      <c r="T63" s="24">
        <f t="shared" si="1"/>
        <v>2581.3333333333335</v>
      </c>
    </row>
    <row r="64" spans="1:20" x14ac:dyDescent="0.25">
      <c r="A64" s="19" t="s">
        <v>90</v>
      </c>
      <c r="B64" s="19">
        <v>19.899999999999999</v>
      </c>
      <c r="C64" s="20">
        <v>114</v>
      </c>
      <c r="D64" s="21">
        <v>120</v>
      </c>
      <c r="E64" s="21">
        <v>5</v>
      </c>
      <c r="F64" s="21">
        <v>8</v>
      </c>
      <c r="G64" s="22">
        <v>12</v>
      </c>
      <c r="H64" s="19">
        <v>25.34</v>
      </c>
      <c r="I64" s="20">
        <v>606.20000000000005</v>
      </c>
      <c r="J64" s="21">
        <v>106.3</v>
      </c>
      <c r="K64" s="21">
        <v>119.5</v>
      </c>
      <c r="L64" s="21">
        <v>4.8899999999999997</v>
      </c>
      <c r="M64" s="22">
        <v>8.4600000000000009</v>
      </c>
      <c r="N64" s="20">
        <v>230.9</v>
      </c>
      <c r="O64" s="21">
        <v>38.479999999999997</v>
      </c>
      <c r="P64" s="21">
        <v>58.85</v>
      </c>
      <c r="Q64" s="21">
        <v>3.02</v>
      </c>
      <c r="R64" s="22">
        <v>19.2</v>
      </c>
      <c r="S64" s="23">
        <f t="shared" si="0"/>
        <v>6.0097478167107399</v>
      </c>
      <c r="T64" s="24">
        <f t="shared" si="1"/>
        <v>6471.9359999999997</v>
      </c>
    </row>
    <row r="65" spans="1:20" x14ac:dyDescent="0.25">
      <c r="A65" s="19" t="s">
        <v>91</v>
      </c>
      <c r="B65" s="19">
        <v>24.7</v>
      </c>
      <c r="C65" s="20">
        <v>133</v>
      </c>
      <c r="D65" s="21">
        <v>140</v>
      </c>
      <c r="E65" s="21">
        <v>5.5</v>
      </c>
      <c r="F65" s="21">
        <v>8.5</v>
      </c>
      <c r="G65" s="22">
        <v>12</v>
      </c>
      <c r="H65" s="19">
        <v>31.42</v>
      </c>
      <c r="I65" s="20">
        <v>1033</v>
      </c>
      <c r="J65" s="21">
        <v>155.4</v>
      </c>
      <c r="K65" s="21">
        <v>173.5</v>
      </c>
      <c r="L65" s="21">
        <v>5.73</v>
      </c>
      <c r="M65" s="22">
        <v>10.119999999999999</v>
      </c>
      <c r="N65" s="20">
        <v>389.3</v>
      </c>
      <c r="O65" s="21">
        <v>55.62</v>
      </c>
      <c r="P65" s="21">
        <v>84.85</v>
      </c>
      <c r="Q65" s="21">
        <v>3.52</v>
      </c>
      <c r="R65" s="22">
        <v>23.8</v>
      </c>
      <c r="S65" s="23">
        <f t="shared" si="0"/>
        <v>8.1509253823261485</v>
      </c>
      <c r="T65" s="24">
        <f t="shared" si="1"/>
        <v>15063.659625</v>
      </c>
    </row>
    <row r="66" spans="1:20" x14ac:dyDescent="0.25">
      <c r="A66" s="19" t="s">
        <v>92</v>
      </c>
      <c r="B66" s="19">
        <v>30.4</v>
      </c>
      <c r="C66" s="20">
        <v>152</v>
      </c>
      <c r="D66" s="21">
        <v>160</v>
      </c>
      <c r="E66" s="21">
        <v>6</v>
      </c>
      <c r="F66" s="21">
        <v>9</v>
      </c>
      <c r="G66" s="22">
        <v>15</v>
      </c>
      <c r="H66" s="19">
        <v>38.770000000000003</v>
      </c>
      <c r="I66" s="20">
        <v>1673</v>
      </c>
      <c r="J66" s="21">
        <v>220.1</v>
      </c>
      <c r="K66" s="21">
        <v>245.1</v>
      </c>
      <c r="L66" s="21">
        <v>6.57</v>
      </c>
      <c r="M66" s="22">
        <v>13.21</v>
      </c>
      <c r="N66" s="20">
        <v>615.6</v>
      </c>
      <c r="O66" s="21">
        <v>76.95</v>
      </c>
      <c r="P66" s="21">
        <v>117.6</v>
      </c>
      <c r="Q66" s="21">
        <v>3.98</v>
      </c>
      <c r="R66" s="22">
        <v>28.8</v>
      </c>
      <c r="S66" s="23">
        <f t="shared" si="0"/>
        <v>12.22203528547985</v>
      </c>
      <c r="T66" s="24">
        <f t="shared" si="1"/>
        <v>31409.664000000001</v>
      </c>
    </row>
    <row r="67" spans="1:20" x14ac:dyDescent="0.25">
      <c r="A67" s="19" t="s">
        <v>93</v>
      </c>
      <c r="B67" s="19">
        <v>35.5</v>
      </c>
      <c r="C67" s="20">
        <v>171</v>
      </c>
      <c r="D67" s="21">
        <v>180</v>
      </c>
      <c r="E67" s="21">
        <v>6</v>
      </c>
      <c r="F67" s="21">
        <v>9.5</v>
      </c>
      <c r="G67" s="22">
        <v>15</v>
      </c>
      <c r="H67" s="19">
        <v>45.25</v>
      </c>
      <c r="I67" s="20">
        <v>2510</v>
      </c>
      <c r="J67" s="21">
        <v>293.60000000000002</v>
      </c>
      <c r="K67" s="21">
        <v>324.89999999999998</v>
      </c>
      <c r="L67" s="21">
        <v>7.45</v>
      </c>
      <c r="M67" s="22">
        <v>14.47</v>
      </c>
      <c r="N67" s="20">
        <v>924.6</v>
      </c>
      <c r="O67" s="21">
        <v>102.7</v>
      </c>
      <c r="P67" s="21">
        <v>156.5</v>
      </c>
      <c r="Q67" s="21">
        <v>4.5199999999999996</v>
      </c>
      <c r="R67" s="22">
        <v>34.200000000000003</v>
      </c>
      <c r="S67" s="23">
        <f t="shared" si="0"/>
        <v>14.837025298585056</v>
      </c>
      <c r="T67" s="24">
        <f t="shared" si="1"/>
        <v>60210.874125000002</v>
      </c>
    </row>
    <row r="68" spans="1:20" x14ac:dyDescent="0.25">
      <c r="A68" s="19" t="s">
        <v>94</v>
      </c>
      <c r="B68" s="19">
        <v>42.3</v>
      </c>
      <c r="C68" s="20">
        <v>190</v>
      </c>
      <c r="D68" s="21">
        <v>200</v>
      </c>
      <c r="E68" s="21">
        <v>6.5</v>
      </c>
      <c r="F68" s="21">
        <v>10</v>
      </c>
      <c r="G68" s="22">
        <v>16</v>
      </c>
      <c r="H68" s="19">
        <v>53.83</v>
      </c>
      <c r="I68" s="20">
        <v>3692</v>
      </c>
      <c r="J68" s="21">
        <v>388.6</v>
      </c>
      <c r="K68" s="21">
        <v>429.5</v>
      </c>
      <c r="L68" s="21">
        <v>8.2799999999999994</v>
      </c>
      <c r="M68" s="22">
        <v>18.079999999999998</v>
      </c>
      <c r="N68" s="20">
        <v>1336</v>
      </c>
      <c r="O68" s="21">
        <v>133.6</v>
      </c>
      <c r="P68" s="21">
        <v>203.8</v>
      </c>
      <c r="Q68" s="21">
        <v>4.9800000000000004</v>
      </c>
      <c r="R68" s="22">
        <v>40</v>
      </c>
      <c r="S68" s="23">
        <f t="shared" si="0"/>
        <v>19.495812460613013</v>
      </c>
      <c r="T68" s="24">
        <f t="shared" si="1"/>
        <v>108000</v>
      </c>
    </row>
    <row r="69" spans="1:20" x14ac:dyDescent="0.25">
      <c r="A69" s="19" t="s">
        <v>95</v>
      </c>
      <c r="B69" s="19">
        <v>50.5</v>
      </c>
      <c r="C69" s="20">
        <v>210</v>
      </c>
      <c r="D69" s="21">
        <v>220</v>
      </c>
      <c r="E69" s="21">
        <v>7</v>
      </c>
      <c r="F69" s="21">
        <v>11</v>
      </c>
      <c r="G69" s="22">
        <v>18</v>
      </c>
      <c r="H69" s="19">
        <v>64.34</v>
      </c>
      <c r="I69" s="20">
        <v>5410</v>
      </c>
      <c r="J69" s="21">
        <v>515.20000000000005</v>
      </c>
      <c r="K69" s="21">
        <v>568.5</v>
      </c>
      <c r="L69" s="21">
        <v>9.17</v>
      </c>
      <c r="M69" s="22">
        <v>20.67</v>
      </c>
      <c r="N69" s="20">
        <v>1955</v>
      </c>
      <c r="O69" s="21">
        <v>177.7</v>
      </c>
      <c r="P69" s="21">
        <v>270.60000000000002</v>
      </c>
      <c r="Q69" s="21">
        <v>5.51</v>
      </c>
      <c r="R69" s="22">
        <v>48.4</v>
      </c>
      <c r="S69" s="23">
        <f t="shared" si="0"/>
        <v>28.531192396028882</v>
      </c>
      <c r="T69" s="24">
        <f t="shared" si="1"/>
        <v>193266.08033333335</v>
      </c>
    </row>
    <row r="70" spans="1:20" x14ac:dyDescent="0.25">
      <c r="A70" s="19" t="s">
        <v>96</v>
      </c>
      <c r="B70" s="19">
        <v>60.3</v>
      </c>
      <c r="C70" s="20">
        <v>230</v>
      </c>
      <c r="D70" s="21">
        <v>240</v>
      </c>
      <c r="E70" s="21">
        <v>7.5</v>
      </c>
      <c r="F70" s="21">
        <v>12</v>
      </c>
      <c r="G70" s="22">
        <v>21</v>
      </c>
      <c r="H70" s="19">
        <v>76.84</v>
      </c>
      <c r="I70" s="20">
        <v>7763</v>
      </c>
      <c r="J70" s="21">
        <v>675.1</v>
      </c>
      <c r="K70" s="21">
        <v>744.6</v>
      </c>
      <c r="L70" s="21">
        <v>10.050000000000001</v>
      </c>
      <c r="M70" s="22">
        <v>25.18</v>
      </c>
      <c r="N70" s="20">
        <v>2769</v>
      </c>
      <c r="O70" s="21">
        <v>230.7</v>
      </c>
      <c r="P70" s="21">
        <v>351.7</v>
      </c>
      <c r="Q70" s="21">
        <v>6</v>
      </c>
      <c r="R70" s="22">
        <v>57.6</v>
      </c>
      <c r="S70" s="23">
        <f t="shared" si="0"/>
        <v>41.656856835423895</v>
      </c>
      <c r="T70" s="24">
        <f t="shared" si="1"/>
        <v>328485.88799999998</v>
      </c>
    </row>
    <row r="71" spans="1:20" x14ac:dyDescent="0.25">
      <c r="A71" s="19" t="s">
        <v>97</v>
      </c>
      <c r="B71" s="19">
        <v>68.2</v>
      </c>
      <c r="C71" s="20">
        <v>250</v>
      </c>
      <c r="D71" s="21">
        <v>260</v>
      </c>
      <c r="E71" s="21">
        <v>7.5</v>
      </c>
      <c r="F71" s="21">
        <v>12.5</v>
      </c>
      <c r="G71" s="22">
        <v>24</v>
      </c>
      <c r="H71" s="19">
        <v>86.82</v>
      </c>
      <c r="I71" s="20">
        <v>10450</v>
      </c>
      <c r="J71" s="21">
        <v>836.4</v>
      </c>
      <c r="K71" s="21">
        <v>919.8</v>
      </c>
      <c r="L71" s="21">
        <v>10.97</v>
      </c>
      <c r="M71" s="22">
        <v>28.76</v>
      </c>
      <c r="N71" s="20">
        <v>3668</v>
      </c>
      <c r="O71" s="21">
        <v>282.10000000000002</v>
      </c>
      <c r="P71" s="21">
        <v>430.2</v>
      </c>
      <c r="Q71" s="21">
        <v>6.5</v>
      </c>
      <c r="R71" s="22">
        <v>65</v>
      </c>
      <c r="S71" s="23">
        <f t="shared" si="0"/>
        <v>52.507212436220634</v>
      </c>
      <c r="T71" s="24">
        <f t="shared" si="1"/>
        <v>516352.21354166669</v>
      </c>
    </row>
    <row r="72" spans="1:20" x14ac:dyDescent="0.25">
      <c r="A72" s="19" t="s">
        <v>98</v>
      </c>
      <c r="B72" s="19">
        <v>76.400000000000006</v>
      </c>
      <c r="C72" s="20">
        <v>270</v>
      </c>
      <c r="D72" s="21">
        <v>280</v>
      </c>
      <c r="E72" s="21">
        <v>8</v>
      </c>
      <c r="F72" s="21">
        <v>13</v>
      </c>
      <c r="G72" s="22">
        <v>24</v>
      </c>
      <c r="H72" s="19">
        <v>97.26</v>
      </c>
      <c r="I72" s="20">
        <v>13670</v>
      </c>
      <c r="J72" s="21">
        <v>1013</v>
      </c>
      <c r="K72" s="21">
        <v>1112</v>
      </c>
      <c r="L72" s="21">
        <v>11.86</v>
      </c>
      <c r="M72" s="22">
        <v>31.74</v>
      </c>
      <c r="N72" s="20">
        <v>4763</v>
      </c>
      <c r="O72" s="21">
        <v>340.2</v>
      </c>
      <c r="P72" s="21">
        <v>518.1</v>
      </c>
      <c r="Q72" s="21">
        <v>7</v>
      </c>
      <c r="R72" s="22">
        <v>72.8</v>
      </c>
      <c r="S72" s="23">
        <f t="shared" si="0"/>
        <v>62.254175459579031</v>
      </c>
      <c r="T72" s="24">
        <f t="shared" si="1"/>
        <v>785366.64266666665</v>
      </c>
    </row>
    <row r="73" spans="1:20" x14ac:dyDescent="0.25">
      <c r="A73" s="19" t="s">
        <v>99</v>
      </c>
      <c r="B73" s="19">
        <v>88.3</v>
      </c>
      <c r="C73" s="20">
        <v>290</v>
      </c>
      <c r="D73" s="21">
        <v>300</v>
      </c>
      <c r="E73" s="21">
        <v>8.5</v>
      </c>
      <c r="F73" s="21">
        <v>14</v>
      </c>
      <c r="G73" s="22">
        <v>27</v>
      </c>
      <c r="H73" s="19">
        <v>112.5</v>
      </c>
      <c r="I73" s="20">
        <v>18260</v>
      </c>
      <c r="J73" s="21">
        <v>1260</v>
      </c>
      <c r="K73" s="21">
        <v>1383</v>
      </c>
      <c r="L73" s="21">
        <v>12.74</v>
      </c>
      <c r="M73" s="22">
        <v>37.28</v>
      </c>
      <c r="N73" s="20">
        <v>6310</v>
      </c>
      <c r="O73" s="21">
        <v>420.6</v>
      </c>
      <c r="P73" s="21">
        <v>641.20000000000005</v>
      </c>
      <c r="Q73" s="21">
        <v>7.49</v>
      </c>
      <c r="R73" s="22">
        <v>84</v>
      </c>
      <c r="S73" s="23">
        <f t="shared" si="0"/>
        <v>85.385781228456523</v>
      </c>
      <c r="T73" s="24">
        <f t="shared" si="1"/>
        <v>1199772</v>
      </c>
    </row>
    <row r="74" spans="1:20" x14ac:dyDescent="0.25">
      <c r="A74" s="19" t="s">
        <v>100</v>
      </c>
      <c r="B74" s="19">
        <v>97.6</v>
      </c>
      <c r="C74" s="20">
        <v>310</v>
      </c>
      <c r="D74" s="21">
        <v>300</v>
      </c>
      <c r="E74" s="21">
        <v>9</v>
      </c>
      <c r="F74" s="21">
        <v>15.5</v>
      </c>
      <c r="G74" s="22">
        <v>27</v>
      </c>
      <c r="H74" s="19">
        <v>124.4</v>
      </c>
      <c r="I74" s="20">
        <v>22930</v>
      </c>
      <c r="J74" s="21">
        <v>1479</v>
      </c>
      <c r="K74" s="21">
        <v>1628</v>
      </c>
      <c r="L74" s="21">
        <v>13.58</v>
      </c>
      <c r="M74" s="22">
        <v>41.13</v>
      </c>
      <c r="N74" s="20">
        <v>6985</v>
      </c>
      <c r="O74" s="21">
        <v>465.7</v>
      </c>
      <c r="P74" s="21">
        <v>709.7</v>
      </c>
      <c r="Q74" s="21">
        <v>7.49</v>
      </c>
      <c r="R74" s="22">
        <v>93</v>
      </c>
      <c r="S74" s="23">
        <f t="shared" si="0"/>
        <v>108.26729664351943</v>
      </c>
      <c r="T74" s="24">
        <f t="shared" si="1"/>
        <v>1512358.734375</v>
      </c>
    </row>
    <row r="75" spans="1:20" x14ac:dyDescent="0.25">
      <c r="A75" s="19" t="s">
        <v>101</v>
      </c>
      <c r="B75" s="19">
        <v>105</v>
      </c>
      <c r="C75" s="20">
        <v>330</v>
      </c>
      <c r="D75" s="21">
        <v>300</v>
      </c>
      <c r="E75" s="21">
        <v>9.5</v>
      </c>
      <c r="F75" s="21">
        <v>16.5</v>
      </c>
      <c r="G75" s="22">
        <v>27</v>
      </c>
      <c r="H75" s="19">
        <v>133.5</v>
      </c>
      <c r="I75" s="20">
        <v>27690</v>
      </c>
      <c r="J75" s="21">
        <v>1678</v>
      </c>
      <c r="K75" s="21">
        <v>1850</v>
      </c>
      <c r="L75" s="21">
        <v>14.4</v>
      </c>
      <c r="M75" s="22">
        <v>44.95</v>
      </c>
      <c r="N75" s="20">
        <v>7436</v>
      </c>
      <c r="O75" s="21">
        <v>495.7</v>
      </c>
      <c r="P75" s="21">
        <v>755.9</v>
      </c>
      <c r="Q75" s="21">
        <v>7.46</v>
      </c>
      <c r="R75" s="22">
        <v>99</v>
      </c>
      <c r="S75" s="23">
        <f t="shared" si="0"/>
        <v>127.54411291360657</v>
      </c>
      <c r="T75" s="24">
        <f t="shared" si="1"/>
        <v>1824364.265625</v>
      </c>
    </row>
    <row r="76" spans="1:20" x14ac:dyDescent="0.25">
      <c r="A76" s="19" t="s">
        <v>102</v>
      </c>
      <c r="B76" s="19">
        <v>112</v>
      </c>
      <c r="C76" s="20">
        <v>350</v>
      </c>
      <c r="D76" s="21">
        <v>300</v>
      </c>
      <c r="E76" s="21">
        <v>10</v>
      </c>
      <c r="F76" s="21">
        <v>17.5</v>
      </c>
      <c r="G76" s="22">
        <v>27</v>
      </c>
      <c r="H76" s="19">
        <v>142.80000000000001</v>
      </c>
      <c r="I76" s="20">
        <v>33090</v>
      </c>
      <c r="J76" s="21">
        <v>1891</v>
      </c>
      <c r="K76" s="21">
        <v>2088</v>
      </c>
      <c r="L76" s="21">
        <v>15.22</v>
      </c>
      <c r="M76" s="22">
        <v>48.96</v>
      </c>
      <c r="N76" s="20">
        <v>7887</v>
      </c>
      <c r="O76" s="21">
        <v>525.79999999999995</v>
      </c>
      <c r="P76" s="21">
        <v>802.3</v>
      </c>
      <c r="Q76" s="21">
        <v>7.43</v>
      </c>
      <c r="R76" s="22">
        <v>105</v>
      </c>
      <c r="S76" s="23">
        <f t="shared" si="0"/>
        <v>149.23238667673732</v>
      </c>
      <c r="T76" s="24">
        <f t="shared" si="1"/>
        <v>2176576.171875</v>
      </c>
    </row>
    <row r="77" spans="1:20" x14ac:dyDescent="0.25">
      <c r="A77" s="19" t="s">
        <v>103</v>
      </c>
      <c r="B77" s="19">
        <v>125</v>
      </c>
      <c r="C77" s="20">
        <v>390</v>
      </c>
      <c r="D77" s="21">
        <v>300</v>
      </c>
      <c r="E77" s="21">
        <v>11</v>
      </c>
      <c r="F77" s="21">
        <v>19</v>
      </c>
      <c r="G77" s="22">
        <v>27</v>
      </c>
      <c r="H77" s="19">
        <v>159</v>
      </c>
      <c r="I77" s="20">
        <v>45070</v>
      </c>
      <c r="J77" s="21">
        <v>2311</v>
      </c>
      <c r="K77" s="21">
        <v>2562</v>
      </c>
      <c r="L77" s="21">
        <v>16.84</v>
      </c>
      <c r="M77" s="22">
        <v>57.33</v>
      </c>
      <c r="N77" s="20">
        <v>8564</v>
      </c>
      <c r="O77" s="21">
        <v>570.9</v>
      </c>
      <c r="P77" s="21">
        <v>872.9</v>
      </c>
      <c r="Q77" s="21">
        <v>7.34</v>
      </c>
      <c r="R77" s="22">
        <v>114</v>
      </c>
      <c r="S77" s="23">
        <f t="shared" si="0"/>
        <v>189.54077131488694</v>
      </c>
      <c r="T77" s="24">
        <f t="shared" si="1"/>
        <v>2942076.375</v>
      </c>
    </row>
    <row r="78" spans="1:20" x14ac:dyDescent="0.25">
      <c r="A78" s="19" t="s">
        <v>104</v>
      </c>
      <c r="B78" s="19">
        <v>140</v>
      </c>
      <c r="C78" s="20">
        <v>440</v>
      </c>
      <c r="D78" s="21">
        <v>300</v>
      </c>
      <c r="E78" s="21">
        <v>11.5</v>
      </c>
      <c r="F78" s="21">
        <v>21</v>
      </c>
      <c r="G78" s="22">
        <v>27</v>
      </c>
      <c r="H78" s="19">
        <v>178</v>
      </c>
      <c r="I78" s="20">
        <v>63720</v>
      </c>
      <c r="J78" s="21">
        <v>2896</v>
      </c>
      <c r="K78" s="21">
        <v>3216</v>
      </c>
      <c r="L78" s="21">
        <v>18.920000000000002</v>
      </c>
      <c r="M78" s="22">
        <v>65.78</v>
      </c>
      <c r="N78" s="20">
        <v>9465</v>
      </c>
      <c r="O78" s="21">
        <v>631</v>
      </c>
      <c r="P78" s="21">
        <v>965.5</v>
      </c>
      <c r="Q78" s="21">
        <v>7.29</v>
      </c>
      <c r="R78" s="22">
        <v>126</v>
      </c>
      <c r="S78" s="23">
        <f t="shared" si="0"/>
        <v>244.44073552530034</v>
      </c>
      <c r="T78" s="24">
        <f t="shared" si="1"/>
        <v>4147628.625</v>
      </c>
    </row>
    <row r="79" spans="1:20" x14ac:dyDescent="0.25">
      <c r="A79" s="19" t="s">
        <v>105</v>
      </c>
      <c r="B79" s="19">
        <v>155</v>
      </c>
      <c r="C79" s="20">
        <v>490</v>
      </c>
      <c r="D79" s="21">
        <v>300</v>
      </c>
      <c r="E79" s="21">
        <v>12</v>
      </c>
      <c r="F79" s="21">
        <v>23</v>
      </c>
      <c r="G79" s="22">
        <v>27</v>
      </c>
      <c r="H79" s="19">
        <v>197.5</v>
      </c>
      <c r="I79" s="20">
        <v>86970</v>
      </c>
      <c r="J79" s="21">
        <v>3550</v>
      </c>
      <c r="K79" s="21">
        <v>3949</v>
      </c>
      <c r="L79" s="21">
        <v>20.98</v>
      </c>
      <c r="M79" s="22">
        <v>74.72</v>
      </c>
      <c r="N79" s="20">
        <v>10370</v>
      </c>
      <c r="O79" s="21">
        <v>691.1</v>
      </c>
      <c r="P79" s="21">
        <v>1059</v>
      </c>
      <c r="Q79" s="21">
        <v>7.24</v>
      </c>
      <c r="R79" s="22">
        <v>138</v>
      </c>
      <c r="S79" s="23">
        <f t="shared" si="0"/>
        <v>310.17482758585413</v>
      </c>
      <c r="T79" s="24">
        <f t="shared" si="1"/>
        <v>5643052.875</v>
      </c>
    </row>
    <row r="80" spans="1:20" x14ac:dyDescent="0.25">
      <c r="A80" s="19" t="s">
        <v>106</v>
      </c>
      <c r="B80" s="19">
        <v>166</v>
      </c>
      <c r="C80" s="20">
        <v>540</v>
      </c>
      <c r="D80" s="21">
        <v>300</v>
      </c>
      <c r="E80" s="21">
        <v>12.5</v>
      </c>
      <c r="F80" s="21">
        <v>24</v>
      </c>
      <c r="G80" s="22">
        <v>27</v>
      </c>
      <c r="H80" s="19">
        <v>211.8</v>
      </c>
      <c r="I80" s="20">
        <v>111900</v>
      </c>
      <c r="J80" s="21">
        <v>4146</v>
      </c>
      <c r="K80" s="21">
        <v>4622</v>
      </c>
      <c r="L80" s="21">
        <v>22.99</v>
      </c>
      <c r="M80" s="22">
        <v>83.72</v>
      </c>
      <c r="N80" s="20">
        <v>10820</v>
      </c>
      <c r="O80" s="21">
        <v>721.3</v>
      </c>
      <c r="P80" s="21">
        <v>1107</v>
      </c>
      <c r="Q80" s="21">
        <v>7.15</v>
      </c>
      <c r="R80" s="22">
        <v>144</v>
      </c>
      <c r="S80" s="23">
        <f t="shared" si="0"/>
        <v>352.52922387702586</v>
      </c>
      <c r="T80" s="24">
        <f t="shared" si="1"/>
        <v>7188912</v>
      </c>
    </row>
    <row r="81" spans="1:20" x14ac:dyDescent="0.25">
      <c r="A81" s="19" t="s">
        <v>107</v>
      </c>
      <c r="B81" s="19">
        <v>178</v>
      </c>
      <c r="C81" s="20">
        <v>590</v>
      </c>
      <c r="D81" s="21">
        <v>300</v>
      </c>
      <c r="E81" s="21">
        <v>13</v>
      </c>
      <c r="F81" s="21">
        <v>25</v>
      </c>
      <c r="G81" s="22">
        <v>27</v>
      </c>
      <c r="H81" s="19">
        <v>226.5</v>
      </c>
      <c r="I81" s="20">
        <v>141200</v>
      </c>
      <c r="J81" s="21">
        <v>4787</v>
      </c>
      <c r="K81" s="21">
        <v>5350</v>
      </c>
      <c r="L81" s="21">
        <v>24.97</v>
      </c>
      <c r="M81" s="22">
        <v>93.21</v>
      </c>
      <c r="N81" s="20">
        <v>11270</v>
      </c>
      <c r="O81" s="21">
        <v>751.4</v>
      </c>
      <c r="P81" s="21">
        <v>1156</v>
      </c>
      <c r="Q81" s="21">
        <v>7.05</v>
      </c>
      <c r="R81" s="22">
        <v>150</v>
      </c>
      <c r="S81" s="23">
        <f t="shared" si="0"/>
        <v>398.89041774183636</v>
      </c>
      <c r="T81" s="24">
        <f t="shared" si="1"/>
        <v>8978203.125</v>
      </c>
    </row>
    <row r="82" spans="1:20" x14ac:dyDescent="0.25">
      <c r="A82" s="19" t="s">
        <v>108</v>
      </c>
      <c r="B82" s="19">
        <v>190</v>
      </c>
      <c r="C82" s="20">
        <v>640</v>
      </c>
      <c r="D82" s="21">
        <v>300</v>
      </c>
      <c r="E82" s="21">
        <v>13.5</v>
      </c>
      <c r="F82" s="21">
        <v>26</v>
      </c>
      <c r="G82" s="22">
        <v>27</v>
      </c>
      <c r="H82" s="19">
        <v>241.6</v>
      </c>
      <c r="I82" s="20">
        <v>175200</v>
      </c>
      <c r="J82" s="21">
        <v>5474</v>
      </c>
      <c r="K82" s="21">
        <v>6136</v>
      </c>
      <c r="L82" s="21">
        <v>26.93</v>
      </c>
      <c r="M82" s="22">
        <v>103.2</v>
      </c>
      <c r="N82" s="20">
        <v>11720</v>
      </c>
      <c r="O82" s="21">
        <v>781.6</v>
      </c>
      <c r="P82" s="21">
        <v>1205</v>
      </c>
      <c r="Q82" s="21">
        <v>6.97</v>
      </c>
      <c r="R82" s="22">
        <v>156</v>
      </c>
      <c r="S82" s="23">
        <f t="shared" si="0"/>
        <v>449.47503863751803</v>
      </c>
      <c r="T82" s="24">
        <f t="shared" si="1"/>
        <v>11027133</v>
      </c>
    </row>
    <row r="83" spans="1:20" x14ac:dyDescent="0.25">
      <c r="A83" s="19" t="s">
        <v>109</v>
      </c>
      <c r="B83" s="19">
        <v>204</v>
      </c>
      <c r="C83" s="20">
        <v>690</v>
      </c>
      <c r="D83" s="21">
        <v>300</v>
      </c>
      <c r="E83" s="21">
        <v>14.5</v>
      </c>
      <c r="F83" s="21">
        <v>27</v>
      </c>
      <c r="G83" s="22">
        <v>27</v>
      </c>
      <c r="H83" s="19">
        <v>260.5</v>
      </c>
      <c r="I83" s="20">
        <v>215300</v>
      </c>
      <c r="J83" s="21">
        <v>6241</v>
      </c>
      <c r="K83" s="21">
        <v>7032</v>
      </c>
      <c r="L83" s="21">
        <v>28.75</v>
      </c>
      <c r="M83" s="22">
        <v>117</v>
      </c>
      <c r="N83" s="20">
        <v>12180</v>
      </c>
      <c r="O83" s="21">
        <v>811.9</v>
      </c>
      <c r="P83" s="21">
        <v>1257</v>
      </c>
      <c r="Q83" s="21">
        <v>6.84</v>
      </c>
      <c r="R83" s="22">
        <v>162</v>
      </c>
      <c r="S83" s="23">
        <f t="shared" si="0"/>
        <v>515.10084634977898</v>
      </c>
      <c r="T83" s="24">
        <f t="shared" si="1"/>
        <v>13351908.375</v>
      </c>
    </row>
    <row r="84" spans="1:20" x14ac:dyDescent="0.25">
      <c r="A84" s="19" t="s">
        <v>110</v>
      </c>
      <c r="B84" s="19">
        <v>224</v>
      </c>
      <c r="C84" s="20">
        <v>790</v>
      </c>
      <c r="D84" s="21">
        <v>300</v>
      </c>
      <c r="E84" s="21">
        <v>15</v>
      </c>
      <c r="F84" s="21">
        <v>28</v>
      </c>
      <c r="G84" s="22">
        <v>30</v>
      </c>
      <c r="H84" s="19">
        <v>285.8</v>
      </c>
      <c r="I84" s="20">
        <v>303400</v>
      </c>
      <c r="J84" s="21">
        <v>7682</v>
      </c>
      <c r="K84" s="21">
        <v>8699</v>
      </c>
      <c r="L84" s="21">
        <v>32.58</v>
      </c>
      <c r="M84" s="22">
        <v>138.80000000000001</v>
      </c>
      <c r="N84" s="20">
        <v>12640</v>
      </c>
      <c r="O84" s="21">
        <v>842.6</v>
      </c>
      <c r="P84" s="21">
        <v>1312</v>
      </c>
      <c r="Q84" s="21">
        <v>6.65</v>
      </c>
      <c r="R84" s="22">
        <v>168</v>
      </c>
      <c r="S84" s="23">
        <f t="shared" si="0"/>
        <v>598.11284940621476</v>
      </c>
      <c r="T84" s="24">
        <f t="shared" si="1"/>
        <v>18290286</v>
      </c>
    </row>
    <row r="85" spans="1:20" x14ac:dyDescent="0.25">
      <c r="A85" s="19" t="s">
        <v>111</v>
      </c>
      <c r="B85" s="19">
        <v>252</v>
      </c>
      <c r="C85" s="20">
        <v>890</v>
      </c>
      <c r="D85" s="21">
        <v>300</v>
      </c>
      <c r="E85" s="21">
        <v>16</v>
      </c>
      <c r="F85" s="21">
        <v>30</v>
      </c>
      <c r="G85" s="22">
        <v>30</v>
      </c>
      <c r="H85" s="19">
        <v>320.5</v>
      </c>
      <c r="I85" s="20">
        <v>422100</v>
      </c>
      <c r="J85" s="21">
        <v>9485</v>
      </c>
      <c r="K85" s="21">
        <v>10810</v>
      </c>
      <c r="L85" s="21">
        <v>36.29</v>
      </c>
      <c r="M85" s="22">
        <v>163.30000000000001</v>
      </c>
      <c r="N85" s="20">
        <v>13550</v>
      </c>
      <c r="O85" s="21">
        <v>903.2</v>
      </c>
      <c r="P85" s="21">
        <v>1414</v>
      </c>
      <c r="Q85" s="21">
        <v>6.5</v>
      </c>
      <c r="R85" s="22">
        <v>180</v>
      </c>
      <c r="S85" s="23">
        <f t="shared" si="0"/>
        <v>738.16306178679361</v>
      </c>
      <c r="T85" s="24">
        <f t="shared" si="1"/>
        <v>24961500</v>
      </c>
    </row>
    <row r="86" spans="1:20" ht="15.75" thickBot="1" x14ac:dyDescent="0.3">
      <c r="A86" s="25" t="s">
        <v>112</v>
      </c>
      <c r="B86" s="25">
        <v>272</v>
      </c>
      <c r="C86" s="26">
        <v>990</v>
      </c>
      <c r="D86" s="27">
        <v>300</v>
      </c>
      <c r="E86" s="27">
        <v>16.5</v>
      </c>
      <c r="F86" s="27">
        <v>31</v>
      </c>
      <c r="G86" s="28">
        <v>30</v>
      </c>
      <c r="H86" s="25">
        <v>346.8</v>
      </c>
      <c r="I86" s="26">
        <v>553800</v>
      </c>
      <c r="J86" s="27">
        <v>11190</v>
      </c>
      <c r="K86" s="27">
        <v>12820</v>
      </c>
      <c r="L86" s="27">
        <v>39.96</v>
      </c>
      <c r="M86" s="28">
        <v>184.6</v>
      </c>
      <c r="N86" s="26">
        <v>14000</v>
      </c>
      <c r="O86" s="27">
        <v>933.6</v>
      </c>
      <c r="P86" s="27">
        <v>1470</v>
      </c>
      <c r="Q86" s="27">
        <v>6.35</v>
      </c>
      <c r="R86" s="28">
        <v>186</v>
      </c>
      <c r="S86" s="23">
        <f t="shared" si="0"/>
        <v>823.80528669642717</v>
      </c>
      <c r="T86" s="24">
        <f t="shared" si="1"/>
        <v>32073874.875</v>
      </c>
    </row>
    <row r="87" spans="1:20" ht="15.75" x14ac:dyDescent="0.25">
      <c r="A87" s="38"/>
      <c r="B87" s="39" t="s">
        <v>113</v>
      </c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1"/>
    </row>
    <row r="88" spans="1:20" x14ac:dyDescent="0.25">
      <c r="A88" s="19" t="s">
        <v>114</v>
      </c>
      <c r="B88" s="19">
        <v>20.399999999999999</v>
      </c>
      <c r="C88" s="20">
        <v>100</v>
      </c>
      <c r="D88" s="21">
        <v>100</v>
      </c>
      <c r="E88" s="21">
        <v>6</v>
      </c>
      <c r="F88" s="21">
        <v>10</v>
      </c>
      <c r="G88" s="22">
        <v>12</v>
      </c>
      <c r="H88" s="19">
        <v>26.04</v>
      </c>
      <c r="I88" s="20">
        <v>449.5</v>
      </c>
      <c r="J88" s="21">
        <v>89.91</v>
      </c>
      <c r="K88" s="21">
        <v>104.2</v>
      </c>
      <c r="L88" s="21">
        <v>4.16</v>
      </c>
      <c r="M88" s="22">
        <v>9.0399999999999991</v>
      </c>
      <c r="N88" s="20">
        <v>167.3</v>
      </c>
      <c r="O88" s="21">
        <v>33.450000000000003</v>
      </c>
      <c r="P88" s="21">
        <v>51.42</v>
      </c>
      <c r="Q88" s="21">
        <v>2.5299999999999998</v>
      </c>
      <c r="R88" s="22">
        <v>20</v>
      </c>
      <c r="S88" s="23">
        <f t="shared" si="0"/>
        <v>9.2731037066388975</v>
      </c>
      <c r="T88" s="24">
        <f t="shared" si="1"/>
        <v>3375</v>
      </c>
    </row>
    <row r="89" spans="1:20" x14ac:dyDescent="0.25">
      <c r="A89" s="19" t="s">
        <v>115</v>
      </c>
      <c r="B89" s="19">
        <v>26.7</v>
      </c>
      <c r="C89" s="20">
        <v>120</v>
      </c>
      <c r="D89" s="21">
        <v>120</v>
      </c>
      <c r="E89" s="21">
        <v>6.5</v>
      </c>
      <c r="F89" s="21">
        <v>11</v>
      </c>
      <c r="G89" s="22">
        <v>12</v>
      </c>
      <c r="H89" s="19">
        <v>34.01</v>
      </c>
      <c r="I89" s="20">
        <v>864.4</v>
      </c>
      <c r="J89" s="21">
        <v>144.1</v>
      </c>
      <c r="K89" s="21">
        <v>165.2</v>
      </c>
      <c r="L89" s="21">
        <v>5.04</v>
      </c>
      <c r="M89" s="22">
        <v>10.96</v>
      </c>
      <c r="N89" s="20">
        <v>317.5</v>
      </c>
      <c r="O89" s="21">
        <v>52.92</v>
      </c>
      <c r="P89" s="21">
        <v>80.97</v>
      </c>
      <c r="Q89" s="21">
        <v>3.06</v>
      </c>
      <c r="R89" s="22">
        <v>26.4</v>
      </c>
      <c r="S89" s="23">
        <f t="shared" si="0"/>
        <v>13.882039338259419</v>
      </c>
      <c r="T89" s="24">
        <f t="shared" si="1"/>
        <v>9409.7520000000004</v>
      </c>
    </row>
    <row r="90" spans="1:20" x14ac:dyDescent="0.25">
      <c r="A90" s="19" t="s">
        <v>116</v>
      </c>
      <c r="B90" s="19">
        <v>33.700000000000003</v>
      </c>
      <c r="C90" s="20">
        <v>140</v>
      </c>
      <c r="D90" s="21">
        <v>140</v>
      </c>
      <c r="E90" s="21">
        <v>7</v>
      </c>
      <c r="F90" s="21">
        <v>12</v>
      </c>
      <c r="G90" s="22">
        <v>12</v>
      </c>
      <c r="H90" s="19">
        <v>42.96</v>
      </c>
      <c r="I90" s="20">
        <v>1509</v>
      </c>
      <c r="J90" s="21">
        <v>215.6</v>
      </c>
      <c r="K90" s="21">
        <v>245.4</v>
      </c>
      <c r="L90" s="21">
        <v>5.93</v>
      </c>
      <c r="M90" s="22">
        <v>13.08</v>
      </c>
      <c r="N90" s="20">
        <v>549.70000000000005</v>
      </c>
      <c r="O90" s="21">
        <v>78.52</v>
      </c>
      <c r="P90" s="21">
        <v>119.8</v>
      </c>
      <c r="Q90" s="21">
        <v>3.58</v>
      </c>
      <c r="R90" s="22">
        <v>33.6</v>
      </c>
      <c r="S90" s="23">
        <f t="shared" ref="S90:S111" si="16">(0.67*(D90-0.63*F90)*F90^3+0.33*(C90-2*F90)*E90^3+2*(E90/F90)*(0.145+0.1*G90/F90)*(((G90+0.5*E90)^2+(G90+F90)^2-G90^2)/(2*G90+F90))^4)/10000</f>
        <v>20.121948037251165</v>
      </c>
      <c r="T90" s="24">
        <f t="shared" ref="T90:T111" si="17">(F90*D90^3*(C90-F90)^2)/24000000</f>
        <v>22478.848000000002</v>
      </c>
    </row>
    <row r="91" spans="1:20" x14ac:dyDescent="0.25">
      <c r="A91" s="19" t="s">
        <v>117</v>
      </c>
      <c r="B91" s="19">
        <v>42.6</v>
      </c>
      <c r="C91" s="20">
        <v>160</v>
      </c>
      <c r="D91" s="21">
        <v>160</v>
      </c>
      <c r="E91" s="21">
        <v>8</v>
      </c>
      <c r="F91" s="21">
        <v>13</v>
      </c>
      <c r="G91" s="22">
        <v>15</v>
      </c>
      <c r="H91" s="19">
        <v>54.25</v>
      </c>
      <c r="I91" s="20">
        <v>2492</v>
      </c>
      <c r="J91" s="21">
        <v>311.5</v>
      </c>
      <c r="K91" s="21">
        <v>354</v>
      </c>
      <c r="L91" s="21">
        <v>6.78</v>
      </c>
      <c r="M91" s="22">
        <v>17.59</v>
      </c>
      <c r="N91" s="20">
        <v>889.2</v>
      </c>
      <c r="O91" s="21">
        <v>111.2</v>
      </c>
      <c r="P91" s="21">
        <v>170</v>
      </c>
      <c r="Q91" s="21">
        <v>4.05</v>
      </c>
      <c r="R91" s="22">
        <v>41.6</v>
      </c>
      <c r="S91" s="23">
        <f t="shared" si="16"/>
        <v>31.32570633385718</v>
      </c>
      <c r="T91" s="24">
        <f t="shared" si="17"/>
        <v>47943.167999999998</v>
      </c>
    </row>
    <row r="92" spans="1:20" x14ac:dyDescent="0.25">
      <c r="A92" s="19" t="s">
        <v>118</v>
      </c>
      <c r="B92" s="19">
        <v>51.2</v>
      </c>
      <c r="C92" s="20">
        <v>180</v>
      </c>
      <c r="D92" s="21">
        <v>180</v>
      </c>
      <c r="E92" s="21">
        <v>8.5</v>
      </c>
      <c r="F92" s="21">
        <v>14</v>
      </c>
      <c r="G92" s="22">
        <v>15</v>
      </c>
      <c r="H92" s="19">
        <v>65.25</v>
      </c>
      <c r="I92" s="20">
        <v>3831</v>
      </c>
      <c r="J92" s="21">
        <v>425.7</v>
      </c>
      <c r="K92" s="21">
        <v>481.4</v>
      </c>
      <c r="L92" s="21">
        <v>7.65</v>
      </c>
      <c r="M92" s="22">
        <v>20.239999999999998</v>
      </c>
      <c r="N92" s="20">
        <v>1363</v>
      </c>
      <c r="O92" s="21">
        <v>151.4</v>
      </c>
      <c r="P92" s="21">
        <v>231</v>
      </c>
      <c r="Q92" s="21">
        <v>4.57</v>
      </c>
      <c r="R92" s="22">
        <v>50.4</v>
      </c>
      <c r="S92" s="23">
        <f t="shared" si="16"/>
        <v>42.290024499272739</v>
      </c>
      <c r="T92" s="24">
        <f t="shared" si="17"/>
        <v>93745.512000000002</v>
      </c>
    </row>
    <row r="93" spans="1:20" x14ac:dyDescent="0.25">
      <c r="A93" s="19" t="s">
        <v>119</v>
      </c>
      <c r="B93" s="19">
        <v>61.3</v>
      </c>
      <c r="C93" s="20">
        <v>200</v>
      </c>
      <c r="D93" s="21">
        <v>200</v>
      </c>
      <c r="E93" s="21">
        <v>9</v>
      </c>
      <c r="F93" s="21">
        <v>15</v>
      </c>
      <c r="G93" s="22">
        <v>18</v>
      </c>
      <c r="H93" s="19">
        <v>78.08</v>
      </c>
      <c r="I93" s="20">
        <v>5696</v>
      </c>
      <c r="J93" s="21">
        <v>569.6</v>
      </c>
      <c r="K93" s="21">
        <v>642.5</v>
      </c>
      <c r="L93" s="21">
        <v>8.5399999999999991</v>
      </c>
      <c r="M93" s="22">
        <v>24.83</v>
      </c>
      <c r="N93" s="20">
        <v>2003</v>
      </c>
      <c r="O93" s="21">
        <v>200.3</v>
      </c>
      <c r="P93" s="21">
        <v>305.8</v>
      </c>
      <c r="Q93" s="21">
        <v>5.07</v>
      </c>
      <c r="R93" s="22">
        <v>60</v>
      </c>
      <c r="S93" s="23">
        <f t="shared" si="16"/>
        <v>59.454187514859441</v>
      </c>
      <c r="T93" s="24">
        <f t="shared" si="17"/>
        <v>171125</v>
      </c>
    </row>
    <row r="94" spans="1:20" x14ac:dyDescent="0.25">
      <c r="A94" s="19" t="s">
        <v>120</v>
      </c>
      <c r="B94" s="19">
        <v>71.5</v>
      </c>
      <c r="C94" s="20">
        <v>220</v>
      </c>
      <c r="D94" s="21">
        <v>220</v>
      </c>
      <c r="E94" s="21">
        <v>9.5</v>
      </c>
      <c r="F94" s="21">
        <v>16</v>
      </c>
      <c r="G94" s="22">
        <v>18</v>
      </c>
      <c r="H94" s="19">
        <v>91.04</v>
      </c>
      <c r="I94" s="20">
        <v>8091</v>
      </c>
      <c r="J94" s="21">
        <v>735.5</v>
      </c>
      <c r="K94" s="21">
        <v>827</v>
      </c>
      <c r="L94" s="21">
        <v>9.43</v>
      </c>
      <c r="M94" s="22">
        <v>27.92</v>
      </c>
      <c r="N94" s="20">
        <v>2843</v>
      </c>
      <c r="O94" s="21">
        <v>258.5</v>
      </c>
      <c r="P94" s="21">
        <v>393.9</v>
      </c>
      <c r="Q94" s="21">
        <v>5.59</v>
      </c>
      <c r="R94" s="22">
        <v>70.400000000000006</v>
      </c>
      <c r="S94" s="23">
        <f t="shared" si="16"/>
        <v>76.800891167261838</v>
      </c>
      <c r="T94" s="24">
        <f t="shared" si="17"/>
        <v>295418.11200000002</v>
      </c>
    </row>
    <row r="95" spans="1:20" x14ac:dyDescent="0.25">
      <c r="A95" s="19" t="s">
        <v>121</v>
      </c>
      <c r="B95" s="19">
        <v>83.2</v>
      </c>
      <c r="C95" s="20">
        <v>240</v>
      </c>
      <c r="D95" s="21">
        <v>240</v>
      </c>
      <c r="E95" s="21">
        <v>10</v>
      </c>
      <c r="F95" s="21">
        <v>17</v>
      </c>
      <c r="G95" s="22">
        <v>21</v>
      </c>
      <c r="H95" s="19">
        <v>106</v>
      </c>
      <c r="I95" s="20">
        <v>11260</v>
      </c>
      <c r="J95" s="21">
        <v>938.3</v>
      </c>
      <c r="K95" s="21">
        <v>1053</v>
      </c>
      <c r="L95" s="21">
        <v>10.31</v>
      </c>
      <c r="M95" s="22">
        <v>33.229999999999997</v>
      </c>
      <c r="N95" s="20">
        <v>3923</v>
      </c>
      <c r="O95" s="21">
        <v>326.89999999999998</v>
      </c>
      <c r="P95" s="21">
        <v>498.4</v>
      </c>
      <c r="Q95" s="21">
        <v>6.08</v>
      </c>
      <c r="R95" s="22">
        <v>81.599999999999994</v>
      </c>
      <c r="S95" s="23">
        <f t="shared" si="16"/>
        <v>102.99256527016234</v>
      </c>
      <c r="T95" s="24">
        <f t="shared" si="17"/>
        <v>486946.36800000002</v>
      </c>
    </row>
    <row r="96" spans="1:20" x14ac:dyDescent="0.25">
      <c r="A96" s="19" t="s">
        <v>122</v>
      </c>
      <c r="B96" s="19">
        <v>93</v>
      </c>
      <c r="C96" s="20">
        <v>260</v>
      </c>
      <c r="D96" s="21">
        <v>260</v>
      </c>
      <c r="E96" s="21">
        <v>10</v>
      </c>
      <c r="F96" s="21">
        <v>17.5</v>
      </c>
      <c r="G96" s="22">
        <v>24</v>
      </c>
      <c r="H96" s="19">
        <v>118.4</v>
      </c>
      <c r="I96" s="20">
        <v>14920</v>
      </c>
      <c r="J96" s="21">
        <v>1148</v>
      </c>
      <c r="K96" s="21">
        <v>1283</v>
      </c>
      <c r="L96" s="21">
        <v>11.22</v>
      </c>
      <c r="M96" s="22">
        <v>37.590000000000003</v>
      </c>
      <c r="N96" s="20">
        <v>5135</v>
      </c>
      <c r="O96" s="21">
        <v>395</v>
      </c>
      <c r="P96" s="21">
        <v>602.20000000000005</v>
      </c>
      <c r="Q96" s="21">
        <v>6.58</v>
      </c>
      <c r="R96" s="22">
        <v>91</v>
      </c>
      <c r="S96" s="23">
        <f t="shared" si="16"/>
        <v>124.14805734873958</v>
      </c>
      <c r="T96" s="24">
        <f t="shared" si="17"/>
        <v>753651.09895833337</v>
      </c>
    </row>
    <row r="97" spans="1:20" x14ac:dyDescent="0.25">
      <c r="A97" s="19" t="s">
        <v>123</v>
      </c>
      <c r="B97" s="19">
        <v>103</v>
      </c>
      <c r="C97" s="20">
        <v>280</v>
      </c>
      <c r="D97" s="21">
        <v>280</v>
      </c>
      <c r="E97" s="21">
        <v>10.5</v>
      </c>
      <c r="F97" s="21">
        <v>18</v>
      </c>
      <c r="G97" s="22">
        <v>24</v>
      </c>
      <c r="H97" s="19">
        <v>131.4</v>
      </c>
      <c r="I97" s="20">
        <v>19270</v>
      </c>
      <c r="J97" s="21">
        <v>1376</v>
      </c>
      <c r="K97" s="21">
        <v>1534</v>
      </c>
      <c r="L97" s="21">
        <v>12.11</v>
      </c>
      <c r="M97" s="22">
        <v>41.09</v>
      </c>
      <c r="N97" s="20">
        <v>6595</v>
      </c>
      <c r="O97" s="21">
        <v>471</v>
      </c>
      <c r="P97" s="21">
        <v>717.6</v>
      </c>
      <c r="Q97" s="21">
        <v>7.09</v>
      </c>
      <c r="R97" s="22">
        <v>100.8</v>
      </c>
      <c r="S97" s="23">
        <f t="shared" si="16"/>
        <v>144.14460545180268</v>
      </c>
      <c r="T97" s="24">
        <f t="shared" si="17"/>
        <v>1130154.8160000001</v>
      </c>
    </row>
    <row r="98" spans="1:20" x14ac:dyDescent="0.25">
      <c r="A98" s="19" t="s">
        <v>124</v>
      </c>
      <c r="B98" s="19">
        <v>117</v>
      </c>
      <c r="C98" s="20">
        <v>300</v>
      </c>
      <c r="D98" s="21">
        <v>300</v>
      </c>
      <c r="E98" s="21">
        <v>11</v>
      </c>
      <c r="F98" s="21">
        <v>19</v>
      </c>
      <c r="G98" s="22">
        <v>27</v>
      </c>
      <c r="H98" s="19">
        <v>149.1</v>
      </c>
      <c r="I98" s="20">
        <v>25170</v>
      </c>
      <c r="J98" s="21">
        <v>1678</v>
      </c>
      <c r="K98" s="21">
        <v>1869</v>
      </c>
      <c r="L98" s="21">
        <v>12.99</v>
      </c>
      <c r="M98" s="22">
        <v>47.43</v>
      </c>
      <c r="N98" s="20">
        <v>8563</v>
      </c>
      <c r="O98" s="21">
        <v>570.9</v>
      </c>
      <c r="P98" s="21">
        <v>870.1</v>
      </c>
      <c r="Q98" s="21">
        <v>7.58</v>
      </c>
      <c r="R98" s="22">
        <v>114</v>
      </c>
      <c r="S98" s="23">
        <f t="shared" si="16"/>
        <v>185.58770131488694</v>
      </c>
      <c r="T98" s="24">
        <f t="shared" si="17"/>
        <v>1687791.375</v>
      </c>
    </row>
    <row r="99" spans="1:20" x14ac:dyDescent="0.25">
      <c r="A99" s="19" t="s">
        <v>125</v>
      </c>
      <c r="B99" s="19">
        <v>127</v>
      </c>
      <c r="C99" s="20">
        <v>320</v>
      </c>
      <c r="D99" s="21">
        <v>300</v>
      </c>
      <c r="E99" s="21">
        <v>11.5</v>
      </c>
      <c r="F99" s="21">
        <v>20.5</v>
      </c>
      <c r="G99" s="22">
        <v>27</v>
      </c>
      <c r="H99" s="19">
        <v>161.30000000000001</v>
      </c>
      <c r="I99" s="20">
        <v>30820</v>
      </c>
      <c r="J99" s="21">
        <v>1926</v>
      </c>
      <c r="K99" s="21">
        <v>2149</v>
      </c>
      <c r="L99" s="21">
        <v>13.82</v>
      </c>
      <c r="M99" s="22">
        <v>51.77</v>
      </c>
      <c r="N99" s="20">
        <v>9239</v>
      </c>
      <c r="O99" s="21">
        <v>615.9</v>
      </c>
      <c r="P99" s="21">
        <v>939.1</v>
      </c>
      <c r="Q99" s="21">
        <v>7.57</v>
      </c>
      <c r="R99" s="22">
        <v>123</v>
      </c>
      <c r="S99" s="23">
        <f t="shared" si="16"/>
        <v>225.75224411122315</v>
      </c>
      <c r="T99" s="24">
        <f t="shared" si="17"/>
        <v>2068712.015625</v>
      </c>
    </row>
    <row r="100" spans="1:20" x14ac:dyDescent="0.25">
      <c r="A100" s="19" t="s">
        <v>126</v>
      </c>
      <c r="B100" s="19">
        <v>134</v>
      </c>
      <c r="C100" s="20">
        <v>340</v>
      </c>
      <c r="D100" s="21">
        <v>300</v>
      </c>
      <c r="E100" s="21">
        <v>12</v>
      </c>
      <c r="F100" s="21">
        <v>21.5</v>
      </c>
      <c r="G100" s="22">
        <v>27</v>
      </c>
      <c r="H100" s="19">
        <v>170.9</v>
      </c>
      <c r="I100" s="20">
        <v>36660</v>
      </c>
      <c r="J100" s="21">
        <v>2156</v>
      </c>
      <c r="K100" s="21">
        <v>2408</v>
      </c>
      <c r="L100" s="21">
        <v>14.65</v>
      </c>
      <c r="M100" s="22">
        <v>56.09</v>
      </c>
      <c r="N100" s="20">
        <v>9690</v>
      </c>
      <c r="O100" s="21">
        <v>646</v>
      </c>
      <c r="P100" s="21">
        <v>985.7</v>
      </c>
      <c r="Q100" s="21">
        <v>7.53</v>
      </c>
      <c r="R100" s="22">
        <v>129</v>
      </c>
      <c r="S100" s="23">
        <f t="shared" si="16"/>
        <v>257.98215525722719</v>
      </c>
      <c r="T100" s="24">
        <f t="shared" si="17"/>
        <v>2453634.421875</v>
      </c>
    </row>
    <row r="101" spans="1:20" x14ac:dyDescent="0.25">
      <c r="A101" s="19" t="s">
        <v>127</v>
      </c>
      <c r="B101" s="19">
        <v>142</v>
      </c>
      <c r="C101" s="20">
        <v>360</v>
      </c>
      <c r="D101" s="21">
        <v>300</v>
      </c>
      <c r="E101" s="21">
        <v>12.5</v>
      </c>
      <c r="F101" s="21">
        <v>22.5</v>
      </c>
      <c r="G101" s="22">
        <v>27</v>
      </c>
      <c r="H101" s="19">
        <v>180.6</v>
      </c>
      <c r="I101" s="20">
        <v>43190</v>
      </c>
      <c r="J101" s="21">
        <v>2400</v>
      </c>
      <c r="K101" s="21">
        <v>2683</v>
      </c>
      <c r="L101" s="21">
        <v>15.46</v>
      </c>
      <c r="M101" s="22">
        <v>60.6</v>
      </c>
      <c r="N101" s="20">
        <v>10140</v>
      </c>
      <c r="O101" s="21">
        <v>676.1</v>
      </c>
      <c r="P101" s="21">
        <v>1032</v>
      </c>
      <c r="Q101" s="21">
        <v>7.49</v>
      </c>
      <c r="R101" s="22">
        <v>135</v>
      </c>
      <c r="S101" s="23">
        <f t="shared" si="16"/>
        <v>293.33295940570662</v>
      </c>
      <c r="T101" s="24">
        <f t="shared" si="17"/>
        <v>2883251.953125</v>
      </c>
    </row>
    <row r="102" spans="1:20" x14ac:dyDescent="0.25">
      <c r="A102" s="19" t="s">
        <v>128</v>
      </c>
      <c r="B102" s="19">
        <v>155</v>
      </c>
      <c r="C102" s="20">
        <v>400</v>
      </c>
      <c r="D102" s="21">
        <v>300</v>
      </c>
      <c r="E102" s="21">
        <v>13.5</v>
      </c>
      <c r="F102" s="21">
        <v>24</v>
      </c>
      <c r="G102" s="22">
        <v>27</v>
      </c>
      <c r="H102" s="19">
        <v>197.8</v>
      </c>
      <c r="I102" s="20">
        <v>57680</v>
      </c>
      <c r="J102" s="21">
        <v>2884</v>
      </c>
      <c r="K102" s="21">
        <v>3232</v>
      </c>
      <c r="L102" s="21">
        <v>17.079999999999998</v>
      </c>
      <c r="M102" s="22">
        <v>69.98</v>
      </c>
      <c r="N102" s="20">
        <v>10820</v>
      </c>
      <c r="O102" s="21">
        <v>721.3</v>
      </c>
      <c r="P102" s="21">
        <v>1104</v>
      </c>
      <c r="Q102" s="21">
        <v>7.4</v>
      </c>
      <c r="R102" s="22">
        <v>144</v>
      </c>
      <c r="S102" s="23">
        <f t="shared" si="16"/>
        <v>356.77035060368161</v>
      </c>
      <c r="T102" s="24">
        <f t="shared" si="17"/>
        <v>3817152</v>
      </c>
    </row>
    <row r="103" spans="1:20" x14ac:dyDescent="0.25">
      <c r="A103" s="19" t="s">
        <v>129</v>
      </c>
      <c r="B103" s="19">
        <v>171</v>
      </c>
      <c r="C103" s="20">
        <v>450</v>
      </c>
      <c r="D103" s="21">
        <v>300</v>
      </c>
      <c r="E103" s="21">
        <v>14</v>
      </c>
      <c r="F103" s="21">
        <v>26</v>
      </c>
      <c r="G103" s="22">
        <v>27</v>
      </c>
      <c r="H103" s="19">
        <v>218</v>
      </c>
      <c r="I103" s="20">
        <v>79890</v>
      </c>
      <c r="J103" s="21">
        <v>3551</v>
      </c>
      <c r="K103" s="21">
        <v>3982</v>
      </c>
      <c r="L103" s="21">
        <v>19.14</v>
      </c>
      <c r="M103" s="22">
        <v>79.66</v>
      </c>
      <c r="N103" s="20">
        <v>11720</v>
      </c>
      <c r="O103" s="21">
        <v>781.4</v>
      </c>
      <c r="P103" s="21">
        <v>1198</v>
      </c>
      <c r="Q103" s="21">
        <v>7.33</v>
      </c>
      <c r="R103" s="22">
        <v>156</v>
      </c>
      <c r="S103" s="23">
        <f t="shared" si="16"/>
        <v>441.77302184791313</v>
      </c>
      <c r="T103" s="24">
        <f t="shared" si="17"/>
        <v>5258448</v>
      </c>
    </row>
    <row r="104" spans="1:20" x14ac:dyDescent="0.25">
      <c r="A104" s="19" t="s">
        <v>130</v>
      </c>
      <c r="B104" s="19">
        <v>187</v>
      </c>
      <c r="C104" s="20">
        <v>500</v>
      </c>
      <c r="D104" s="21">
        <v>300</v>
      </c>
      <c r="E104" s="21">
        <v>14.5</v>
      </c>
      <c r="F104" s="21">
        <v>28</v>
      </c>
      <c r="G104" s="22">
        <v>27</v>
      </c>
      <c r="H104" s="19">
        <v>238.6</v>
      </c>
      <c r="I104" s="20">
        <v>107200</v>
      </c>
      <c r="J104" s="21">
        <v>4287</v>
      </c>
      <c r="K104" s="21">
        <v>4815</v>
      </c>
      <c r="L104" s="21">
        <v>21.19</v>
      </c>
      <c r="M104" s="22">
        <v>89.82</v>
      </c>
      <c r="N104" s="20">
        <v>12620</v>
      </c>
      <c r="O104" s="21">
        <v>841.6</v>
      </c>
      <c r="P104" s="21">
        <v>1292</v>
      </c>
      <c r="Q104" s="21">
        <v>7.27</v>
      </c>
      <c r="R104" s="22">
        <v>168</v>
      </c>
      <c r="S104" s="23">
        <f t="shared" si="16"/>
        <v>540.05703237392675</v>
      </c>
      <c r="T104" s="24">
        <f t="shared" si="17"/>
        <v>7017696</v>
      </c>
    </row>
    <row r="105" spans="1:20" x14ac:dyDescent="0.25">
      <c r="A105" s="19" t="s">
        <v>131</v>
      </c>
      <c r="B105" s="19">
        <v>199</v>
      </c>
      <c r="C105" s="20">
        <v>550</v>
      </c>
      <c r="D105" s="21">
        <v>300</v>
      </c>
      <c r="E105" s="21">
        <v>15</v>
      </c>
      <c r="F105" s="21">
        <v>29</v>
      </c>
      <c r="G105" s="22">
        <v>27</v>
      </c>
      <c r="H105" s="19">
        <v>254.1</v>
      </c>
      <c r="I105" s="20">
        <v>136700</v>
      </c>
      <c r="J105" s="21">
        <v>4971</v>
      </c>
      <c r="K105" s="21">
        <v>5591</v>
      </c>
      <c r="L105" s="21">
        <v>23.2</v>
      </c>
      <c r="M105" s="22">
        <v>100.1</v>
      </c>
      <c r="N105" s="20">
        <v>13080</v>
      </c>
      <c r="O105" s="21">
        <v>871.8</v>
      </c>
      <c r="P105" s="21">
        <v>1341</v>
      </c>
      <c r="Q105" s="21">
        <v>7.17</v>
      </c>
      <c r="R105" s="22">
        <v>174</v>
      </c>
      <c r="S105" s="23">
        <f t="shared" si="16"/>
        <v>602.06892924978331</v>
      </c>
      <c r="T105" s="24">
        <f t="shared" si="17"/>
        <v>8855762.625</v>
      </c>
    </row>
    <row r="106" spans="1:20" x14ac:dyDescent="0.25">
      <c r="A106" s="19" t="s">
        <v>132</v>
      </c>
      <c r="B106" s="19">
        <v>212</v>
      </c>
      <c r="C106" s="20">
        <v>600</v>
      </c>
      <c r="D106" s="21">
        <v>300</v>
      </c>
      <c r="E106" s="21">
        <v>15.5</v>
      </c>
      <c r="F106" s="21">
        <v>30</v>
      </c>
      <c r="G106" s="22">
        <v>27</v>
      </c>
      <c r="H106" s="19">
        <v>270</v>
      </c>
      <c r="I106" s="20">
        <v>171000</v>
      </c>
      <c r="J106" s="21">
        <v>5701</v>
      </c>
      <c r="K106" s="21">
        <v>6425</v>
      </c>
      <c r="L106" s="21">
        <v>25.17</v>
      </c>
      <c r="M106" s="22">
        <v>110.8</v>
      </c>
      <c r="N106" s="20">
        <v>13530</v>
      </c>
      <c r="O106" s="21">
        <v>902</v>
      </c>
      <c r="P106" s="21">
        <v>1391</v>
      </c>
      <c r="Q106" s="21">
        <v>7.08</v>
      </c>
      <c r="R106" s="22">
        <v>180</v>
      </c>
      <c r="S106" s="23">
        <f t="shared" si="16"/>
        <v>669.03465223363435</v>
      </c>
      <c r="T106" s="24">
        <f t="shared" si="17"/>
        <v>10965375</v>
      </c>
    </row>
    <row r="107" spans="1:20" x14ac:dyDescent="0.25">
      <c r="A107" s="19" t="s">
        <v>133</v>
      </c>
      <c r="B107" s="19">
        <v>225</v>
      </c>
      <c r="C107" s="20">
        <v>650</v>
      </c>
      <c r="D107" s="21">
        <v>300</v>
      </c>
      <c r="E107" s="21">
        <v>16</v>
      </c>
      <c r="F107" s="21">
        <v>31</v>
      </c>
      <c r="G107" s="22">
        <v>27</v>
      </c>
      <c r="H107" s="19">
        <v>286.3</v>
      </c>
      <c r="I107" s="20">
        <v>210600</v>
      </c>
      <c r="J107" s="21">
        <v>6480</v>
      </c>
      <c r="K107" s="21">
        <v>7320</v>
      </c>
      <c r="L107" s="21">
        <v>27.12</v>
      </c>
      <c r="M107" s="22">
        <v>122</v>
      </c>
      <c r="N107" s="20">
        <v>13980</v>
      </c>
      <c r="O107" s="21">
        <v>932.3</v>
      </c>
      <c r="P107" s="21">
        <v>1441</v>
      </c>
      <c r="Q107" s="21">
        <v>6.99</v>
      </c>
      <c r="R107" s="22">
        <v>186</v>
      </c>
      <c r="S107" s="23">
        <f t="shared" si="16"/>
        <v>741.1859083368721</v>
      </c>
      <c r="T107" s="24">
        <f t="shared" si="17"/>
        <v>13362739.875</v>
      </c>
    </row>
    <row r="108" spans="1:20" x14ac:dyDescent="0.25">
      <c r="A108" s="19" t="s">
        <v>134</v>
      </c>
      <c r="B108" s="19">
        <v>241</v>
      </c>
      <c r="C108" s="20">
        <v>700</v>
      </c>
      <c r="D108" s="21">
        <v>300</v>
      </c>
      <c r="E108" s="21">
        <v>17</v>
      </c>
      <c r="F108" s="21">
        <v>32</v>
      </c>
      <c r="G108" s="22">
        <v>27</v>
      </c>
      <c r="H108" s="19">
        <v>306.39999999999998</v>
      </c>
      <c r="I108" s="20">
        <v>256900</v>
      </c>
      <c r="J108" s="21">
        <v>7340</v>
      </c>
      <c r="K108" s="21">
        <v>8327</v>
      </c>
      <c r="L108" s="21">
        <v>28.96</v>
      </c>
      <c r="M108" s="22">
        <v>137.1</v>
      </c>
      <c r="N108" s="20">
        <v>14440</v>
      </c>
      <c r="O108" s="21">
        <v>962.7</v>
      </c>
      <c r="P108" s="21">
        <v>1495</v>
      </c>
      <c r="Q108" s="21">
        <v>6.87</v>
      </c>
      <c r="R108" s="22">
        <v>192</v>
      </c>
      <c r="S108" s="23">
        <f t="shared" si="16"/>
        <v>832.95087776076537</v>
      </c>
      <c r="T108" s="24">
        <f t="shared" si="17"/>
        <v>16064064</v>
      </c>
    </row>
    <row r="109" spans="1:20" x14ac:dyDescent="0.25">
      <c r="A109" s="19" t="s">
        <v>135</v>
      </c>
      <c r="B109" s="19">
        <v>262</v>
      </c>
      <c r="C109" s="20">
        <v>800</v>
      </c>
      <c r="D109" s="21">
        <v>300</v>
      </c>
      <c r="E109" s="21">
        <v>17.5</v>
      </c>
      <c r="F109" s="21">
        <v>33</v>
      </c>
      <c r="G109" s="22">
        <v>30</v>
      </c>
      <c r="H109" s="19">
        <v>334.2</v>
      </c>
      <c r="I109" s="20">
        <v>359100</v>
      </c>
      <c r="J109" s="21">
        <v>8977</v>
      </c>
      <c r="K109" s="21">
        <v>10230</v>
      </c>
      <c r="L109" s="21">
        <v>32.78</v>
      </c>
      <c r="M109" s="22">
        <v>161.80000000000001</v>
      </c>
      <c r="N109" s="20">
        <v>14900</v>
      </c>
      <c r="O109" s="21">
        <v>993.6</v>
      </c>
      <c r="P109" s="21">
        <v>1553</v>
      </c>
      <c r="Q109" s="21">
        <v>6.68</v>
      </c>
      <c r="R109" s="22">
        <v>198</v>
      </c>
      <c r="S109" s="23">
        <f t="shared" si="16"/>
        <v>948.05470181934595</v>
      </c>
      <c r="T109" s="24">
        <f t="shared" si="17"/>
        <v>21840229.125</v>
      </c>
    </row>
    <row r="110" spans="1:20" x14ac:dyDescent="0.25">
      <c r="A110" s="19" t="s">
        <v>136</v>
      </c>
      <c r="B110" s="19">
        <v>291</v>
      </c>
      <c r="C110" s="20">
        <v>900</v>
      </c>
      <c r="D110" s="21">
        <v>300</v>
      </c>
      <c r="E110" s="21">
        <v>18.5</v>
      </c>
      <c r="F110" s="21">
        <v>35</v>
      </c>
      <c r="G110" s="22">
        <v>30</v>
      </c>
      <c r="H110" s="19">
        <v>371.3</v>
      </c>
      <c r="I110" s="20">
        <v>494100</v>
      </c>
      <c r="J110" s="21">
        <v>10980</v>
      </c>
      <c r="K110" s="21">
        <v>12580</v>
      </c>
      <c r="L110" s="21">
        <v>36.479999999999997</v>
      </c>
      <c r="M110" s="22">
        <v>188.8</v>
      </c>
      <c r="N110" s="20">
        <v>15820</v>
      </c>
      <c r="O110" s="21">
        <v>1054</v>
      </c>
      <c r="P110" s="21">
        <v>1658</v>
      </c>
      <c r="Q110" s="21">
        <v>6.53</v>
      </c>
      <c r="R110" s="22">
        <v>210</v>
      </c>
      <c r="S110" s="23">
        <f t="shared" si="16"/>
        <v>1139.6901972885889</v>
      </c>
      <c r="T110" s="24">
        <f t="shared" si="17"/>
        <v>29461359.375</v>
      </c>
    </row>
    <row r="111" spans="1:20" ht="15.75" thickBot="1" x14ac:dyDescent="0.3">
      <c r="A111" s="25" t="s">
        <v>137</v>
      </c>
      <c r="B111" s="25">
        <v>314</v>
      </c>
      <c r="C111" s="26">
        <v>1000</v>
      </c>
      <c r="D111" s="27">
        <v>300</v>
      </c>
      <c r="E111" s="27">
        <v>19</v>
      </c>
      <c r="F111" s="27">
        <v>36</v>
      </c>
      <c r="G111" s="28">
        <v>30</v>
      </c>
      <c r="H111" s="25">
        <v>400</v>
      </c>
      <c r="I111" s="26">
        <v>644700</v>
      </c>
      <c r="J111" s="27">
        <v>12890</v>
      </c>
      <c r="K111" s="27">
        <v>14860</v>
      </c>
      <c r="L111" s="27">
        <v>40.15</v>
      </c>
      <c r="M111" s="28">
        <v>212.5</v>
      </c>
      <c r="N111" s="26">
        <v>16280</v>
      </c>
      <c r="O111" s="27">
        <v>1085</v>
      </c>
      <c r="P111" s="27">
        <v>1716</v>
      </c>
      <c r="Q111" s="27">
        <v>6.38</v>
      </c>
      <c r="R111" s="28">
        <v>216</v>
      </c>
      <c r="S111" s="23">
        <f t="shared" si="16"/>
        <v>1256.6117566176388</v>
      </c>
      <c r="T111" s="24">
        <f t="shared" si="17"/>
        <v>37636488</v>
      </c>
    </row>
    <row r="112" spans="1:20" ht="15.75" x14ac:dyDescent="0.25">
      <c r="A112" s="38"/>
      <c r="B112" s="39" t="s">
        <v>138</v>
      </c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2"/>
    </row>
    <row r="113" spans="1:20" x14ac:dyDescent="0.25">
      <c r="A113" s="19" t="s">
        <v>139</v>
      </c>
      <c r="B113" s="30">
        <f>7.85*H113*0.1</f>
        <v>41.790343664382092</v>
      </c>
      <c r="C113" s="20">
        <v>120</v>
      </c>
      <c r="D113" s="21">
        <v>106</v>
      </c>
      <c r="E113" s="21">
        <v>12</v>
      </c>
      <c r="F113" s="21">
        <v>20</v>
      </c>
      <c r="G113" s="22">
        <v>12</v>
      </c>
      <c r="H113" s="31">
        <f>((C113-2*F113)*E113+2*D113*F113+(2*G113)^2-PI()*G113^2)*0.01</f>
        <v>53.236106578830693</v>
      </c>
      <c r="I113" s="32">
        <f t="shared" ref="I113:I136" si="18">0.0001*(C113^3*E113/12+(D113-F113)*F113*(C113-F113)^2/2+F113^3*(D113-E113)/6+G113^2*(4-PI())*(0.5*C113-F113-G113*(1-2/(12-3*PI())))^2+4*G113^4*(1/3-PI()/16-1/(9*(4-PI()))))</f>
        <v>1062.6118072797451</v>
      </c>
      <c r="J113" s="33">
        <f t="shared" ref="J113:J136" si="19">I113/(C113*0.5*0.1)</f>
        <v>177.10196787995753</v>
      </c>
      <c r="K113" s="34">
        <f t="shared" ref="K113:K136" si="20">((E113*C113^2)/4+(D113-E113)*(C113-F113)*F113+((C113-2*F113)*(4-PI())*G113^2/2)+((3*PI()-10)*3)/3)*0.001</f>
        <v>236.14385109328356</v>
      </c>
      <c r="L113" s="34">
        <f t="shared" ref="L113:L136" si="21">SQRT(I113/H113)</f>
        <v>4.467701775421717</v>
      </c>
      <c r="M113" s="35">
        <f t="shared" ref="M113:M136" si="22">H113-(2*D113*F113-(E113+2*G113)*F113)*0.01</f>
        <v>18.03610657883069</v>
      </c>
      <c r="N113" s="36">
        <f t="shared" ref="N113:N136" si="23">0.0001*(C113*E113^3/12+(D113-F113)*F113*(D113+F113)^2/8+F113*(D113-E113)^3/24+G113^2*(4-PI())*(0.5*E113-G113*(1-2/(12-3*PI())))^2+4*G113^4*(1/3-PI()/16-1/(9*(4-PI()))))</f>
        <v>412.47613007009147</v>
      </c>
      <c r="O113" s="34">
        <f t="shared" ref="O113:O136" si="24">N113/(D113*0.5*0.1)</f>
        <v>77.825684918885173</v>
      </c>
      <c r="P113" s="34">
        <f t="shared" ref="P113:P136" si="25">0.001*(D113^2*F113/2+((C113-2*F113)*E113^2)/4+G113^3*(10/3-PI())+(2-PI()/2)*E113*G113^2)</f>
        <v>116.31299184189525</v>
      </c>
      <c r="Q113" s="34">
        <f t="shared" ref="Q113:Q136" si="26">SQRT(N113/H113)</f>
        <v>2.7835323153585443</v>
      </c>
      <c r="R113" s="35">
        <f t="shared" ref="R113:R136" si="27">0.01*2*D113*E113</f>
        <v>25.44</v>
      </c>
      <c r="S113" s="23">
        <f t="shared" ref="S113:S136" si="28">(0.67*(D113-0.63*F113)*F113^3+0.33*(C113-2*F113)*E113^3+2*(E113/F113)*(0.145+0.1*G113/F113)*(((G113+0.5*E113)^2+(G113+F113)^2-G113^2)/(2*G113+F113))^4)/10000</f>
        <v>68.416418459435832</v>
      </c>
      <c r="T113" s="24">
        <f t="shared" ref="T113:T136" si="29">(F113*D113^3*(C113-F113)^2)/24000000</f>
        <v>9925.1333333333332</v>
      </c>
    </row>
    <row r="114" spans="1:20" x14ac:dyDescent="0.25">
      <c r="A114" s="19" t="s">
        <v>140</v>
      </c>
      <c r="B114" s="30">
        <f t="shared" ref="B114:B136" si="30">7.85*H114*0.1</f>
        <v>52.128793664382101</v>
      </c>
      <c r="C114" s="20">
        <v>140</v>
      </c>
      <c r="D114" s="21">
        <v>126</v>
      </c>
      <c r="E114" s="21">
        <v>12.5</v>
      </c>
      <c r="F114" s="21">
        <v>21</v>
      </c>
      <c r="G114" s="22">
        <v>12</v>
      </c>
      <c r="H114" s="31">
        <f t="shared" ref="H114:H136" si="31">((C114-2*F114)*E114+2*D114*F114+(2*G114)^2-PI()*G114^2)*0.01</f>
        <v>66.406106578830702</v>
      </c>
      <c r="I114" s="32">
        <f t="shared" si="18"/>
        <v>1891.1856057659045</v>
      </c>
      <c r="J114" s="33">
        <f t="shared" si="19"/>
        <v>270.16937225227207</v>
      </c>
      <c r="K114" s="34">
        <f t="shared" si="20"/>
        <v>350.94284701423123</v>
      </c>
      <c r="L114" s="34">
        <f t="shared" si="21"/>
        <v>5.3365805349893423</v>
      </c>
      <c r="M114" s="35">
        <f t="shared" si="22"/>
        <v>21.151106578830699</v>
      </c>
      <c r="N114" s="36">
        <f t="shared" si="23"/>
        <v>726.03363975183822</v>
      </c>
      <c r="O114" s="34">
        <f t="shared" si="24"/>
        <v>115.24343488124416</v>
      </c>
      <c r="P114" s="34">
        <f t="shared" si="25"/>
        <v>171.63001950636601</v>
      </c>
      <c r="Q114" s="34">
        <f t="shared" si="26"/>
        <v>3.3065444304501104</v>
      </c>
      <c r="R114" s="35">
        <f t="shared" si="27"/>
        <v>31.5</v>
      </c>
      <c r="S114" s="23">
        <f t="shared" si="28"/>
        <v>91.946766307255231</v>
      </c>
      <c r="T114" s="24">
        <f t="shared" si="29"/>
        <v>24786.408969</v>
      </c>
    </row>
    <row r="115" spans="1:20" x14ac:dyDescent="0.25">
      <c r="A115" s="19" t="s">
        <v>141</v>
      </c>
      <c r="B115" s="30">
        <f t="shared" si="30"/>
        <v>63.23654366438209</v>
      </c>
      <c r="C115" s="20">
        <v>160</v>
      </c>
      <c r="D115" s="21">
        <v>146</v>
      </c>
      <c r="E115" s="21">
        <v>13</v>
      </c>
      <c r="F115" s="21">
        <v>22</v>
      </c>
      <c r="G115" s="22">
        <v>12</v>
      </c>
      <c r="H115" s="31">
        <f t="shared" si="31"/>
        <v>80.556106578830693</v>
      </c>
      <c r="I115" s="32">
        <f t="shared" si="18"/>
        <v>3102.8286135764365</v>
      </c>
      <c r="J115" s="33">
        <f t="shared" si="19"/>
        <v>387.85357669705456</v>
      </c>
      <c r="K115" s="34">
        <f t="shared" si="20"/>
        <v>494.15684293517882</v>
      </c>
      <c r="L115" s="34">
        <f t="shared" si="21"/>
        <v>6.206255632249027</v>
      </c>
      <c r="M115" s="35">
        <f t="shared" si="22"/>
        <v>24.456106578830692</v>
      </c>
      <c r="N115" s="36">
        <f t="shared" si="23"/>
        <v>1181.2690456084754</v>
      </c>
      <c r="O115" s="34">
        <f t="shared" si="24"/>
        <v>161.81767748061304</v>
      </c>
      <c r="P115" s="34">
        <f t="shared" si="25"/>
        <v>240.51179717083681</v>
      </c>
      <c r="Q115" s="34">
        <f t="shared" si="26"/>
        <v>3.8293510189297901</v>
      </c>
      <c r="R115" s="35">
        <f t="shared" si="27"/>
        <v>37.96</v>
      </c>
      <c r="S115" s="23">
        <f t="shared" si="28"/>
        <v>120.39653443024545</v>
      </c>
      <c r="T115" s="24">
        <f t="shared" si="29"/>
        <v>54328.558151999998</v>
      </c>
    </row>
    <row r="116" spans="1:20" x14ac:dyDescent="0.25">
      <c r="A116" s="19" t="s">
        <v>142</v>
      </c>
      <c r="B116" s="30">
        <f t="shared" si="30"/>
        <v>76.185361975597033</v>
      </c>
      <c r="C116" s="20">
        <v>180</v>
      </c>
      <c r="D116" s="21">
        <v>166</v>
      </c>
      <c r="E116" s="21">
        <v>14</v>
      </c>
      <c r="F116" s="21">
        <v>23</v>
      </c>
      <c r="G116" s="22">
        <v>15</v>
      </c>
      <c r="H116" s="31">
        <f t="shared" si="31"/>
        <v>97.051416529422966</v>
      </c>
      <c r="I116" s="32">
        <f t="shared" si="18"/>
        <v>4843.1505414200647</v>
      </c>
      <c r="J116" s="33">
        <f t="shared" si="19"/>
        <v>538.12783793556275</v>
      </c>
      <c r="K116" s="34">
        <f t="shared" si="20"/>
        <v>675.21191552509458</v>
      </c>
      <c r="L116" s="34">
        <f t="shared" si="21"/>
        <v>7.0642009534123931</v>
      </c>
      <c r="M116" s="35">
        <f t="shared" si="22"/>
        <v>30.811416529422971</v>
      </c>
      <c r="N116" s="36">
        <f t="shared" si="23"/>
        <v>1809.6539075432984</v>
      </c>
      <c r="O116" s="34">
        <f t="shared" si="24"/>
        <v>218.03059127027689</v>
      </c>
      <c r="P116" s="34">
        <f t="shared" si="25"/>
        <v>325.45911636473051</v>
      </c>
      <c r="Q116" s="34">
        <f t="shared" si="26"/>
        <v>4.3181410392124073</v>
      </c>
      <c r="R116" s="35">
        <f t="shared" si="27"/>
        <v>46.480000000000004</v>
      </c>
      <c r="S116" s="23">
        <f t="shared" si="28"/>
        <v>162.92385548569453</v>
      </c>
      <c r="T116" s="24">
        <f t="shared" si="29"/>
        <v>108053.82951633334</v>
      </c>
    </row>
    <row r="117" spans="1:20" x14ac:dyDescent="0.25">
      <c r="A117" s="19" t="s">
        <v>143</v>
      </c>
      <c r="B117" s="30">
        <f t="shared" si="30"/>
        <v>88.902361975597032</v>
      </c>
      <c r="C117" s="20">
        <v>200</v>
      </c>
      <c r="D117" s="21">
        <v>186</v>
      </c>
      <c r="E117" s="21">
        <v>14.5</v>
      </c>
      <c r="F117" s="21">
        <v>24</v>
      </c>
      <c r="G117" s="22">
        <v>15</v>
      </c>
      <c r="H117" s="31">
        <f t="shared" si="31"/>
        <v>113.25141652942297</v>
      </c>
      <c r="I117" s="32">
        <f t="shared" si="18"/>
        <v>7130.006597524296</v>
      </c>
      <c r="J117" s="33">
        <f t="shared" si="19"/>
        <v>713.00065975242956</v>
      </c>
      <c r="K117" s="34">
        <f t="shared" si="20"/>
        <v>884.09419040157536</v>
      </c>
      <c r="L117" s="34">
        <f t="shared" si="21"/>
        <v>7.9345654059970077</v>
      </c>
      <c r="M117" s="35">
        <f t="shared" si="22"/>
        <v>34.65141652942296</v>
      </c>
      <c r="N117" s="36">
        <f t="shared" si="23"/>
        <v>2653.207608017452</v>
      </c>
      <c r="O117" s="34">
        <f t="shared" si="24"/>
        <v>285.29114064703782</v>
      </c>
      <c r="P117" s="34">
        <f t="shared" si="25"/>
        <v>425.18890177796612</v>
      </c>
      <c r="Q117" s="34">
        <f t="shared" si="26"/>
        <v>4.840205441563926</v>
      </c>
      <c r="R117" s="35">
        <f t="shared" si="27"/>
        <v>53.940000000000005</v>
      </c>
      <c r="S117" s="23">
        <f t="shared" si="28"/>
        <v>203.90632271240474</v>
      </c>
      <c r="T117" s="24">
        <f t="shared" si="29"/>
        <v>199326.099456</v>
      </c>
    </row>
    <row r="118" spans="1:20" x14ac:dyDescent="0.25">
      <c r="A118" s="19" t="s">
        <v>144</v>
      </c>
      <c r="B118" s="30">
        <f t="shared" si="30"/>
        <v>103.05577324485972</v>
      </c>
      <c r="C118" s="20">
        <v>220</v>
      </c>
      <c r="D118" s="21">
        <v>206</v>
      </c>
      <c r="E118" s="21">
        <v>15</v>
      </c>
      <c r="F118" s="21">
        <v>25</v>
      </c>
      <c r="G118" s="22">
        <v>18</v>
      </c>
      <c r="H118" s="31">
        <f t="shared" si="31"/>
        <v>131.28123980236907</v>
      </c>
      <c r="I118" s="32">
        <f t="shared" si="18"/>
        <v>10166.596892301601</v>
      </c>
      <c r="J118" s="33">
        <f t="shared" si="19"/>
        <v>924.23608111832732</v>
      </c>
      <c r="K118" s="34">
        <f t="shared" si="20"/>
        <v>1136.2649630980982</v>
      </c>
      <c r="L118" s="34">
        <f t="shared" si="21"/>
        <v>8.8000768999777534</v>
      </c>
      <c r="M118" s="35">
        <f t="shared" si="22"/>
        <v>41.031239802369072</v>
      </c>
      <c r="N118" s="36">
        <f t="shared" si="23"/>
        <v>3750.8924794553641</v>
      </c>
      <c r="O118" s="34">
        <f t="shared" si="24"/>
        <v>364.16431839372467</v>
      </c>
      <c r="P118" s="34">
        <f t="shared" si="25"/>
        <v>543.21666149604107</v>
      </c>
      <c r="Q118" s="34">
        <f t="shared" si="26"/>
        <v>5.3452247767384424</v>
      </c>
      <c r="R118" s="35">
        <f t="shared" si="27"/>
        <v>61.800000000000004</v>
      </c>
      <c r="S118" s="23">
        <f t="shared" si="28"/>
        <v>260.20911130767081</v>
      </c>
      <c r="T118" s="24">
        <f t="shared" si="29"/>
        <v>346257.86812499998</v>
      </c>
    </row>
    <row r="119" spans="1:20" x14ac:dyDescent="0.25">
      <c r="A119" s="19" t="s">
        <v>145</v>
      </c>
      <c r="B119" s="30">
        <f t="shared" si="30"/>
        <v>117.31137324485972</v>
      </c>
      <c r="C119" s="20">
        <v>240</v>
      </c>
      <c r="D119" s="21">
        <v>226</v>
      </c>
      <c r="E119" s="21">
        <v>15.5</v>
      </c>
      <c r="F119" s="21">
        <v>26</v>
      </c>
      <c r="G119" s="22">
        <v>18</v>
      </c>
      <c r="H119" s="31">
        <f t="shared" si="31"/>
        <v>149.44123980236907</v>
      </c>
      <c r="I119" s="32">
        <f t="shared" si="18"/>
        <v>13979.716481891421</v>
      </c>
      <c r="J119" s="33">
        <f t="shared" si="19"/>
        <v>1164.9763734909518</v>
      </c>
      <c r="K119" s="34">
        <f t="shared" si="20"/>
        <v>1420.56507892023</v>
      </c>
      <c r="L119" s="34">
        <f t="shared" si="21"/>
        <v>9.6719479547391014</v>
      </c>
      <c r="M119" s="35">
        <f t="shared" si="22"/>
        <v>45.311239802369073</v>
      </c>
      <c r="N119" s="36">
        <f t="shared" si="23"/>
        <v>5146.3697203489492</v>
      </c>
      <c r="O119" s="34">
        <f t="shared" si="24"/>
        <v>455.4309487034468</v>
      </c>
      <c r="P119" s="34">
        <f t="shared" si="25"/>
        <v>678.55344249110033</v>
      </c>
      <c r="Q119" s="34">
        <f t="shared" si="26"/>
        <v>5.8683398993469478</v>
      </c>
      <c r="R119" s="35">
        <f t="shared" si="27"/>
        <v>70.06</v>
      </c>
      <c r="S119" s="23">
        <f t="shared" si="28"/>
        <v>316.25996689343202</v>
      </c>
      <c r="T119" s="24">
        <f t="shared" si="29"/>
        <v>572683.89543733338</v>
      </c>
    </row>
    <row r="120" spans="1:20" x14ac:dyDescent="0.25">
      <c r="A120" s="19" t="s">
        <v>146</v>
      </c>
      <c r="B120" s="30">
        <f t="shared" si="30"/>
        <v>156.67467747217017</v>
      </c>
      <c r="C120" s="20">
        <v>270</v>
      </c>
      <c r="D120" s="21">
        <v>248</v>
      </c>
      <c r="E120" s="21">
        <v>18</v>
      </c>
      <c r="F120" s="21">
        <v>32</v>
      </c>
      <c r="G120" s="22">
        <v>21</v>
      </c>
      <c r="H120" s="31">
        <f t="shared" si="31"/>
        <v>199.58557639766903</v>
      </c>
      <c r="I120" s="32">
        <f t="shared" si="18"/>
        <v>23020.679121624362</v>
      </c>
      <c r="J120" s="33">
        <f t="shared" si="19"/>
        <v>1705.2354904906936</v>
      </c>
      <c r="K120" s="34">
        <f t="shared" si="20"/>
        <v>2118.7208616739517</v>
      </c>
      <c r="L120" s="34">
        <f t="shared" si="21"/>
        <v>10.739757849686985</v>
      </c>
      <c r="M120" s="35">
        <f t="shared" si="22"/>
        <v>60.06557639766902</v>
      </c>
      <c r="N120" s="36">
        <f t="shared" si="23"/>
        <v>8410.4385946577404</v>
      </c>
      <c r="O120" s="34">
        <f t="shared" si="24"/>
        <v>678.26117698852738</v>
      </c>
      <c r="P120" s="34">
        <f t="shared" si="25"/>
        <v>1005.932729193007</v>
      </c>
      <c r="Q120" s="34">
        <f t="shared" si="26"/>
        <v>6.4914952832965378</v>
      </c>
      <c r="R120" s="35">
        <f t="shared" si="27"/>
        <v>89.28</v>
      </c>
      <c r="S120" s="23">
        <f t="shared" si="28"/>
        <v>629.98746515643893</v>
      </c>
      <c r="T120" s="24">
        <f t="shared" si="29"/>
        <v>1151987.3051306666</v>
      </c>
    </row>
    <row r="121" spans="1:20" x14ac:dyDescent="0.25">
      <c r="A121" s="19" t="s">
        <v>147</v>
      </c>
      <c r="B121" s="30">
        <f t="shared" si="30"/>
        <v>172.4208746575284</v>
      </c>
      <c r="C121" s="20">
        <v>290</v>
      </c>
      <c r="D121" s="21">
        <v>268</v>
      </c>
      <c r="E121" s="21">
        <v>18</v>
      </c>
      <c r="F121" s="21">
        <v>32.5</v>
      </c>
      <c r="G121" s="22">
        <v>24</v>
      </c>
      <c r="H121" s="31">
        <f t="shared" si="31"/>
        <v>219.64442631532279</v>
      </c>
      <c r="I121" s="32">
        <f t="shared" si="18"/>
        <v>29744.519105017604</v>
      </c>
      <c r="J121" s="33">
        <f t="shared" si="19"/>
        <v>2051.346145173628</v>
      </c>
      <c r="K121" s="33">
        <f t="shared" si="20"/>
        <v>2526.2617208253423</v>
      </c>
      <c r="L121" s="34">
        <f t="shared" si="21"/>
        <v>11.637062916688997</v>
      </c>
      <c r="M121" s="43">
        <f t="shared" si="22"/>
        <v>66.894426315322789</v>
      </c>
      <c r="N121" s="32">
        <f t="shared" si="23"/>
        <v>10770.829780238959</v>
      </c>
      <c r="O121" s="33">
        <f t="shared" si="24"/>
        <v>803.79326718201185</v>
      </c>
      <c r="P121" s="33">
        <f t="shared" si="25"/>
        <v>1192.4656068405654</v>
      </c>
      <c r="Q121" s="34">
        <f t="shared" si="26"/>
        <v>7.0026833334434304</v>
      </c>
      <c r="R121" s="43">
        <f t="shared" si="27"/>
        <v>96.48</v>
      </c>
      <c r="S121" s="23">
        <f t="shared" si="28"/>
        <v>721.41016697183875</v>
      </c>
      <c r="T121" s="24">
        <f t="shared" si="29"/>
        <v>1728347.1112916667</v>
      </c>
    </row>
    <row r="122" spans="1:20" x14ac:dyDescent="0.25">
      <c r="A122" s="19" t="s">
        <v>148</v>
      </c>
      <c r="B122" s="30">
        <f t="shared" si="30"/>
        <v>188.52907465752838</v>
      </c>
      <c r="C122" s="20">
        <v>310</v>
      </c>
      <c r="D122" s="21">
        <v>288</v>
      </c>
      <c r="E122" s="21">
        <v>18.5</v>
      </c>
      <c r="F122" s="21">
        <v>33</v>
      </c>
      <c r="G122" s="22">
        <v>24</v>
      </c>
      <c r="H122" s="31">
        <f t="shared" si="31"/>
        <v>240.16442631532277</v>
      </c>
      <c r="I122" s="32">
        <f t="shared" si="18"/>
        <v>37711.598418884336</v>
      </c>
      <c r="J122" s="33">
        <f t="shared" si="19"/>
        <v>2433.0063496054408</v>
      </c>
      <c r="K122" s="33">
        <f t="shared" si="20"/>
        <v>2968.283425824899</v>
      </c>
      <c r="L122" s="34">
        <f t="shared" si="21"/>
        <v>12.530925000402076</v>
      </c>
      <c r="M122" s="43">
        <f t="shared" si="22"/>
        <v>72.02942631532278</v>
      </c>
      <c r="N122" s="32">
        <f t="shared" si="23"/>
        <v>13548.135778375507</v>
      </c>
      <c r="O122" s="33">
        <f t="shared" si="24"/>
        <v>940.84276238718792</v>
      </c>
      <c r="P122" s="33">
        <f t="shared" si="25"/>
        <v>1396.6774674984486</v>
      </c>
      <c r="Q122" s="34">
        <f t="shared" si="26"/>
        <v>7.5107867360489307</v>
      </c>
      <c r="R122" s="43">
        <f t="shared" si="27"/>
        <v>106.56</v>
      </c>
      <c r="S122" s="23">
        <f t="shared" si="28"/>
        <v>809.96730605110679</v>
      </c>
      <c r="T122" s="24">
        <f t="shared" si="29"/>
        <v>2520227.229696</v>
      </c>
    </row>
    <row r="123" spans="1:20" x14ac:dyDescent="0.25">
      <c r="A123" s="19" t="s">
        <v>149</v>
      </c>
      <c r="B123" s="30">
        <f t="shared" si="30"/>
        <v>237.91606480093438</v>
      </c>
      <c r="C123" s="20">
        <v>340</v>
      </c>
      <c r="D123" s="21">
        <v>310</v>
      </c>
      <c r="E123" s="21">
        <v>21</v>
      </c>
      <c r="F123" s="21">
        <v>39</v>
      </c>
      <c r="G123" s="22">
        <v>27</v>
      </c>
      <c r="H123" s="31">
        <f t="shared" si="31"/>
        <v>303.07778955533041</v>
      </c>
      <c r="I123" s="32">
        <f t="shared" si="18"/>
        <v>56020.917939769126</v>
      </c>
      <c r="J123" s="33">
        <f t="shared" si="19"/>
        <v>3295.3481141040661</v>
      </c>
      <c r="K123" s="33">
        <f t="shared" si="20"/>
        <v>4081.4474679527893</v>
      </c>
      <c r="L123" s="34">
        <f t="shared" si="21"/>
        <v>13.595589863650845</v>
      </c>
      <c r="M123" s="43">
        <f t="shared" si="22"/>
        <v>90.527789555330401</v>
      </c>
      <c r="N123" s="32">
        <f t="shared" si="23"/>
        <v>20042.882828528978</v>
      </c>
      <c r="O123" s="33">
        <f t="shared" si="24"/>
        <v>1293.0892147438051</v>
      </c>
      <c r="P123" s="33">
        <f t="shared" si="25"/>
        <v>1913.1802108324889</v>
      </c>
      <c r="Q123" s="34">
        <f t="shared" si="26"/>
        <v>8.1321061366063123</v>
      </c>
      <c r="R123" s="43">
        <f t="shared" si="27"/>
        <v>130.20000000000002</v>
      </c>
      <c r="S123" s="23">
        <f t="shared" si="28"/>
        <v>1412.413694236428</v>
      </c>
      <c r="T123" s="24">
        <f t="shared" si="29"/>
        <v>4386028.3853749996</v>
      </c>
    </row>
    <row r="124" spans="1:20" x14ac:dyDescent="0.25">
      <c r="A124" s="19" t="s">
        <v>150</v>
      </c>
      <c r="B124" s="30">
        <f t="shared" si="30"/>
        <v>244.9575148009344</v>
      </c>
      <c r="C124" s="20">
        <v>359</v>
      </c>
      <c r="D124" s="21">
        <v>309</v>
      </c>
      <c r="E124" s="21">
        <v>21</v>
      </c>
      <c r="F124" s="21">
        <v>40</v>
      </c>
      <c r="G124" s="22">
        <v>27</v>
      </c>
      <c r="H124" s="31">
        <f t="shared" si="31"/>
        <v>312.04778955533044</v>
      </c>
      <c r="I124" s="32">
        <f t="shared" si="18"/>
        <v>64267.932837061097</v>
      </c>
      <c r="J124" s="33">
        <f t="shared" si="19"/>
        <v>3580.3862304769414</v>
      </c>
      <c r="K124" s="33">
        <f t="shared" si="20"/>
        <v>4438.8008390748191</v>
      </c>
      <c r="L124" s="34">
        <f t="shared" si="21"/>
        <v>14.351146912001337</v>
      </c>
      <c r="M124" s="43">
        <f t="shared" si="22"/>
        <v>94.847789555330422</v>
      </c>
      <c r="N124" s="32">
        <f t="shared" si="23"/>
        <v>20394.106078528977</v>
      </c>
      <c r="O124" s="33">
        <f t="shared" si="24"/>
        <v>1320.0068659242056</v>
      </c>
      <c r="P124" s="33">
        <f t="shared" si="25"/>
        <v>1950.7244608324891</v>
      </c>
      <c r="Q124" s="34">
        <f t="shared" si="26"/>
        <v>8.0842880928386815</v>
      </c>
      <c r="R124" s="43">
        <f t="shared" si="27"/>
        <v>129.78</v>
      </c>
      <c r="S124" s="23">
        <f t="shared" si="28"/>
        <v>1505.7820124414372</v>
      </c>
      <c r="T124" s="24">
        <f t="shared" si="29"/>
        <v>5003864.6511150002</v>
      </c>
    </row>
    <row r="125" spans="1:20" x14ac:dyDescent="0.25">
      <c r="A125" s="19" t="s">
        <v>151</v>
      </c>
      <c r="B125" s="30">
        <f t="shared" si="30"/>
        <v>247.9248148009344</v>
      </c>
      <c r="C125" s="20">
        <v>377</v>
      </c>
      <c r="D125" s="21">
        <v>309</v>
      </c>
      <c r="E125" s="21">
        <v>21</v>
      </c>
      <c r="F125" s="21">
        <v>40</v>
      </c>
      <c r="G125" s="22">
        <v>27</v>
      </c>
      <c r="H125" s="31">
        <f t="shared" si="31"/>
        <v>315.82778955533041</v>
      </c>
      <c r="I125" s="32">
        <f t="shared" si="18"/>
        <v>72056.057435096358</v>
      </c>
      <c r="J125" s="33">
        <f t="shared" si="19"/>
        <v>3822.602516450735</v>
      </c>
      <c r="K125" s="33">
        <f t="shared" si="20"/>
        <v>4721.3448496746169</v>
      </c>
      <c r="L125" s="34">
        <f t="shared" si="21"/>
        <v>15.104629521190422</v>
      </c>
      <c r="M125" s="43">
        <f t="shared" si="22"/>
        <v>98.627789555330395</v>
      </c>
      <c r="N125" s="32">
        <f t="shared" si="23"/>
        <v>20395.495228528976</v>
      </c>
      <c r="O125" s="33">
        <f t="shared" si="24"/>
        <v>1320.0967785455648</v>
      </c>
      <c r="P125" s="33">
        <f t="shared" si="25"/>
        <v>1952.7089608324891</v>
      </c>
      <c r="Q125" s="34">
        <f t="shared" si="26"/>
        <v>8.0360375448257368</v>
      </c>
      <c r="R125" s="43">
        <f t="shared" si="27"/>
        <v>129.78</v>
      </c>
      <c r="S125" s="23">
        <f t="shared" si="28"/>
        <v>1511.2830464414371</v>
      </c>
      <c r="T125" s="24">
        <f t="shared" si="29"/>
        <v>5584496.0698349997</v>
      </c>
    </row>
    <row r="126" spans="1:20" x14ac:dyDescent="0.25">
      <c r="A126" s="19" t="s">
        <v>152</v>
      </c>
      <c r="B126" s="30">
        <f t="shared" si="30"/>
        <v>250.26411480093441</v>
      </c>
      <c r="C126" s="20">
        <v>395</v>
      </c>
      <c r="D126" s="21">
        <v>308</v>
      </c>
      <c r="E126" s="21">
        <v>21</v>
      </c>
      <c r="F126" s="21">
        <v>40</v>
      </c>
      <c r="G126" s="22">
        <v>27</v>
      </c>
      <c r="H126" s="31">
        <f t="shared" si="31"/>
        <v>318.80778955533043</v>
      </c>
      <c r="I126" s="32">
        <f t="shared" si="18"/>
        <v>80078.082385544578</v>
      </c>
      <c r="J126" s="33">
        <f t="shared" si="19"/>
        <v>4054.5864499009913</v>
      </c>
      <c r="K126" s="33">
        <f t="shared" si="20"/>
        <v>4993.0908602744148</v>
      </c>
      <c r="L126" s="34">
        <f t="shared" si="21"/>
        <v>15.848653490459704</v>
      </c>
      <c r="M126" s="43">
        <f t="shared" si="22"/>
        <v>102.40778955533042</v>
      </c>
      <c r="N126" s="32">
        <f t="shared" si="23"/>
        <v>20201.257711862312</v>
      </c>
      <c r="O126" s="33">
        <f t="shared" si="24"/>
        <v>1311.7699812897606</v>
      </c>
      <c r="P126" s="33">
        <f t="shared" si="25"/>
        <v>1942.353460832489</v>
      </c>
      <c r="Q126" s="34">
        <f t="shared" si="26"/>
        <v>7.9602139839802959</v>
      </c>
      <c r="R126" s="43">
        <f t="shared" si="27"/>
        <v>129.36000000000001</v>
      </c>
      <c r="S126" s="23">
        <f t="shared" si="28"/>
        <v>1512.496080441437</v>
      </c>
      <c r="T126" s="24">
        <f t="shared" si="29"/>
        <v>6137020.941333333</v>
      </c>
    </row>
    <row r="127" spans="1:20" x14ac:dyDescent="0.25">
      <c r="A127" s="19" t="s">
        <v>153</v>
      </c>
      <c r="B127" s="30">
        <f t="shared" si="30"/>
        <v>255.73556480093436</v>
      </c>
      <c r="C127" s="20">
        <v>432</v>
      </c>
      <c r="D127" s="21">
        <v>307</v>
      </c>
      <c r="E127" s="21">
        <v>21</v>
      </c>
      <c r="F127" s="21">
        <v>40</v>
      </c>
      <c r="G127" s="22">
        <v>27</v>
      </c>
      <c r="H127" s="31">
        <f t="shared" si="31"/>
        <v>325.7777895553304</v>
      </c>
      <c r="I127" s="32">
        <f t="shared" si="18"/>
        <v>98279.864047310155</v>
      </c>
      <c r="J127" s="33">
        <f t="shared" si="19"/>
        <v>4549.9937058939886</v>
      </c>
      <c r="K127" s="33">
        <f t="shared" si="20"/>
        <v>5574.3925209517756</v>
      </c>
      <c r="L127" s="34">
        <f t="shared" si="21"/>
        <v>17.368868910989196</v>
      </c>
      <c r="M127" s="43">
        <f t="shared" si="22"/>
        <v>110.17778955533041</v>
      </c>
      <c r="N127" s="32">
        <f t="shared" si="23"/>
        <v>20009.737520195642</v>
      </c>
      <c r="O127" s="33">
        <f t="shared" si="24"/>
        <v>1303.565962227729</v>
      </c>
      <c r="P127" s="33">
        <f t="shared" si="25"/>
        <v>1934.132710832489</v>
      </c>
      <c r="Q127" s="34">
        <f t="shared" si="26"/>
        <v>7.8371824948843702</v>
      </c>
      <c r="R127" s="43">
        <f t="shared" si="27"/>
        <v>128.94</v>
      </c>
      <c r="S127" s="23">
        <f t="shared" si="28"/>
        <v>1519.515761441437</v>
      </c>
      <c r="T127" s="24">
        <f t="shared" si="29"/>
        <v>7410303.7485866668</v>
      </c>
    </row>
    <row r="128" spans="1:20" x14ac:dyDescent="0.25">
      <c r="A128" s="19" t="s">
        <v>154</v>
      </c>
      <c r="B128" s="30">
        <f t="shared" si="30"/>
        <v>263.3186648009343</v>
      </c>
      <c r="C128" s="20">
        <v>478</v>
      </c>
      <c r="D128" s="21">
        <v>307</v>
      </c>
      <c r="E128" s="21">
        <v>21</v>
      </c>
      <c r="F128" s="21">
        <v>40</v>
      </c>
      <c r="G128" s="22">
        <v>27</v>
      </c>
      <c r="H128" s="31">
        <f t="shared" si="31"/>
        <v>335.43778955533037</v>
      </c>
      <c r="I128" s="32">
        <f t="shared" si="18"/>
        <v>124194.2700501802</v>
      </c>
      <c r="J128" s="33">
        <f t="shared" si="19"/>
        <v>5196.4129728108865</v>
      </c>
      <c r="K128" s="33">
        <f t="shared" si="20"/>
        <v>6334.7904369290363</v>
      </c>
      <c r="L128" s="34">
        <f t="shared" si="21"/>
        <v>19.24175966433981</v>
      </c>
      <c r="M128" s="43">
        <f t="shared" si="22"/>
        <v>119.83778955533037</v>
      </c>
      <c r="N128" s="32">
        <f t="shared" si="23"/>
        <v>20013.287570195644</v>
      </c>
      <c r="O128" s="33">
        <f t="shared" si="24"/>
        <v>1303.7972358433642</v>
      </c>
      <c r="P128" s="33">
        <f t="shared" si="25"/>
        <v>1939.204210832489</v>
      </c>
      <c r="Q128" s="34">
        <f t="shared" si="26"/>
        <v>7.7241949104856342</v>
      </c>
      <c r="R128" s="43">
        <f t="shared" si="27"/>
        <v>128.94</v>
      </c>
      <c r="S128" s="23">
        <f t="shared" si="28"/>
        <v>1533.573959441437</v>
      </c>
      <c r="T128" s="24">
        <f t="shared" si="29"/>
        <v>9251498.8048199993</v>
      </c>
    </row>
    <row r="129" spans="1:20" x14ac:dyDescent="0.25">
      <c r="A129" s="19" t="s">
        <v>155</v>
      </c>
      <c r="B129" s="30">
        <f t="shared" si="30"/>
        <v>270.27376480093437</v>
      </c>
      <c r="C129" s="20">
        <v>524</v>
      </c>
      <c r="D129" s="21">
        <v>306</v>
      </c>
      <c r="E129" s="21">
        <v>21</v>
      </c>
      <c r="F129" s="21">
        <v>40</v>
      </c>
      <c r="G129" s="22">
        <v>27</v>
      </c>
      <c r="H129" s="31">
        <f t="shared" si="31"/>
        <v>344.29778955533038</v>
      </c>
      <c r="I129" s="32">
        <f t="shared" si="18"/>
        <v>153027.21319987898</v>
      </c>
      <c r="J129" s="33">
        <f t="shared" si="19"/>
        <v>5840.7333282396548</v>
      </c>
      <c r="K129" s="33">
        <f t="shared" si="20"/>
        <v>7098.0463529062954</v>
      </c>
      <c r="L129" s="34">
        <f t="shared" si="21"/>
        <v>21.082262543502939</v>
      </c>
      <c r="M129" s="43">
        <f t="shared" si="22"/>
        <v>129.49778955533037</v>
      </c>
      <c r="N129" s="32">
        <f t="shared" si="23"/>
        <v>19823.708953528978</v>
      </c>
      <c r="O129" s="33">
        <f t="shared" si="24"/>
        <v>1295.667251864639</v>
      </c>
      <c r="P129" s="33">
        <f t="shared" si="25"/>
        <v>1932.015710832489</v>
      </c>
      <c r="Q129" s="34">
        <f t="shared" si="26"/>
        <v>7.5879653528276689</v>
      </c>
      <c r="R129" s="43">
        <f t="shared" si="27"/>
        <v>128.52000000000001</v>
      </c>
      <c r="S129" s="23">
        <f t="shared" si="28"/>
        <v>1543.3441574414373</v>
      </c>
      <c r="T129" s="24">
        <f t="shared" si="29"/>
        <v>11186745.35616</v>
      </c>
    </row>
    <row r="130" spans="1:20" x14ac:dyDescent="0.25">
      <c r="A130" s="19" t="s">
        <v>156</v>
      </c>
      <c r="B130" s="30">
        <f t="shared" si="30"/>
        <v>278.18656480093432</v>
      </c>
      <c r="C130" s="20">
        <v>572</v>
      </c>
      <c r="D130" s="21">
        <v>306</v>
      </c>
      <c r="E130" s="21">
        <v>21</v>
      </c>
      <c r="F130" s="21">
        <v>40</v>
      </c>
      <c r="G130" s="22">
        <v>27</v>
      </c>
      <c r="H130" s="31">
        <f t="shared" si="31"/>
        <v>354.37778955533037</v>
      </c>
      <c r="I130" s="32">
        <f t="shared" si="18"/>
        <v>187229.04797009661</v>
      </c>
      <c r="J130" s="33">
        <f t="shared" si="19"/>
        <v>6546.4702087446367</v>
      </c>
      <c r="K130" s="33">
        <f t="shared" si="20"/>
        <v>7936.4570478390888</v>
      </c>
      <c r="L130" s="34">
        <f t="shared" si="21"/>
        <v>22.985468864762289</v>
      </c>
      <c r="M130" s="43">
        <f t="shared" si="22"/>
        <v>139.57778955533036</v>
      </c>
      <c r="N130" s="32">
        <f t="shared" si="23"/>
        <v>19827.413353528977</v>
      </c>
      <c r="O130" s="33">
        <f t="shared" si="24"/>
        <v>1295.9093695116978</v>
      </c>
      <c r="P130" s="33">
        <f t="shared" si="25"/>
        <v>1937.307710832489</v>
      </c>
      <c r="Q130" s="34">
        <f t="shared" si="26"/>
        <v>7.479968740203276</v>
      </c>
      <c r="R130" s="43">
        <f t="shared" si="27"/>
        <v>128.52000000000001</v>
      </c>
      <c r="S130" s="23">
        <f t="shared" si="28"/>
        <v>1558.0135814414373</v>
      </c>
      <c r="T130" s="24">
        <f t="shared" si="29"/>
        <v>13515629.98464</v>
      </c>
    </row>
    <row r="131" spans="1:20" x14ac:dyDescent="0.25">
      <c r="A131" s="19" t="s">
        <v>157</v>
      </c>
      <c r="B131" s="30">
        <f t="shared" si="30"/>
        <v>285.4713648009344</v>
      </c>
      <c r="C131" s="20">
        <v>620</v>
      </c>
      <c r="D131" s="21">
        <v>305</v>
      </c>
      <c r="E131" s="21">
        <v>21</v>
      </c>
      <c r="F131" s="21">
        <v>40</v>
      </c>
      <c r="G131" s="22">
        <v>27</v>
      </c>
      <c r="H131" s="31">
        <f t="shared" si="31"/>
        <v>363.6577895553304</v>
      </c>
      <c r="I131" s="32">
        <f t="shared" si="18"/>
        <v>224664.34420932501</v>
      </c>
      <c r="J131" s="33">
        <f t="shared" si="19"/>
        <v>7247.2369099782263</v>
      </c>
      <c r="K131" s="33">
        <f t="shared" si="20"/>
        <v>8775.8597427718814</v>
      </c>
      <c r="L131" s="34">
        <f t="shared" si="21"/>
        <v>24.855392685847519</v>
      </c>
      <c r="M131" s="43">
        <f t="shared" si="22"/>
        <v>149.6577895553304</v>
      </c>
      <c r="N131" s="32">
        <f t="shared" si="23"/>
        <v>19639.23208686231</v>
      </c>
      <c r="O131" s="33">
        <f t="shared" si="24"/>
        <v>1287.818497499168</v>
      </c>
      <c r="P131" s="33">
        <f t="shared" si="25"/>
        <v>1930.3797108324891</v>
      </c>
      <c r="Q131" s="34">
        <f t="shared" si="26"/>
        <v>7.3487894385816181</v>
      </c>
      <c r="R131" s="43">
        <f t="shared" si="27"/>
        <v>128.10000000000002</v>
      </c>
      <c r="S131" s="23">
        <f t="shared" si="28"/>
        <v>1568.395005441437</v>
      </c>
      <c r="T131" s="24">
        <f t="shared" si="29"/>
        <v>15907585.083333334</v>
      </c>
    </row>
    <row r="132" spans="1:20" x14ac:dyDescent="0.25">
      <c r="A132" s="19" t="s">
        <v>158</v>
      </c>
      <c r="B132" s="30">
        <f t="shared" si="30"/>
        <v>293.38416480093434</v>
      </c>
      <c r="C132" s="20">
        <v>668</v>
      </c>
      <c r="D132" s="21">
        <v>305</v>
      </c>
      <c r="E132" s="21">
        <v>21</v>
      </c>
      <c r="F132" s="21">
        <v>40</v>
      </c>
      <c r="G132" s="22">
        <v>27</v>
      </c>
      <c r="H132" s="31">
        <f t="shared" si="31"/>
        <v>373.73778955533038</v>
      </c>
      <c r="I132" s="32">
        <f t="shared" si="18"/>
        <v>266680.98885089741</v>
      </c>
      <c r="J132" s="33">
        <f t="shared" si="19"/>
        <v>7984.4607440388454</v>
      </c>
      <c r="K132" s="33">
        <f t="shared" si="20"/>
        <v>9660.7344377046757</v>
      </c>
      <c r="L132" s="34">
        <f t="shared" si="21"/>
        <v>26.712376179233491</v>
      </c>
      <c r="M132" s="43">
        <f t="shared" si="22"/>
        <v>159.73778955533038</v>
      </c>
      <c r="N132" s="32">
        <f t="shared" si="23"/>
        <v>19642.936486862312</v>
      </c>
      <c r="O132" s="33">
        <f t="shared" si="24"/>
        <v>1288.0614089745779</v>
      </c>
      <c r="P132" s="33">
        <f t="shared" si="25"/>
        <v>1935.671710832489</v>
      </c>
      <c r="Q132" s="34">
        <f t="shared" si="26"/>
        <v>7.249694399141803</v>
      </c>
      <c r="R132" s="43">
        <f t="shared" si="27"/>
        <v>128.10000000000002</v>
      </c>
      <c r="S132" s="23">
        <f t="shared" si="28"/>
        <v>1583.0644294414369</v>
      </c>
      <c r="T132" s="24">
        <f t="shared" si="29"/>
        <v>18649515.563333333</v>
      </c>
    </row>
    <row r="133" spans="1:20" x14ac:dyDescent="0.25">
      <c r="A133" s="19" t="s">
        <v>159</v>
      </c>
      <c r="B133" s="30">
        <f t="shared" si="30"/>
        <v>300.66896480093436</v>
      </c>
      <c r="C133" s="20">
        <v>716</v>
      </c>
      <c r="D133" s="21">
        <v>304</v>
      </c>
      <c r="E133" s="21">
        <v>21</v>
      </c>
      <c r="F133" s="21">
        <v>40</v>
      </c>
      <c r="G133" s="22">
        <v>27</v>
      </c>
      <c r="H133" s="31">
        <f t="shared" si="31"/>
        <v>383.01778955533041</v>
      </c>
      <c r="I133" s="32">
        <f t="shared" si="18"/>
        <v>311912.9701614806</v>
      </c>
      <c r="J133" s="33">
        <f t="shared" si="19"/>
        <v>8712.6527978067188</v>
      </c>
      <c r="K133" s="33">
        <f t="shared" si="20"/>
        <v>10542.761132637468</v>
      </c>
      <c r="L133" s="34">
        <f t="shared" si="21"/>
        <v>28.53692963169647</v>
      </c>
      <c r="M133" s="43">
        <f t="shared" si="22"/>
        <v>169.81778955533039</v>
      </c>
      <c r="N133" s="32">
        <f t="shared" si="23"/>
        <v>19455.994220195644</v>
      </c>
      <c r="O133" s="33">
        <f t="shared" si="24"/>
        <v>1279.9996197497132</v>
      </c>
      <c r="P133" s="33">
        <f t="shared" si="25"/>
        <v>1928.7837108324891</v>
      </c>
      <c r="Q133" s="34">
        <f t="shared" si="26"/>
        <v>7.1271720287156137</v>
      </c>
      <c r="R133" s="43">
        <f t="shared" si="27"/>
        <v>127.68</v>
      </c>
      <c r="S133" s="23">
        <f t="shared" si="28"/>
        <v>1593.4458534414371</v>
      </c>
      <c r="T133" s="24">
        <f t="shared" si="29"/>
        <v>21397492.968106668</v>
      </c>
    </row>
    <row r="134" spans="1:20" x14ac:dyDescent="0.25">
      <c r="A134" s="19" t="s">
        <v>160</v>
      </c>
      <c r="B134" s="30">
        <f t="shared" si="30"/>
        <v>317.34854790238813</v>
      </c>
      <c r="C134" s="20">
        <v>814</v>
      </c>
      <c r="D134" s="21">
        <v>303</v>
      </c>
      <c r="E134" s="21">
        <v>21</v>
      </c>
      <c r="F134" s="21">
        <v>40</v>
      </c>
      <c r="G134" s="22">
        <v>30</v>
      </c>
      <c r="H134" s="31">
        <f t="shared" si="31"/>
        <v>404.26566611769186</v>
      </c>
      <c r="I134" s="32">
        <f t="shared" si="18"/>
        <v>419833.12070196628</v>
      </c>
      <c r="J134" s="33">
        <f t="shared" si="19"/>
        <v>10315.310090957402</v>
      </c>
      <c r="K134" s="33">
        <f t="shared" si="20"/>
        <v>12492.880371297251</v>
      </c>
      <c r="L134" s="34">
        <f t="shared" si="21"/>
        <v>32.22588991767801</v>
      </c>
      <c r="M134" s="43">
        <f t="shared" si="22"/>
        <v>194.26566611769186</v>
      </c>
      <c r="N134" s="32">
        <f t="shared" si="23"/>
        <v>19274.851544177331</v>
      </c>
      <c r="O134" s="33">
        <f t="shared" si="24"/>
        <v>1272.2674286585695</v>
      </c>
      <c r="P134" s="33">
        <f t="shared" si="25"/>
        <v>1930.3924477766523</v>
      </c>
      <c r="Q134" s="34">
        <f t="shared" si="26"/>
        <v>6.9049746982169378</v>
      </c>
      <c r="R134" s="43">
        <f t="shared" si="27"/>
        <v>127.26</v>
      </c>
      <c r="S134" s="23">
        <f t="shared" si="28"/>
        <v>1649.3052882238119</v>
      </c>
      <c r="T134" s="24">
        <f t="shared" si="29"/>
        <v>27775287.084419999</v>
      </c>
    </row>
    <row r="135" spans="1:20" x14ac:dyDescent="0.25">
      <c r="A135" s="19" t="s">
        <v>161</v>
      </c>
      <c r="B135" s="30">
        <f t="shared" si="30"/>
        <v>332.54614790238816</v>
      </c>
      <c r="C135" s="20">
        <v>910</v>
      </c>
      <c r="D135" s="21">
        <v>302</v>
      </c>
      <c r="E135" s="21">
        <v>21</v>
      </c>
      <c r="F135" s="21">
        <v>40</v>
      </c>
      <c r="G135" s="22">
        <v>30</v>
      </c>
      <c r="H135" s="31">
        <f t="shared" si="31"/>
        <v>423.62566611769188</v>
      </c>
      <c r="I135" s="32">
        <f t="shared" si="18"/>
        <v>541672.00968504685</v>
      </c>
      <c r="J135" s="33">
        <f t="shared" si="19"/>
        <v>11904.879333737294</v>
      </c>
      <c r="K135" s="33">
        <f t="shared" si="20"/>
        <v>14446.939568662172</v>
      </c>
      <c r="L135" s="34">
        <f t="shared" si="21"/>
        <v>35.758316567957138</v>
      </c>
      <c r="M135" s="43">
        <f t="shared" si="22"/>
        <v>214.42566611769186</v>
      </c>
      <c r="N135" s="32">
        <f t="shared" si="23"/>
        <v>19094.079677510665</v>
      </c>
      <c r="O135" s="33">
        <f t="shared" si="24"/>
        <v>1264.5085879146134</v>
      </c>
      <c r="P135" s="33">
        <f t="shared" si="25"/>
        <v>1928.8764477766522</v>
      </c>
      <c r="Q135" s="34">
        <f t="shared" si="26"/>
        <v>6.7136428313907164</v>
      </c>
      <c r="R135" s="43">
        <f t="shared" si="27"/>
        <v>126.84</v>
      </c>
      <c r="S135" s="23">
        <f t="shared" si="28"/>
        <v>1674.3561362238124</v>
      </c>
      <c r="T135" s="24">
        <f t="shared" si="29"/>
        <v>34746261.491999999</v>
      </c>
    </row>
    <row r="136" spans="1:20" ht="15.75" thickBot="1" x14ac:dyDescent="0.3">
      <c r="A136" s="19" t="s">
        <v>162</v>
      </c>
      <c r="B136" s="30">
        <f t="shared" si="30"/>
        <v>348.70144790238811</v>
      </c>
      <c r="C136" s="26">
        <v>1008</v>
      </c>
      <c r="D136" s="27">
        <v>302</v>
      </c>
      <c r="E136" s="27">
        <v>21</v>
      </c>
      <c r="F136" s="27">
        <v>40</v>
      </c>
      <c r="G136" s="28">
        <v>30</v>
      </c>
      <c r="H136" s="31">
        <f t="shared" si="31"/>
        <v>444.20566611769186</v>
      </c>
      <c r="I136" s="32">
        <f t="shared" si="18"/>
        <v>686692.53735473775</v>
      </c>
      <c r="J136" s="33">
        <f t="shared" si="19"/>
        <v>13624.85193164162</v>
      </c>
      <c r="K136" s="33">
        <f t="shared" si="20"/>
        <v>16573.126332638865</v>
      </c>
      <c r="L136" s="34">
        <f t="shared" si="21"/>
        <v>39.317791643008462</v>
      </c>
      <c r="M136" s="43">
        <f t="shared" si="22"/>
        <v>235.00566611769185</v>
      </c>
      <c r="N136" s="32">
        <f t="shared" si="23"/>
        <v>19101.642827510666</v>
      </c>
      <c r="O136" s="33">
        <f t="shared" si="24"/>
        <v>1265.0094587755407</v>
      </c>
      <c r="P136" s="33">
        <f t="shared" si="25"/>
        <v>1939.6809477766521</v>
      </c>
      <c r="Q136" s="34">
        <f t="shared" si="26"/>
        <v>6.5575757053653589</v>
      </c>
      <c r="R136" s="43">
        <f t="shared" si="27"/>
        <v>126.84</v>
      </c>
      <c r="S136" s="23">
        <f t="shared" si="28"/>
        <v>1704.3062102238123</v>
      </c>
      <c r="T136" s="24">
        <f t="shared" si="29"/>
        <v>43015036.23765333</v>
      </c>
    </row>
    <row r="137" spans="1:20" ht="15.75" x14ac:dyDescent="0.25">
      <c r="A137" s="38"/>
      <c r="B137" s="39" t="s">
        <v>163</v>
      </c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2"/>
    </row>
    <row r="138" spans="1:20" x14ac:dyDescent="0.25">
      <c r="A138" s="19" t="s">
        <v>164</v>
      </c>
      <c r="B138" s="19">
        <v>8.65</v>
      </c>
      <c r="C138" s="20">
        <v>80</v>
      </c>
      <c r="D138" s="21">
        <v>45</v>
      </c>
      <c r="E138" s="21">
        <v>6</v>
      </c>
      <c r="F138" s="21">
        <v>8</v>
      </c>
      <c r="G138" s="22">
        <v>8</v>
      </c>
      <c r="H138" s="19">
        <v>11</v>
      </c>
      <c r="I138" s="20">
        <v>106</v>
      </c>
      <c r="J138" s="21">
        <v>26.5</v>
      </c>
      <c r="K138" s="21">
        <v>31.8</v>
      </c>
      <c r="L138" s="21">
        <v>3.1</v>
      </c>
      <c r="M138" s="22">
        <v>5.0999999999999996</v>
      </c>
      <c r="N138" s="20">
        <v>19.399999999999999</v>
      </c>
      <c r="O138" s="21">
        <v>6.36</v>
      </c>
      <c r="P138" s="21">
        <v>12.1</v>
      </c>
      <c r="Q138" s="21">
        <v>1.33</v>
      </c>
      <c r="R138" s="22">
        <v>7.2</v>
      </c>
      <c r="S138" s="44">
        <v>2.16</v>
      </c>
      <c r="T138" s="24">
        <v>170</v>
      </c>
    </row>
    <row r="139" spans="1:20" x14ac:dyDescent="0.25">
      <c r="A139" s="19" t="s">
        <v>165</v>
      </c>
      <c r="B139" s="19">
        <v>10.6</v>
      </c>
      <c r="C139" s="20">
        <v>100</v>
      </c>
      <c r="D139" s="21">
        <v>45</v>
      </c>
      <c r="E139" s="21">
        <v>6</v>
      </c>
      <c r="F139" s="21">
        <v>8</v>
      </c>
      <c r="G139" s="22">
        <v>8</v>
      </c>
      <c r="H139" s="19">
        <v>13.5</v>
      </c>
      <c r="I139" s="20">
        <v>206</v>
      </c>
      <c r="J139" s="21">
        <v>41.2</v>
      </c>
      <c r="K139" s="21">
        <v>49</v>
      </c>
      <c r="L139" s="21">
        <v>3.91</v>
      </c>
      <c r="M139" s="22">
        <v>6.46</v>
      </c>
      <c r="N139" s="20">
        <v>29.3</v>
      </c>
      <c r="O139" s="21">
        <v>8.4600000000000009</v>
      </c>
      <c r="P139" s="21">
        <v>16.2</v>
      </c>
      <c r="Q139" s="21">
        <v>1.47</v>
      </c>
      <c r="R139" s="22">
        <v>7.2</v>
      </c>
      <c r="S139" s="44">
        <v>2.81</v>
      </c>
      <c r="T139" s="24">
        <v>410</v>
      </c>
    </row>
    <row r="140" spans="1:20" x14ac:dyDescent="0.25">
      <c r="A140" s="19" t="s">
        <v>166</v>
      </c>
      <c r="B140" s="19">
        <v>13.4</v>
      </c>
      <c r="C140" s="20">
        <v>120</v>
      </c>
      <c r="D140" s="21">
        <v>55</v>
      </c>
      <c r="E140" s="21">
        <v>7</v>
      </c>
      <c r="F140" s="21">
        <v>9</v>
      </c>
      <c r="G140" s="22">
        <v>9</v>
      </c>
      <c r="H140" s="19">
        <v>17</v>
      </c>
      <c r="I140" s="20">
        <v>364</v>
      </c>
      <c r="J140" s="21">
        <v>60.7</v>
      </c>
      <c r="K140" s="21">
        <v>72.599999999999994</v>
      </c>
      <c r="L140" s="21">
        <v>4.62</v>
      </c>
      <c r="M140" s="22">
        <v>8.8000000000000007</v>
      </c>
      <c r="N140" s="20">
        <v>43.2</v>
      </c>
      <c r="O140" s="21">
        <v>11.1</v>
      </c>
      <c r="P140" s="21">
        <v>21.2</v>
      </c>
      <c r="Q140" s="21">
        <v>1.59</v>
      </c>
      <c r="R140" s="22">
        <v>9.9</v>
      </c>
      <c r="S140" s="44">
        <v>4.1500000000000004</v>
      </c>
      <c r="T140" s="24">
        <v>900</v>
      </c>
    </row>
    <row r="141" spans="1:20" x14ac:dyDescent="0.25">
      <c r="A141" s="19" t="s">
        <v>167</v>
      </c>
      <c r="B141" s="19">
        <v>16</v>
      </c>
      <c r="C141" s="20">
        <v>140</v>
      </c>
      <c r="D141" s="21">
        <v>60</v>
      </c>
      <c r="E141" s="21">
        <v>7</v>
      </c>
      <c r="F141" s="21">
        <v>10</v>
      </c>
      <c r="G141" s="22">
        <v>10</v>
      </c>
      <c r="H141" s="19">
        <v>20.399999999999999</v>
      </c>
      <c r="I141" s="20">
        <v>605</v>
      </c>
      <c r="J141" s="21">
        <v>86.4</v>
      </c>
      <c r="K141" s="21">
        <v>103</v>
      </c>
      <c r="L141" s="21">
        <v>5.45</v>
      </c>
      <c r="M141" s="22">
        <v>10.41</v>
      </c>
      <c r="N141" s="20">
        <v>62.7</v>
      </c>
      <c r="O141" s="21">
        <v>14.8</v>
      </c>
      <c r="P141" s="21">
        <v>28.3</v>
      </c>
      <c r="Q141" s="21">
        <v>1.75</v>
      </c>
      <c r="R141" s="22">
        <v>12</v>
      </c>
      <c r="S141" s="44">
        <v>5.68</v>
      </c>
      <c r="T141" s="24">
        <v>1800</v>
      </c>
    </row>
    <row r="142" spans="1:20" x14ac:dyDescent="0.25">
      <c r="A142" s="19" t="s">
        <v>168</v>
      </c>
      <c r="B142" s="19">
        <v>18.8</v>
      </c>
      <c r="C142" s="20">
        <v>160</v>
      </c>
      <c r="D142" s="21">
        <v>65</v>
      </c>
      <c r="E142" s="21">
        <v>7.5</v>
      </c>
      <c r="F142" s="21">
        <v>10.5</v>
      </c>
      <c r="G142" s="22">
        <v>10.5</v>
      </c>
      <c r="H142" s="19">
        <v>24</v>
      </c>
      <c r="I142" s="20">
        <v>925</v>
      </c>
      <c r="J142" s="21">
        <v>116</v>
      </c>
      <c r="K142" s="21">
        <v>138</v>
      </c>
      <c r="L142" s="21">
        <v>6.21</v>
      </c>
      <c r="M142" s="22">
        <v>12.6</v>
      </c>
      <c r="N142" s="20">
        <v>85.3</v>
      </c>
      <c r="O142" s="21">
        <v>18.3</v>
      </c>
      <c r="P142" s="21">
        <v>35.200000000000003</v>
      </c>
      <c r="Q142" s="21">
        <v>1.89</v>
      </c>
      <c r="R142" s="22">
        <v>13.65</v>
      </c>
      <c r="S142" s="44">
        <v>7.39</v>
      </c>
      <c r="T142" s="24">
        <v>3260</v>
      </c>
    </row>
    <row r="143" spans="1:20" x14ac:dyDescent="0.25">
      <c r="A143" s="19" t="s">
        <v>169</v>
      </c>
      <c r="B143" s="19">
        <v>22</v>
      </c>
      <c r="C143" s="20">
        <v>180</v>
      </c>
      <c r="D143" s="21">
        <v>70</v>
      </c>
      <c r="E143" s="21">
        <v>8</v>
      </c>
      <c r="F143" s="21">
        <v>11</v>
      </c>
      <c r="G143" s="22">
        <v>11</v>
      </c>
      <c r="H143" s="19">
        <v>28</v>
      </c>
      <c r="I143" s="20">
        <v>1350</v>
      </c>
      <c r="J143" s="21">
        <v>150</v>
      </c>
      <c r="K143" s="21">
        <v>179</v>
      </c>
      <c r="L143" s="21">
        <v>6.95</v>
      </c>
      <c r="M143" s="22">
        <v>15.09</v>
      </c>
      <c r="N143" s="20">
        <v>114</v>
      </c>
      <c r="O143" s="21">
        <v>22.4</v>
      </c>
      <c r="P143" s="21">
        <v>42.9</v>
      </c>
      <c r="Q143" s="21">
        <v>2.02</v>
      </c>
      <c r="R143" s="22">
        <v>15.4</v>
      </c>
      <c r="S143" s="44">
        <v>9.5500000000000007</v>
      </c>
      <c r="T143" s="24">
        <v>5570</v>
      </c>
    </row>
    <row r="144" spans="1:20" x14ac:dyDescent="0.25">
      <c r="A144" s="19" t="s">
        <v>170</v>
      </c>
      <c r="B144" s="19">
        <v>25.3</v>
      </c>
      <c r="C144" s="20">
        <v>200</v>
      </c>
      <c r="D144" s="21">
        <v>75</v>
      </c>
      <c r="E144" s="21">
        <v>8.5</v>
      </c>
      <c r="F144" s="21">
        <v>11.5</v>
      </c>
      <c r="G144" s="22">
        <v>11.5</v>
      </c>
      <c r="H144" s="19">
        <v>32.200000000000003</v>
      </c>
      <c r="I144" s="20">
        <v>1910</v>
      </c>
      <c r="J144" s="21">
        <v>191</v>
      </c>
      <c r="K144" s="21">
        <v>228</v>
      </c>
      <c r="L144" s="21">
        <v>7.7</v>
      </c>
      <c r="M144" s="22">
        <v>17.71</v>
      </c>
      <c r="N144" s="20">
        <v>148</v>
      </c>
      <c r="O144" s="21">
        <v>27</v>
      </c>
      <c r="P144" s="21">
        <v>51.8</v>
      </c>
      <c r="Q144" s="21">
        <v>2.14</v>
      </c>
      <c r="R144" s="22">
        <v>17.25</v>
      </c>
      <c r="S144" s="44">
        <v>11.9</v>
      </c>
      <c r="T144" s="24">
        <v>9070</v>
      </c>
    </row>
    <row r="145" spans="1:20" x14ac:dyDescent="0.25">
      <c r="A145" s="19" t="s">
        <v>171</v>
      </c>
      <c r="B145" s="19">
        <v>29.4</v>
      </c>
      <c r="C145" s="20">
        <v>220</v>
      </c>
      <c r="D145" s="21">
        <v>80</v>
      </c>
      <c r="E145" s="21">
        <v>9</v>
      </c>
      <c r="F145" s="21">
        <v>12.5</v>
      </c>
      <c r="G145" s="22">
        <v>12.5</v>
      </c>
      <c r="H145" s="19">
        <v>37.4</v>
      </c>
      <c r="I145" s="20">
        <v>2690</v>
      </c>
      <c r="J145" s="21">
        <v>245</v>
      </c>
      <c r="K145" s="21">
        <v>292</v>
      </c>
      <c r="L145" s="21">
        <v>8.48</v>
      </c>
      <c r="M145" s="22">
        <v>20.62</v>
      </c>
      <c r="N145" s="20">
        <v>197</v>
      </c>
      <c r="O145" s="21">
        <v>33.6</v>
      </c>
      <c r="P145" s="21">
        <v>64.099999999999994</v>
      </c>
      <c r="Q145" s="21">
        <v>2.2999999999999998</v>
      </c>
      <c r="R145" s="22">
        <v>20</v>
      </c>
      <c r="S145" s="44">
        <v>16</v>
      </c>
      <c r="T145" s="24">
        <v>14600</v>
      </c>
    </row>
    <row r="146" spans="1:20" x14ac:dyDescent="0.25">
      <c r="A146" s="19" t="s">
        <v>172</v>
      </c>
      <c r="B146" s="19">
        <v>33.200000000000003</v>
      </c>
      <c r="C146" s="20">
        <v>240</v>
      </c>
      <c r="D146" s="21">
        <v>85</v>
      </c>
      <c r="E146" s="21">
        <v>9.5</v>
      </c>
      <c r="F146" s="21">
        <v>13</v>
      </c>
      <c r="G146" s="22">
        <v>13</v>
      </c>
      <c r="H146" s="19">
        <v>42.3</v>
      </c>
      <c r="I146" s="20">
        <v>3600</v>
      </c>
      <c r="J146" s="21">
        <v>300</v>
      </c>
      <c r="K146" s="21">
        <v>358</v>
      </c>
      <c r="L146" s="21">
        <v>9.2200000000000006</v>
      </c>
      <c r="M146" s="22">
        <v>23.71</v>
      </c>
      <c r="N146" s="20">
        <v>248</v>
      </c>
      <c r="O146" s="21">
        <v>39.6</v>
      </c>
      <c r="P146" s="21">
        <v>75.7</v>
      </c>
      <c r="Q146" s="21">
        <v>2.42</v>
      </c>
      <c r="R146" s="22">
        <v>22.1</v>
      </c>
      <c r="S146" s="44">
        <v>19.7</v>
      </c>
      <c r="T146" s="24">
        <v>22100</v>
      </c>
    </row>
    <row r="147" spans="1:20" x14ac:dyDescent="0.25">
      <c r="A147" s="19" t="s">
        <v>173</v>
      </c>
      <c r="B147" s="19">
        <v>37.9</v>
      </c>
      <c r="C147" s="20">
        <v>260</v>
      </c>
      <c r="D147" s="21">
        <v>90</v>
      </c>
      <c r="E147" s="21">
        <v>10</v>
      </c>
      <c r="F147" s="21">
        <v>14</v>
      </c>
      <c r="G147" s="22">
        <v>14</v>
      </c>
      <c r="H147" s="19">
        <v>48.3</v>
      </c>
      <c r="I147" s="20">
        <v>4820</v>
      </c>
      <c r="J147" s="21">
        <v>371</v>
      </c>
      <c r="K147" s="21">
        <v>442</v>
      </c>
      <c r="L147" s="21">
        <v>9.99</v>
      </c>
      <c r="M147" s="22">
        <v>27.12</v>
      </c>
      <c r="N147" s="20">
        <v>317</v>
      </c>
      <c r="O147" s="21">
        <v>47.7</v>
      </c>
      <c r="P147" s="21">
        <v>91.6</v>
      </c>
      <c r="Q147" s="21">
        <v>2.56</v>
      </c>
      <c r="R147" s="22">
        <v>25.2</v>
      </c>
      <c r="S147" s="44">
        <v>25.5</v>
      </c>
      <c r="T147" s="24">
        <v>33300</v>
      </c>
    </row>
    <row r="148" spans="1:20" x14ac:dyDescent="0.25">
      <c r="A148" s="19" t="s">
        <v>174</v>
      </c>
      <c r="B148" s="19">
        <v>41.8</v>
      </c>
      <c r="C148" s="20">
        <v>280</v>
      </c>
      <c r="D148" s="21">
        <v>95</v>
      </c>
      <c r="E148" s="21">
        <v>10</v>
      </c>
      <c r="F148" s="21">
        <v>15</v>
      </c>
      <c r="G148" s="22">
        <v>15</v>
      </c>
      <c r="H148" s="19">
        <v>53.3</v>
      </c>
      <c r="I148" s="20">
        <v>6280</v>
      </c>
      <c r="J148" s="21">
        <v>448</v>
      </c>
      <c r="K148" s="21">
        <v>532</v>
      </c>
      <c r="L148" s="21">
        <v>10.9</v>
      </c>
      <c r="M148" s="22">
        <v>29.28</v>
      </c>
      <c r="N148" s="20">
        <v>399</v>
      </c>
      <c r="O148" s="21">
        <v>57.2</v>
      </c>
      <c r="P148" s="21">
        <v>109</v>
      </c>
      <c r="Q148" s="21">
        <v>2.74</v>
      </c>
      <c r="R148" s="22">
        <v>28.5</v>
      </c>
      <c r="S148" s="44">
        <v>31</v>
      </c>
      <c r="T148" s="24">
        <v>48500</v>
      </c>
    </row>
    <row r="149" spans="1:20" x14ac:dyDescent="0.25">
      <c r="A149" s="19" t="s">
        <v>175</v>
      </c>
      <c r="B149" s="19">
        <v>46.2</v>
      </c>
      <c r="C149" s="20">
        <v>300</v>
      </c>
      <c r="D149" s="21">
        <v>100</v>
      </c>
      <c r="E149" s="21">
        <v>10</v>
      </c>
      <c r="F149" s="21">
        <v>16</v>
      </c>
      <c r="G149" s="22">
        <v>16</v>
      </c>
      <c r="H149" s="19">
        <v>58.8</v>
      </c>
      <c r="I149" s="20">
        <v>8030</v>
      </c>
      <c r="J149" s="21">
        <v>535</v>
      </c>
      <c r="K149" s="21">
        <v>632</v>
      </c>
      <c r="L149" s="21">
        <v>11.7</v>
      </c>
      <c r="M149" s="22">
        <v>31.77</v>
      </c>
      <c r="N149" s="20">
        <v>495</v>
      </c>
      <c r="O149" s="21">
        <v>67.8</v>
      </c>
      <c r="P149" s="21">
        <v>130</v>
      </c>
      <c r="Q149" s="21">
        <v>2.9</v>
      </c>
      <c r="R149" s="22">
        <v>32</v>
      </c>
      <c r="S149" s="44">
        <v>37.4</v>
      </c>
      <c r="T149" s="24">
        <v>69100</v>
      </c>
    </row>
    <row r="150" spans="1:20" x14ac:dyDescent="0.25">
      <c r="A150" s="19" t="s">
        <v>176</v>
      </c>
      <c r="B150" s="19">
        <v>59.5</v>
      </c>
      <c r="C150" s="20">
        <v>320</v>
      </c>
      <c r="D150" s="21">
        <v>100</v>
      </c>
      <c r="E150" s="21">
        <v>14</v>
      </c>
      <c r="F150" s="21">
        <v>17.5</v>
      </c>
      <c r="G150" s="22">
        <v>17.5</v>
      </c>
      <c r="H150" s="19">
        <v>75.8</v>
      </c>
      <c r="I150" s="20">
        <v>10870</v>
      </c>
      <c r="J150" s="21">
        <v>679</v>
      </c>
      <c r="K150" s="21">
        <v>826</v>
      </c>
      <c r="L150" s="21">
        <v>12.1</v>
      </c>
      <c r="M150" s="22">
        <v>47.11</v>
      </c>
      <c r="N150" s="20">
        <v>597</v>
      </c>
      <c r="O150" s="21">
        <v>80.599999999999994</v>
      </c>
      <c r="P150" s="21">
        <v>152</v>
      </c>
      <c r="Q150" s="21">
        <v>2.81</v>
      </c>
      <c r="R150" s="22">
        <v>35</v>
      </c>
      <c r="S150" s="44">
        <v>66.7</v>
      </c>
      <c r="T150" s="24">
        <v>96100</v>
      </c>
    </row>
    <row r="151" spans="1:20" x14ac:dyDescent="0.25">
      <c r="A151" s="19" t="s">
        <v>177</v>
      </c>
      <c r="B151" s="19">
        <v>60.6</v>
      </c>
      <c r="C151" s="20">
        <v>350</v>
      </c>
      <c r="D151" s="21">
        <v>100</v>
      </c>
      <c r="E151" s="21">
        <v>14</v>
      </c>
      <c r="F151" s="21">
        <v>16</v>
      </c>
      <c r="G151" s="22">
        <v>16</v>
      </c>
      <c r="H151" s="19">
        <v>77.3</v>
      </c>
      <c r="I151" s="20">
        <v>12840</v>
      </c>
      <c r="J151" s="21">
        <v>734</v>
      </c>
      <c r="K151" s="21">
        <v>918</v>
      </c>
      <c r="L151" s="21">
        <v>12.9</v>
      </c>
      <c r="M151" s="22">
        <v>50.84</v>
      </c>
      <c r="N151" s="20">
        <v>570</v>
      </c>
      <c r="O151" s="21">
        <v>75</v>
      </c>
      <c r="P151" s="21">
        <v>143</v>
      </c>
      <c r="Q151" s="21">
        <v>2.72</v>
      </c>
      <c r="R151" s="22">
        <v>32</v>
      </c>
      <c r="S151" s="44">
        <v>61.2</v>
      </c>
      <c r="T151" s="24">
        <v>114000</v>
      </c>
    </row>
    <row r="152" spans="1:20" x14ac:dyDescent="0.25">
      <c r="A152" s="19" t="s">
        <v>178</v>
      </c>
      <c r="B152" s="19">
        <v>63.1</v>
      </c>
      <c r="C152" s="20">
        <v>380</v>
      </c>
      <c r="D152" s="21">
        <v>102</v>
      </c>
      <c r="E152" s="21">
        <v>13.5</v>
      </c>
      <c r="F152" s="21">
        <v>16</v>
      </c>
      <c r="G152" s="22">
        <v>16</v>
      </c>
      <c r="H152" s="19">
        <v>80.400000000000006</v>
      </c>
      <c r="I152" s="20">
        <v>15760</v>
      </c>
      <c r="J152" s="21">
        <v>829</v>
      </c>
      <c r="K152" s="21">
        <v>1014</v>
      </c>
      <c r="L152" s="21">
        <v>14</v>
      </c>
      <c r="M152" s="22">
        <v>53.23</v>
      </c>
      <c r="N152" s="20">
        <v>615</v>
      </c>
      <c r="O152" s="21">
        <v>78.7</v>
      </c>
      <c r="P152" s="21">
        <v>148</v>
      </c>
      <c r="Q152" s="21">
        <v>2.77</v>
      </c>
      <c r="R152" s="22">
        <v>32.64</v>
      </c>
      <c r="S152" s="44">
        <v>59.1</v>
      </c>
      <c r="T152" s="24">
        <v>146000</v>
      </c>
    </row>
    <row r="153" spans="1:20" ht="15.75" thickBot="1" x14ac:dyDescent="0.3">
      <c r="A153" s="25" t="s">
        <v>179</v>
      </c>
      <c r="B153" s="25">
        <v>71.8</v>
      </c>
      <c r="C153" s="26">
        <v>400</v>
      </c>
      <c r="D153" s="27">
        <v>110</v>
      </c>
      <c r="E153" s="27">
        <v>14</v>
      </c>
      <c r="F153" s="27">
        <v>18</v>
      </c>
      <c r="G153" s="28">
        <v>18</v>
      </c>
      <c r="H153" s="25">
        <v>91.5</v>
      </c>
      <c r="I153" s="26">
        <v>20350</v>
      </c>
      <c r="J153" s="27">
        <v>1020</v>
      </c>
      <c r="K153" s="27">
        <v>1240</v>
      </c>
      <c r="L153" s="27">
        <v>14.9</v>
      </c>
      <c r="M153" s="28">
        <v>58.55</v>
      </c>
      <c r="N153" s="26">
        <v>846</v>
      </c>
      <c r="O153" s="27">
        <v>102</v>
      </c>
      <c r="P153" s="27">
        <v>190</v>
      </c>
      <c r="Q153" s="27">
        <v>3.04</v>
      </c>
      <c r="R153" s="28">
        <v>39.6</v>
      </c>
      <c r="S153" s="45">
        <v>81.599999999999994</v>
      </c>
      <c r="T153" s="24">
        <v>221000</v>
      </c>
    </row>
    <row r="154" spans="1:20" ht="15.75" x14ac:dyDescent="0.25">
      <c r="A154" s="38"/>
      <c r="B154" s="39" t="s">
        <v>180</v>
      </c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1"/>
    </row>
    <row r="155" spans="1:20" x14ac:dyDescent="0.25">
      <c r="A155" s="19" t="s">
        <v>181</v>
      </c>
      <c r="B155" s="19">
        <v>8.3800000000000008</v>
      </c>
      <c r="C155" s="20">
        <v>80</v>
      </c>
      <c r="D155" s="21">
        <v>45</v>
      </c>
      <c r="E155" s="21">
        <v>5</v>
      </c>
      <c r="F155" s="21">
        <v>8</v>
      </c>
      <c r="G155" s="22">
        <v>8</v>
      </c>
      <c r="H155" s="19">
        <v>10.67</v>
      </c>
      <c r="I155" s="20">
        <v>107.1</v>
      </c>
      <c r="J155" s="21">
        <v>26.78</v>
      </c>
      <c r="K155" s="21">
        <v>31.87</v>
      </c>
      <c r="L155" s="21">
        <v>3.17</v>
      </c>
      <c r="M155" s="22">
        <v>4.51</v>
      </c>
      <c r="N155" s="20">
        <v>21.33</v>
      </c>
      <c r="O155" s="21">
        <v>7.38</v>
      </c>
      <c r="P155" s="21">
        <v>13.64</v>
      </c>
      <c r="Q155" s="21">
        <v>1.41</v>
      </c>
      <c r="R155" s="22">
        <v>7.2</v>
      </c>
      <c r="S155" s="44">
        <v>1.9</v>
      </c>
      <c r="T155" s="24">
        <v>180</v>
      </c>
    </row>
    <row r="156" spans="1:20" x14ac:dyDescent="0.25">
      <c r="A156" s="19" t="s">
        <v>182</v>
      </c>
      <c r="B156" s="19">
        <v>10.5</v>
      </c>
      <c r="C156" s="20">
        <v>100</v>
      </c>
      <c r="D156" s="21">
        <v>50</v>
      </c>
      <c r="E156" s="21">
        <v>5.5</v>
      </c>
      <c r="F156" s="21">
        <v>8.5</v>
      </c>
      <c r="G156" s="22">
        <v>8.5</v>
      </c>
      <c r="H156" s="19">
        <v>13.38</v>
      </c>
      <c r="I156" s="20">
        <v>209.5</v>
      </c>
      <c r="J156" s="21">
        <v>41.9</v>
      </c>
      <c r="K156" s="21">
        <v>49.59</v>
      </c>
      <c r="L156" s="21">
        <v>3.96</v>
      </c>
      <c r="M156" s="22">
        <v>6.07</v>
      </c>
      <c r="N156" s="20">
        <v>32.83</v>
      </c>
      <c r="O156" s="21">
        <v>9.9499999999999993</v>
      </c>
      <c r="P156" s="21">
        <v>18.47</v>
      </c>
      <c r="Q156" s="21">
        <v>1.57</v>
      </c>
      <c r="R156" s="22">
        <v>8.5</v>
      </c>
      <c r="S156" s="44">
        <v>2.65</v>
      </c>
      <c r="T156" s="24">
        <v>450</v>
      </c>
    </row>
    <row r="157" spans="1:20" x14ac:dyDescent="0.25">
      <c r="A157" s="19" t="s">
        <v>183</v>
      </c>
      <c r="B157" s="19">
        <v>13.7</v>
      </c>
      <c r="C157" s="20">
        <v>130</v>
      </c>
      <c r="D157" s="21">
        <v>55</v>
      </c>
      <c r="E157" s="21">
        <v>6</v>
      </c>
      <c r="F157" s="21">
        <v>9.5</v>
      </c>
      <c r="G157" s="22">
        <v>9.5</v>
      </c>
      <c r="H157" s="19">
        <v>17.5</v>
      </c>
      <c r="I157" s="20">
        <v>459.6</v>
      </c>
      <c r="J157" s="21">
        <v>70.7</v>
      </c>
      <c r="K157" s="21">
        <v>83.51</v>
      </c>
      <c r="L157" s="21">
        <v>5.12</v>
      </c>
      <c r="M157" s="22">
        <v>8.52</v>
      </c>
      <c r="N157" s="20">
        <v>51.34</v>
      </c>
      <c r="O157" s="21">
        <v>13.78</v>
      </c>
      <c r="P157" s="21">
        <v>25.55</v>
      </c>
      <c r="Q157" s="21">
        <v>1.71</v>
      </c>
      <c r="R157" s="22">
        <v>10.45</v>
      </c>
      <c r="S157" s="44">
        <v>4.1500000000000004</v>
      </c>
      <c r="T157" s="24">
        <v>1220</v>
      </c>
    </row>
    <row r="158" spans="1:20" x14ac:dyDescent="0.25">
      <c r="A158" s="19" t="s">
        <v>184</v>
      </c>
      <c r="B158" s="19">
        <v>17.899999999999999</v>
      </c>
      <c r="C158" s="20">
        <v>150</v>
      </c>
      <c r="D158" s="21">
        <v>65</v>
      </c>
      <c r="E158" s="21">
        <v>7</v>
      </c>
      <c r="F158" s="21">
        <v>10.25</v>
      </c>
      <c r="G158" s="22">
        <v>10.25</v>
      </c>
      <c r="H158" s="19">
        <v>22.84</v>
      </c>
      <c r="I158" s="20">
        <v>796.1</v>
      </c>
      <c r="J158" s="21">
        <v>106.1</v>
      </c>
      <c r="K158" s="21">
        <v>125.3</v>
      </c>
      <c r="L158" s="21">
        <v>5.9</v>
      </c>
      <c r="M158" s="22">
        <v>11.28</v>
      </c>
      <c r="N158" s="20">
        <v>93.25</v>
      </c>
      <c r="O158" s="21">
        <v>20.97</v>
      </c>
      <c r="P158" s="21">
        <v>38.78</v>
      </c>
      <c r="Q158" s="21">
        <v>2.02</v>
      </c>
      <c r="R158" s="22">
        <v>13.324999999999999</v>
      </c>
      <c r="S158" s="44">
        <v>6.51</v>
      </c>
      <c r="T158" s="24">
        <v>2990</v>
      </c>
    </row>
    <row r="159" spans="1:20" x14ac:dyDescent="0.25">
      <c r="A159" s="19" t="s">
        <v>185</v>
      </c>
      <c r="B159" s="19">
        <v>21.2</v>
      </c>
      <c r="C159" s="20">
        <v>175</v>
      </c>
      <c r="D159" s="21">
        <v>70</v>
      </c>
      <c r="E159" s="21">
        <v>7.5</v>
      </c>
      <c r="F159" s="21">
        <v>10.75</v>
      </c>
      <c r="G159" s="22">
        <v>10.75</v>
      </c>
      <c r="H159" s="19">
        <v>27.06</v>
      </c>
      <c r="I159" s="20">
        <v>1270</v>
      </c>
      <c r="J159" s="21">
        <v>145.1</v>
      </c>
      <c r="K159" s="21">
        <v>171.5</v>
      </c>
      <c r="L159" s="21">
        <v>6.85</v>
      </c>
      <c r="M159" s="22">
        <v>13.97</v>
      </c>
      <c r="N159" s="20">
        <v>126.4</v>
      </c>
      <c r="O159" s="21">
        <v>25.92</v>
      </c>
      <c r="P159" s="21">
        <v>47.47</v>
      </c>
      <c r="Q159" s="21">
        <v>2.16</v>
      </c>
      <c r="R159" s="22">
        <v>15.05</v>
      </c>
      <c r="S159" s="44">
        <v>8.43</v>
      </c>
      <c r="T159" s="24">
        <v>5620</v>
      </c>
    </row>
    <row r="160" spans="1:20" x14ac:dyDescent="0.25">
      <c r="A160" s="19" t="s">
        <v>186</v>
      </c>
      <c r="B160" s="19">
        <v>25.1</v>
      </c>
      <c r="C160" s="20">
        <v>200</v>
      </c>
      <c r="D160" s="21">
        <v>75</v>
      </c>
      <c r="E160" s="21">
        <v>8</v>
      </c>
      <c r="F160" s="21">
        <v>11.5</v>
      </c>
      <c r="G160" s="22">
        <v>11.5</v>
      </c>
      <c r="H160" s="19">
        <v>31.98</v>
      </c>
      <c r="I160" s="20">
        <v>1946</v>
      </c>
      <c r="J160" s="21">
        <v>194.6</v>
      </c>
      <c r="K160" s="21">
        <v>230.1</v>
      </c>
      <c r="L160" s="21">
        <v>7.8</v>
      </c>
      <c r="M160" s="22">
        <v>16.97</v>
      </c>
      <c r="N160" s="20">
        <v>169.7</v>
      </c>
      <c r="O160" s="21">
        <v>32.130000000000003</v>
      </c>
      <c r="P160" s="21">
        <v>58.29</v>
      </c>
      <c r="Q160" s="21">
        <v>2.2999999999999998</v>
      </c>
      <c r="R160" s="22">
        <v>17.25</v>
      </c>
      <c r="S160" s="44">
        <v>11.24</v>
      </c>
      <c r="T160" s="24">
        <v>9980</v>
      </c>
    </row>
    <row r="161" spans="1:20" x14ac:dyDescent="0.25">
      <c r="A161" s="19" t="s">
        <v>187</v>
      </c>
      <c r="B161" s="19">
        <v>28.5</v>
      </c>
      <c r="C161" s="20">
        <v>220</v>
      </c>
      <c r="D161" s="21">
        <v>80</v>
      </c>
      <c r="E161" s="21">
        <v>8</v>
      </c>
      <c r="F161" s="21">
        <v>12.5</v>
      </c>
      <c r="G161" s="22">
        <v>12.5</v>
      </c>
      <c r="H161" s="19">
        <v>36.270000000000003</v>
      </c>
      <c r="I161" s="20">
        <v>2710</v>
      </c>
      <c r="J161" s="21">
        <v>246.4</v>
      </c>
      <c r="K161" s="21">
        <v>289.89999999999998</v>
      </c>
      <c r="L161" s="21">
        <v>8.64</v>
      </c>
      <c r="M161" s="22">
        <v>18.829999999999998</v>
      </c>
      <c r="N161" s="20">
        <v>222.3</v>
      </c>
      <c r="O161" s="21">
        <v>39.68</v>
      </c>
      <c r="P161" s="21">
        <v>72.56</v>
      </c>
      <c r="Q161" s="21">
        <v>2.48</v>
      </c>
      <c r="R161" s="22">
        <v>20</v>
      </c>
      <c r="S161" s="44">
        <v>14.4</v>
      </c>
      <c r="T161" s="24">
        <v>15820</v>
      </c>
    </row>
    <row r="162" spans="1:20" x14ac:dyDescent="0.25">
      <c r="A162" s="19" t="s">
        <v>188</v>
      </c>
      <c r="B162" s="19">
        <v>34.4</v>
      </c>
      <c r="C162" s="20">
        <v>250</v>
      </c>
      <c r="D162" s="21">
        <v>85</v>
      </c>
      <c r="E162" s="21">
        <v>9</v>
      </c>
      <c r="F162" s="21">
        <v>13.5</v>
      </c>
      <c r="G162" s="22">
        <v>13.5</v>
      </c>
      <c r="H162" s="19">
        <v>43.8</v>
      </c>
      <c r="I162" s="20">
        <v>4136</v>
      </c>
      <c r="J162" s="21">
        <v>330.9</v>
      </c>
      <c r="K162" s="21">
        <v>391.8</v>
      </c>
      <c r="L162" s="21">
        <v>9.7200000000000006</v>
      </c>
      <c r="M162" s="22">
        <v>23.89</v>
      </c>
      <c r="N162" s="20">
        <v>295.39999999999998</v>
      </c>
      <c r="O162" s="21">
        <v>48.87</v>
      </c>
      <c r="P162" s="21">
        <v>87.65</v>
      </c>
      <c r="Q162" s="21">
        <v>2.6</v>
      </c>
      <c r="R162" s="22">
        <v>22.95</v>
      </c>
      <c r="S162" s="44">
        <v>20.38</v>
      </c>
      <c r="T162" s="24">
        <v>27430</v>
      </c>
    </row>
    <row r="163" spans="1:20" ht="15.75" thickBot="1" x14ac:dyDescent="0.3">
      <c r="A163" s="25" t="s">
        <v>189</v>
      </c>
      <c r="B163" s="25">
        <v>46</v>
      </c>
      <c r="C163" s="26">
        <v>300</v>
      </c>
      <c r="D163" s="27">
        <v>100</v>
      </c>
      <c r="E163" s="27">
        <v>9.5</v>
      </c>
      <c r="F163" s="27">
        <v>16</v>
      </c>
      <c r="G163" s="28">
        <v>16</v>
      </c>
      <c r="H163" s="25">
        <v>58.56</v>
      </c>
      <c r="I163" s="26">
        <v>8170</v>
      </c>
      <c r="J163" s="27">
        <v>544.70000000000005</v>
      </c>
      <c r="K163" s="27">
        <v>639.29999999999995</v>
      </c>
      <c r="L163" s="27">
        <v>11.81</v>
      </c>
      <c r="M163" s="28">
        <v>30.64</v>
      </c>
      <c r="N163" s="26">
        <v>562.1</v>
      </c>
      <c r="O163" s="27">
        <v>79.88</v>
      </c>
      <c r="P163" s="27">
        <v>145.80000000000001</v>
      </c>
      <c r="Q163" s="27">
        <v>3.1</v>
      </c>
      <c r="R163" s="28">
        <v>32</v>
      </c>
      <c r="S163" s="45">
        <v>36.299999999999997</v>
      </c>
      <c r="T163" s="24">
        <v>75040</v>
      </c>
    </row>
    <row r="164" spans="1:20" ht="15.75" x14ac:dyDescent="0.25">
      <c r="A164" s="38"/>
      <c r="B164" s="39" t="s">
        <v>190</v>
      </c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1"/>
    </row>
    <row r="165" spans="1:20" x14ac:dyDescent="0.25">
      <c r="A165" s="19" t="s">
        <v>191</v>
      </c>
      <c r="B165" s="19">
        <v>7.9</v>
      </c>
      <c r="C165" s="20">
        <v>80</v>
      </c>
      <c r="D165" s="21">
        <v>50</v>
      </c>
      <c r="E165" s="21">
        <v>4</v>
      </c>
      <c r="F165" s="21">
        <v>7</v>
      </c>
      <c r="G165" s="22">
        <v>10</v>
      </c>
      <c r="H165" s="19">
        <v>10.1</v>
      </c>
      <c r="I165" s="20">
        <v>107.2</v>
      </c>
      <c r="J165" s="21">
        <v>26.8</v>
      </c>
      <c r="K165" s="21">
        <v>31.23</v>
      </c>
      <c r="L165" s="21">
        <v>3.26</v>
      </c>
      <c r="M165" s="22">
        <v>4.05</v>
      </c>
      <c r="N165" s="20">
        <v>25.41</v>
      </c>
      <c r="O165" s="21">
        <v>7.98</v>
      </c>
      <c r="P165" s="21">
        <v>14.28</v>
      </c>
      <c r="Q165" s="21">
        <v>1.59</v>
      </c>
      <c r="R165" s="22">
        <v>7</v>
      </c>
      <c r="S165" s="44">
        <v>1.47</v>
      </c>
      <c r="T165" s="24">
        <v>220</v>
      </c>
    </row>
    <row r="166" spans="1:20" x14ac:dyDescent="0.25">
      <c r="A166" s="19" t="s">
        <v>192</v>
      </c>
      <c r="B166" s="19">
        <v>9.8000000000000007</v>
      </c>
      <c r="C166" s="20">
        <v>100</v>
      </c>
      <c r="D166" s="21">
        <v>55</v>
      </c>
      <c r="E166" s="21">
        <v>4.5</v>
      </c>
      <c r="F166" s="21">
        <v>7.5</v>
      </c>
      <c r="G166" s="22">
        <v>10</v>
      </c>
      <c r="H166" s="19">
        <v>12.5</v>
      </c>
      <c r="I166" s="20">
        <v>206.9</v>
      </c>
      <c r="J166" s="21">
        <v>41.37</v>
      </c>
      <c r="K166" s="21">
        <v>48.01</v>
      </c>
      <c r="L166" s="21">
        <v>4.07</v>
      </c>
      <c r="M166" s="22">
        <v>5.34</v>
      </c>
      <c r="N166" s="20">
        <v>38.21</v>
      </c>
      <c r="O166" s="21">
        <v>10.63</v>
      </c>
      <c r="P166" s="21">
        <v>19.34</v>
      </c>
      <c r="Q166" s="21">
        <v>1.75</v>
      </c>
      <c r="R166" s="22">
        <v>8.25</v>
      </c>
      <c r="S166" s="44">
        <v>2.0099999999999998</v>
      </c>
      <c r="T166" s="24">
        <v>530</v>
      </c>
    </row>
    <row r="167" spans="1:20" x14ac:dyDescent="0.25">
      <c r="A167" s="19" t="s">
        <v>193</v>
      </c>
      <c r="B167" s="19">
        <v>12.1</v>
      </c>
      <c r="C167" s="20">
        <v>120</v>
      </c>
      <c r="D167" s="21">
        <v>60</v>
      </c>
      <c r="E167" s="21">
        <v>5</v>
      </c>
      <c r="F167" s="21">
        <v>8</v>
      </c>
      <c r="G167" s="22">
        <v>12</v>
      </c>
      <c r="H167" s="19">
        <v>15.4</v>
      </c>
      <c r="I167" s="20">
        <v>363.5</v>
      </c>
      <c r="J167" s="21">
        <v>60.58</v>
      </c>
      <c r="K167" s="21">
        <v>70.33</v>
      </c>
      <c r="L167" s="21">
        <v>4.8600000000000003</v>
      </c>
      <c r="M167" s="22">
        <v>7.18</v>
      </c>
      <c r="N167" s="20">
        <v>55.4</v>
      </c>
      <c r="O167" s="21">
        <v>13.79</v>
      </c>
      <c r="P167" s="21">
        <v>25.28</v>
      </c>
      <c r="Q167" s="21">
        <v>1.9</v>
      </c>
      <c r="R167" s="22">
        <v>9.6</v>
      </c>
      <c r="S167" s="44">
        <v>2.9</v>
      </c>
      <c r="T167" s="24">
        <v>1120</v>
      </c>
    </row>
    <row r="168" spans="1:20" x14ac:dyDescent="0.25">
      <c r="A168" s="19" t="s">
        <v>194</v>
      </c>
      <c r="B168" s="19">
        <v>14.5</v>
      </c>
      <c r="C168" s="20">
        <v>140</v>
      </c>
      <c r="D168" s="21">
        <v>65</v>
      </c>
      <c r="E168" s="21">
        <v>5</v>
      </c>
      <c r="F168" s="21">
        <v>9</v>
      </c>
      <c r="G168" s="22">
        <v>12</v>
      </c>
      <c r="H168" s="19">
        <v>18.399999999999999</v>
      </c>
      <c r="I168" s="20">
        <v>599.5</v>
      </c>
      <c r="J168" s="21">
        <v>85.64</v>
      </c>
      <c r="K168" s="21">
        <v>98.84</v>
      </c>
      <c r="L168" s="21">
        <v>5.71</v>
      </c>
      <c r="M168" s="22">
        <v>8.25</v>
      </c>
      <c r="N168" s="20">
        <v>78.7</v>
      </c>
      <c r="O168" s="21">
        <v>18.190000000000001</v>
      </c>
      <c r="P168" s="21">
        <v>33.22</v>
      </c>
      <c r="Q168" s="21">
        <v>2.0699999999999998</v>
      </c>
      <c r="R168" s="22">
        <v>11.7</v>
      </c>
      <c r="S168" s="44">
        <v>4.05</v>
      </c>
      <c r="T168" s="24">
        <v>2200</v>
      </c>
    </row>
    <row r="169" spans="1:20" x14ac:dyDescent="0.25">
      <c r="A169" s="19" t="s">
        <v>195</v>
      </c>
      <c r="B169" s="19">
        <v>17</v>
      </c>
      <c r="C169" s="20">
        <v>160</v>
      </c>
      <c r="D169" s="21">
        <v>70</v>
      </c>
      <c r="E169" s="21">
        <v>5.5</v>
      </c>
      <c r="F169" s="21">
        <v>9.5</v>
      </c>
      <c r="G169" s="22">
        <v>12</v>
      </c>
      <c r="H169" s="19">
        <v>21.7</v>
      </c>
      <c r="I169" s="20">
        <v>911.1</v>
      </c>
      <c r="J169" s="21">
        <v>113.6</v>
      </c>
      <c r="K169" s="21">
        <v>131.6</v>
      </c>
      <c r="L169" s="21">
        <v>6.48</v>
      </c>
      <c r="M169" s="22">
        <v>10.039999999999999</v>
      </c>
      <c r="N169" s="20">
        <v>106.8</v>
      </c>
      <c r="O169" s="21">
        <v>22.58</v>
      </c>
      <c r="P169" s="21">
        <v>41.49</v>
      </c>
      <c r="Q169" s="21">
        <v>2.2200000000000002</v>
      </c>
      <c r="R169" s="22">
        <v>13.3</v>
      </c>
      <c r="S169" s="44">
        <v>5.2</v>
      </c>
      <c r="T169" s="24">
        <v>3960</v>
      </c>
    </row>
    <row r="170" spans="1:20" x14ac:dyDescent="0.25">
      <c r="A170" s="19" t="s">
        <v>196</v>
      </c>
      <c r="B170" s="19">
        <v>19.7</v>
      </c>
      <c r="C170" s="20">
        <v>180</v>
      </c>
      <c r="D170" s="21">
        <v>75</v>
      </c>
      <c r="E170" s="21">
        <v>5.5</v>
      </c>
      <c r="F170" s="21">
        <v>10.5</v>
      </c>
      <c r="G170" s="22">
        <v>12</v>
      </c>
      <c r="H170" s="19">
        <v>25.1</v>
      </c>
      <c r="I170" s="20">
        <v>1353</v>
      </c>
      <c r="J170" s="21">
        <v>150.4</v>
      </c>
      <c r="K170" s="21">
        <v>173</v>
      </c>
      <c r="L170" s="21">
        <v>7.34</v>
      </c>
      <c r="M170" s="22">
        <v>11.2</v>
      </c>
      <c r="N170" s="20">
        <v>143.69999999999999</v>
      </c>
      <c r="O170" s="21">
        <v>28.56</v>
      </c>
      <c r="P170" s="21">
        <v>52.3</v>
      </c>
      <c r="Q170" s="21">
        <v>2.39</v>
      </c>
      <c r="R170" s="22">
        <v>15.75</v>
      </c>
      <c r="S170" s="44">
        <v>6.99</v>
      </c>
      <c r="T170" s="24">
        <v>6810</v>
      </c>
    </row>
    <row r="171" spans="1:20" x14ac:dyDescent="0.25">
      <c r="A171" s="19" t="s">
        <v>197</v>
      </c>
      <c r="B171" s="19">
        <v>22.8</v>
      </c>
      <c r="C171" s="20">
        <v>200</v>
      </c>
      <c r="D171" s="21">
        <v>80</v>
      </c>
      <c r="E171" s="21">
        <v>6</v>
      </c>
      <c r="F171" s="21">
        <v>11</v>
      </c>
      <c r="G171" s="22">
        <v>13</v>
      </c>
      <c r="H171" s="19">
        <v>29</v>
      </c>
      <c r="I171" s="20">
        <v>1909</v>
      </c>
      <c r="J171" s="21">
        <v>190.9</v>
      </c>
      <c r="K171" s="21">
        <v>220.1</v>
      </c>
      <c r="L171" s="21">
        <v>8.11</v>
      </c>
      <c r="M171" s="22">
        <v>13.5</v>
      </c>
      <c r="N171" s="20">
        <v>187.3</v>
      </c>
      <c r="O171" s="21">
        <v>34.43</v>
      </c>
      <c r="P171" s="21">
        <v>63.28</v>
      </c>
      <c r="Q171" s="21">
        <v>2.54</v>
      </c>
      <c r="R171" s="22">
        <v>17.600000000000001</v>
      </c>
      <c r="S171" s="44">
        <v>8.89</v>
      </c>
      <c r="T171" s="24">
        <v>11000</v>
      </c>
    </row>
    <row r="172" spans="1:20" x14ac:dyDescent="0.25">
      <c r="A172" s="19" t="s">
        <v>198</v>
      </c>
      <c r="B172" s="19">
        <v>26.6</v>
      </c>
      <c r="C172" s="20">
        <v>220</v>
      </c>
      <c r="D172" s="21">
        <v>85</v>
      </c>
      <c r="E172" s="21">
        <v>6.5</v>
      </c>
      <c r="F172" s="21">
        <v>12</v>
      </c>
      <c r="G172" s="22">
        <v>13</v>
      </c>
      <c r="H172" s="19">
        <v>33.9</v>
      </c>
      <c r="I172" s="20">
        <v>2682</v>
      </c>
      <c r="J172" s="21">
        <v>243.9</v>
      </c>
      <c r="K172" s="21">
        <v>281.5</v>
      </c>
      <c r="L172" s="21">
        <v>8.9</v>
      </c>
      <c r="M172" s="22">
        <v>15.81</v>
      </c>
      <c r="N172" s="20">
        <v>246.4</v>
      </c>
      <c r="O172" s="21">
        <v>42.51</v>
      </c>
      <c r="P172" s="21">
        <v>78.25</v>
      </c>
      <c r="Q172" s="21">
        <v>2.7</v>
      </c>
      <c r="R172" s="22">
        <v>20.399999999999999</v>
      </c>
      <c r="S172" s="44">
        <v>12.05</v>
      </c>
      <c r="T172" s="24">
        <v>17610</v>
      </c>
    </row>
    <row r="173" spans="1:20" x14ac:dyDescent="0.25">
      <c r="A173" s="19" t="s">
        <v>199</v>
      </c>
      <c r="B173" s="19">
        <v>30.2</v>
      </c>
      <c r="C173" s="20">
        <v>240</v>
      </c>
      <c r="D173" s="21">
        <v>90</v>
      </c>
      <c r="E173" s="21">
        <v>7</v>
      </c>
      <c r="F173" s="21">
        <v>12.5</v>
      </c>
      <c r="G173" s="22">
        <v>15</v>
      </c>
      <c r="H173" s="19">
        <v>38.5</v>
      </c>
      <c r="I173" s="20">
        <v>3599</v>
      </c>
      <c r="J173" s="21">
        <v>299.89999999999998</v>
      </c>
      <c r="K173" s="21">
        <v>346.9</v>
      </c>
      <c r="L173" s="21">
        <v>9.67</v>
      </c>
      <c r="M173" s="22">
        <v>18.77</v>
      </c>
      <c r="N173" s="20">
        <v>310.89999999999998</v>
      </c>
      <c r="O173" s="21">
        <v>50.08</v>
      </c>
      <c r="P173" s="21">
        <v>92.18</v>
      </c>
      <c r="Q173" s="21">
        <v>2.84</v>
      </c>
      <c r="R173" s="22">
        <v>22.5</v>
      </c>
      <c r="S173" s="44">
        <v>15.14</v>
      </c>
      <c r="T173" s="24">
        <v>26420</v>
      </c>
    </row>
    <row r="174" spans="1:20" x14ac:dyDescent="0.25">
      <c r="A174" s="19" t="s">
        <v>200</v>
      </c>
      <c r="B174" s="19">
        <v>35.200000000000003</v>
      </c>
      <c r="C174" s="20">
        <v>270</v>
      </c>
      <c r="D174" s="21">
        <v>95</v>
      </c>
      <c r="E174" s="21">
        <v>7.5</v>
      </c>
      <c r="F174" s="21">
        <v>13.5</v>
      </c>
      <c r="G174" s="22">
        <v>15</v>
      </c>
      <c r="H174" s="19">
        <v>44.8</v>
      </c>
      <c r="I174" s="20">
        <v>5255</v>
      </c>
      <c r="J174" s="21">
        <v>389.2</v>
      </c>
      <c r="K174" s="21">
        <v>451.1</v>
      </c>
      <c r="L174" s="21">
        <v>10.83</v>
      </c>
      <c r="M174" s="22">
        <v>22.23</v>
      </c>
      <c r="N174" s="20">
        <v>401</v>
      </c>
      <c r="O174" s="21">
        <v>60.69</v>
      </c>
      <c r="P174" s="21">
        <v>111.6</v>
      </c>
      <c r="Q174" s="21">
        <v>2.99</v>
      </c>
      <c r="R174" s="22">
        <v>25.65</v>
      </c>
      <c r="S174" s="44">
        <v>19.91</v>
      </c>
      <c r="T174" s="24">
        <v>43550</v>
      </c>
    </row>
    <row r="175" spans="1:20" x14ac:dyDescent="0.25">
      <c r="A175" s="19" t="s">
        <v>201</v>
      </c>
      <c r="B175" s="19">
        <v>44.4</v>
      </c>
      <c r="C175" s="20">
        <v>300</v>
      </c>
      <c r="D175" s="21">
        <v>100</v>
      </c>
      <c r="E175" s="21">
        <v>9.5</v>
      </c>
      <c r="F175" s="21">
        <v>15</v>
      </c>
      <c r="G175" s="22">
        <v>15</v>
      </c>
      <c r="H175" s="19">
        <v>56.6</v>
      </c>
      <c r="I175" s="20">
        <v>7823</v>
      </c>
      <c r="J175" s="21">
        <v>521.5</v>
      </c>
      <c r="K175" s="21">
        <v>613.4</v>
      </c>
      <c r="L175" s="21">
        <v>11.76</v>
      </c>
      <c r="M175" s="22">
        <v>30.29</v>
      </c>
      <c r="N175" s="20">
        <v>537.70000000000005</v>
      </c>
      <c r="O175" s="21">
        <v>75.58</v>
      </c>
      <c r="P175" s="21">
        <v>136.6</v>
      </c>
      <c r="Q175" s="21">
        <v>3.08</v>
      </c>
      <c r="R175" s="22">
        <v>30</v>
      </c>
      <c r="S175" s="44">
        <v>31.52</v>
      </c>
      <c r="T175" s="24">
        <v>72660</v>
      </c>
    </row>
    <row r="176" spans="1:20" x14ac:dyDescent="0.25">
      <c r="A176" s="19" t="s">
        <v>202</v>
      </c>
      <c r="B176" s="19">
        <v>53.2</v>
      </c>
      <c r="C176" s="20">
        <v>330</v>
      </c>
      <c r="D176" s="21">
        <v>105</v>
      </c>
      <c r="E176" s="21">
        <v>11</v>
      </c>
      <c r="F176" s="21">
        <v>16</v>
      </c>
      <c r="G176" s="22">
        <v>18</v>
      </c>
      <c r="H176" s="19">
        <v>67.8</v>
      </c>
      <c r="I176" s="20">
        <v>11010</v>
      </c>
      <c r="J176" s="21">
        <v>667.1</v>
      </c>
      <c r="K176" s="21">
        <v>791.9</v>
      </c>
      <c r="L176" s="21">
        <v>12.74</v>
      </c>
      <c r="M176" s="22">
        <v>38.81</v>
      </c>
      <c r="N176" s="20">
        <v>681.5</v>
      </c>
      <c r="O176" s="21">
        <v>89.66</v>
      </c>
      <c r="P176" s="21">
        <v>156.19999999999999</v>
      </c>
      <c r="Q176" s="21">
        <v>3.17</v>
      </c>
      <c r="R176" s="22">
        <v>33.6</v>
      </c>
      <c r="S176" s="44">
        <v>45.18</v>
      </c>
      <c r="T176" s="24">
        <v>111800</v>
      </c>
    </row>
    <row r="177" spans="1:20" x14ac:dyDescent="0.25">
      <c r="A177" s="19" t="s">
        <v>203</v>
      </c>
      <c r="B177" s="19">
        <v>61.2</v>
      </c>
      <c r="C177" s="20">
        <v>360</v>
      </c>
      <c r="D177" s="21">
        <v>110</v>
      </c>
      <c r="E177" s="21">
        <v>12</v>
      </c>
      <c r="F177" s="21">
        <v>17</v>
      </c>
      <c r="G177" s="22">
        <v>18</v>
      </c>
      <c r="H177" s="19">
        <v>77.900000000000006</v>
      </c>
      <c r="I177" s="20">
        <v>14830</v>
      </c>
      <c r="J177" s="21">
        <v>823.6</v>
      </c>
      <c r="K177" s="21">
        <v>982.3</v>
      </c>
      <c r="L177" s="21">
        <v>13.79</v>
      </c>
      <c r="M177" s="22">
        <v>45.61</v>
      </c>
      <c r="N177" s="20">
        <v>843.7</v>
      </c>
      <c r="O177" s="21">
        <v>105.1</v>
      </c>
      <c r="P177" s="21">
        <v>177.8</v>
      </c>
      <c r="Q177" s="21">
        <v>3.29</v>
      </c>
      <c r="R177" s="22">
        <v>37.4</v>
      </c>
      <c r="S177" s="44">
        <v>58.49</v>
      </c>
      <c r="T177" s="24">
        <v>166400</v>
      </c>
    </row>
    <row r="178" spans="1:20" ht="15.75" thickBot="1" x14ac:dyDescent="0.3">
      <c r="A178" s="25" t="s">
        <v>204</v>
      </c>
      <c r="B178" s="25">
        <v>72.2</v>
      </c>
      <c r="C178" s="26">
        <v>400</v>
      </c>
      <c r="D178" s="27">
        <v>115</v>
      </c>
      <c r="E178" s="27">
        <v>13.5</v>
      </c>
      <c r="F178" s="27">
        <v>18</v>
      </c>
      <c r="G178" s="28">
        <v>18</v>
      </c>
      <c r="H178" s="25">
        <v>91.9</v>
      </c>
      <c r="I178" s="26">
        <v>20980</v>
      </c>
      <c r="J178" s="27">
        <v>1049</v>
      </c>
      <c r="K178" s="27">
        <v>1263</v>
      </c>
      <c r="L178" s="27">
        <v>15.11</v>
      </c>
      <c r="M178" s="28">
        <v>56.2</v>
      </c>
      <c r="N178" s="26">
        <v>1045</v>
      </c>
      <c r="O178" s="27">
        <v>122.6</v>
      </c>
      <c r="P178" s="27">
        <v>191.4</v>
      </c>
      <c r="Q178" s="27">
        <v>3.37</v>
      </c>
      <c r="R178" s="28">
        <v>41.4</v>
      </c>
      <c r="S178" s="45">
        <v>79.14</v>
      </c>
      <c r="T178" s="46">
        <v>259000</v>
      </c>
    </row>
    <row r="179" spans="1:20" ht="15.75" x14ac:dyDescent="0.25">
      <c r="A179" s="38"/>
      <c r="B179" s="39" t="s">
        <v>205</v>
      </c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2"/>
    </row>
    <row r="180" spans="1:20" x14ac:dyDescent="0.25">
      <c r="A180" s="47" t="str">
        <f>"PRS "&amp;C180-2*F180&amp;"*"&amp;E180&amp;" - "&amp;D180&amp;"*"&amp;F180</f>
        <v>PRS 500*1 - 250*10</v>
      </c>
      <c r="B180" s="280">
        <f>PRS!G13</f>
        <v>43.45</v>
      </c>
      <c r="C180" s="48">
        <f>PRS!C16+PRS!C14+PRS!C20</f>
        <v>520</v>
      </c>
      <c r="D180" s="49">
        <f>PRS!C13</f>
        <v>250</v>
      </c>
      <c r="E180" s="49">
        <f>PRS!C17</f>
        <v>1</v>
      </c>
      <c r="F180" s="49">
        <f>PRS!C14</f>
        <v>10</v>
      </c>
      <c r="G180" s="283">
        <v>0</v>
      </c>
      <c r="H180" s="280">
        <f>PRS!G11</f>
        <v>55</v>
      </c>
      <c r="I180" s="281">
        <f>PRS!G15</f>
        <v>33558.333333333336</v>
      </c>
      <c r="J180" s="282">
        <f>PRS!G16</f>
        <v>1290.7051282051284</v>
      </c>
      <c r="K180" s="282">
        <f>PRS!G17</f>
        <v>1337.5</v>
      </c>
      <c r="L180" s="50">
        <f>PRS!G19</f>
        <v>24.701245214594248</v>
      </c>
      <c r="M180" s="279">
        <f>PRS!G18</f>
        <v>5</v>
      </c>
      <c r="N180" s="281">
        <f>PRS!G23</f>
        <v>2604.1708333333336</v>
      </c>
      <c r="O180" s="282">
        <f>PRS!G24</f>
        <v>208.33366666666669</v>
      </c>
      <c r="P180" s="282">
        <f>PRS!G25</f>
        <v>312.625</v>
      </c>
      <c r="Q180" s="50">
        <f>PRS!G27</f>
        <v>6.8810290368563773</v>
      </c>
      <c r="R180" s="279">
        <f>PRS!G26</f>
        <v>50</v>
      </c>
      <c r="S180" s="51">
        <f>PRS!G29</f>
        <v>16.683333333333334</v>
      </c>
      <c r="T180" s="52">
        <f>PRS!G30</f>
        <v>1693359.3749999998</v>
      </c>
    </row>
    <row r="181" spans="1:20" x14ac:dyDescent="0.25">
      <c r="A181" s="19" t="str">
        <f>"PRS "&amp;C181-2*F181&amp;"*"&amp;E181&amp;" - "&amp;D181&amp;"*"&amp;F181</f>
        <v>PRS 1240*20 - 500*30</v>
      </c>
      <c r="B181" s="30">
        <f>PRS!G38</f>
        <v>432.92</v>
      </c>
      <c r="C181" s="302">
        <f>PRS!C41+2*PRS!C39</f>
        <v>1300</v>
      </c>
      <c r="D181" s="37">
        <f>PRS!C38</f>
        <v>500</v>
      </c>
      <c r="E181" s="37">
        <f>PRS!C42</f>
        <v>20</v>
      </c>
      <c r="F181" s="37">
        <f>PRS!C39</f>
        <v>30</v>
      </c>
      <c r="G181" s="303">
        <v>0</v>
      </c>
      <c r="H181" s="30">
        <f>PRS!G36</f>
        <v>548</v>
      </c>
      <c r="I181" s="32">
        <f>PRS!G40</f>
        <v>1527670.6666666667</v>
      </c>
      <c r="J181" s="33">
        <f>PRS!G41</f>
        <v>23502.625641025643</v>
      </c>
      <c r="K181" s="33">
        <f>PRS!G42</f>
        <v>26738</v>
      </c>
      <c r="L181" s="34">
        <f>PRS!G44</f>
        <v>52.798865467424598</v>
      </c>
      <c r="M181" s="35">
        <f>PRS!G43</f>
        <v>248</v>
      </c>
      <c r="N181" s="32">
        <f>PRS!G48</f>
        <v>62582.666666666664</v>
      </c>
      <c r="O181" s="33">
        <f>PRS!G49</f>
        <v>2503.3066666666664</v>
      </c>
      <c r="P181" s="33">
        <f>PRS!G50</f>
        <v>3874</v>
      </c>
      <c r="Q181" s="34">
        <f>PRS!G52</f>
        <v>10.686531077577019</v>
      </c>
      <c r="R181" s="303">
        <f>PRS!G51</f>
        <v>300</v>
      </c>
      <c r="S181" s="23">
        <f>PRS!G54</f>
        <v>1230.6666666666667</v>
      </c>
      <c r="T181" s="304">
        <f>PRS!G55</f>
        <v>252015624.99999997</v>
      </c>
    </row>
    <row r="182" spans="1:20" ht="15.75" thickBot="1" x14ac:dyDescent="0.3">
      <c r="A182" s="291" t="str">
        <f>"PRS "&amp;C182-2*F182&amp;"*"&amp;E182&amp;" - "&amp;D182&amp;"*"&amp;F182</f>
        <v>PRS 580*6 - 300*15</v>
      </c>
      <c r="B182" s="292">
        <f>PRS!G61</f>
        <v>98.591999999999999</v>
      </c>
      <c r="C182" s="293">
        <f>PRS!C64+2*PRS!C62</f>
        <v>610</v>
      </c>
      <c r="D182" s="294">
        <f>PRS!C61</f>
        <v>300</v>
      </c>
      <c r="E182" s="294">
        <f>PRS!C65</f>
        <v>6</v>
      </c>
      <c r="F182" s="294">
        <f>PRS!C62</f>
        <v>15</v>
      </c>
      <c r="G182" s="295">
        <v>0</v>
      </c>
      <c r="H182" s="292">
        <f>PRS!G59</f>
        <v>124.8</v>
      </c>
      <c r="I182" s="296">
        <f>PRS!G63</f>
        <v>89428.1</v>
      </c>
      <c r="J182" s="297">
        <f>PRS!G64</f>
        <v>2932.0688524590164</v>
      </c>
      <c r="K182" s="297">
        <f>PRS!G65</f>
        <v>3182.1</v>
      </c>
      <c r="L182" s="298">
        <f>PRS!G67</f>
        <v>12.774582713484211</v>
      </c>
      <c r="M182" s="299">
        <f>PRS!G66</f>
        <v>34.800000000000004</v>
      </c>
      <c r="N182" s="296">
        <f>PRS!G71</f>
        <v>6751.0440000000008</v>
      </c>
      <c r="O182" s="297">
        <f>PRS!G72</f>
        <v>450.06960000000004</v>
      </c>
      <c r="P182" s="297">
        <f>PRS!G73</f>
        <v>680.22</v>
      </c>
      <c r="Q182" s="298">
        <f>PRS!G75</f>
        <v>3.5099036108793977</v>
      </c>
      <c r="R182" s="295">
        <f>PRS!G74</f>
        <v>90</v>
      </c>
      <c r="S182" s="300">
        <f>PRS!G77</f>
        <v>71.676000000000002</v>
      </c>
      <c r="T182" s="301">
        <f>PRS!G78</f>
        <v>5974171.8749999991</v>
      </c>
    </row>
    <row r="183" spans="1:20" x14ac:dyDescent="0.25">
      <c r="A183" s="53"/>
      <c r="B183" s="53" t="s">
        <v>10</v>
      </c>
      <c r="C183" s="54" t="s">
        <v>11</v>
      </c>
      <c r="D183" s="55" t="s">
        <v>12</v>
      </c>
      <c r="E183" s="55" t="s">
        <v>13</v>
      </c>
      <c r="F183" s="55" t="s">
        <v>14</v>
      </c>
      <c r="G183" s="56" t="s">
        <v>15</v>
      </c>
      <c r="H183" s="53" t="s">
        <v>16</v>
      </c>
      <c r="I183" s="54" t="s">
        <v>17</v>
      </c>
      <c r="J183" s="55" t="s">
        <v>18</v>
      </c>
      <c r="K183" s="55" t="s">
        <v>19</v>
      </c>
      <c r="L183" s="55" t="s">
        <v>20</v>
      </c>
      <c r="M183" s="56" t="s">
        <v>21</v>
      </c>
      <c r="N183" s="54" t="s">
        <v>22</v>
      </c>
      <c r="O183" s="55" t="s">
        <v>23</v>
      </c>
      <c r="P183" s="55" t="s">
        <v>24</v>
      </c>
      <c r="Q183" s="55" t="s">
        <v>25</v>
      </c>
      <c r="R183" s="56" t="s">
        <v>26</v>
      </c>
      <c r="S183" s="57" t="s">
        <v>27</v>
      </c>
      <c r="T183" s="56" t="s">
        <v>28</v>
      </c>
    </row>
    <row r="184" spans="1:20" ht="30.75" thickBot="1" x14ac:dyDescent="0.3">
      <c r="A184" s="58" t="s">
        <v>0</v>
      </c>
      <c r="B184" s="59" t="s">
        <v>1</v>
      </c>
      <c r="C184" s="1119" t="s">
        <v>2</v>
      </c>
      <c r="D184" s="1120"/>
      <c r="E184" s="1120"/>
      <c r="F184" s="1120"/>
      <c r="G184" s="1121"/>
      <c r="H184" s="59" t="s">
        <v>3</v>
      </c>
      <c r="I184" s="284" t="s">
        <v>4</v>
      </c>
      <c r="J184" s="1122" t="s">
        <v>5</v>
      </c>
      <c r="K184" s="1123"/>
      <c r="L184" s="285" t="s">
        <v>6</v>
      </c>
      <c r="M184" s="60" t="s">
        <v>7</v>
      </c>
      <c r="N184" s="61" t="s">
        <v>4</v>
      </c>
      <c r="O184" s="1124" t="s">
        <v>5</v>
      </c>
      <c r="P184" s="1125"/>
      <c r="Q184" s="285" t="s">
        <v>6</v>
      </c>
      <c r="R184" s="62" t="s">
        <v>7</v>
      </c>
      <c r="S184" s="63" t="s">
        <v>8</v>
      </c>
      <c r="T184" s="62" t="s">
        <v>9</v>
      </c>
    </row>
  </sheetData>
  <sheetProtection algorithmName="SHA-512" hashValue="JhefayECQmYtyd09mDqCJ9ywnO+S10JhX9HbrMp3DNMWfi15Jfrj1bAa3O1F3kMrla+GjZWq1/SZanr7KfBhow==" saltValue="VJVAiTnnAtSQV9Nt101LPw==" spinCount="100000" sheet="1" objects="1" scenarios="1"/>
  <mergeCells count="6">
    <mergeCell ref="C184:G184"/>
    <mergeCell ref="J184:K184"/>
    <mergeCell ref="O184:P184"/>
    <mergeCell ref="C1:G1"/>
    <mergeCell ref="J1:K1"/>
    <mergeCell ref="O1:P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43FF-CDA6-4615-BC75-75E562CF24D6}">
  <sheetPr codeName="Feuil3">
    <tabColor rgb="FFFF0000"/>
  </sheetPr>
  <dimension ref="A1:AK153"/>
  <sheetViews>
    <sheetView zoomScale="85" zoomScaleNormal="85" workbookViewId="0">
      <pane ySplit="3" topLeftCell="A106" activePane="bottomLeft" state="frozen"/>
      <selection activeCell="A4" sqref="A4"/>
      <selection pane="bottomLeft" sqref="A1:A3"/>
    </sheetView>
  </sheetViews>
  <sheetFormatPr baseColWidth="10" defaultRowHeight="12.75" x14ac:dyDescent="0.2"/>
  <cols>
    <col min="1" max="1" width="16.85546875" style="146" customWidth="1"/>
    <col min="2" max="2" width="7.28515625" style="69" customWidth="1"/>
    <col min="3" max="4" width="5.140625" style="69" customWidth="1"/>
    <col min="5" max="5" width="6.140625" style="69" bestFit="1" customWidth="1"/>
    <col min="6" max="6" width="5.28515625" style="69" customWidth="1"/>
    <col min="7" max="7" width="4.28515625" style="69" customWidth="1"/>
    <col min="8" max="9" width="7.42578125" style="69" customWidth="1"/>
    <col min="10" max="10" width="10.28515625" style="69" customWidth="1"/>
    <col min="11" max="11" width="10.28515625" style="69" hidden="1" customWidth="1"/>
    <col min="12" max="12" width="10.140625" style="69" customWidth="1"/>
    <col min="13" max="13" width="10.140625" style="69" hidden="1" customWidth="1"/>
    <col min="14" max="14" width="7.7109375" style="69" customWidth="1"/>
    <col min="15" max="15" width="10.28515625" style="69" customWidth="1"/>
    <col min="16" max="16" width="10.28515625" style="69" hidden="1" customWidth="1"/>
    <col min="17" max="17" width="10.140625" style="69" customWidth="1"/>
    <col min="18" max="18" width="10.140625" style="69" hidden="1" customWidth="1"/>
    <col min="19" max="19" width="7.5703125" style="69" customWidth="1"/>
    <col min="20" max="20" width="7.140625" style="69" customWidth="1"/>
    <col min="21" max="21" width="7.42578125" style="69" customWidth="1"/>
    <col min="22" max="22" width="5.7109375" style="69" customWidth="1"/>
    <col min="23" max="23" width="7.5703125" style="69" customWidth="1"/>
    <col min="24" max="24" width="7.85546875" style="69" customWidth="1"/>
    <col min="25" max="25" width="8" style="69" customWidth="1"/>
    <col min="26" max="26" width="5.85546875" style="69" customWidth="1"/>
    <col min="27" max="27" width="0" style="69" hidden="1" customWidth="1"/>
    <col min="28" max="28" width="12.42578125" style="69" hidden="1" customWidth="1"/>
    <col min="29" max="30" width="0" style="69" hidden="1" customWidth="1"/>
    <col min="31" max="31" width="5.42578125" style="69" customWidth="1"/>
    <col min="32" max="33" width="5.140625" style="69" customWidth="1"/>
    <col min="34" max="34" width="4.5703125" style="69" customWidth="1"/>
    <col min="35" max="35" width="6.140625" style="69" customWidth="1"/>
    <col min="36" max="36" width="5.42578125" style="69" customWidth="1"/>
    <col min="37" max="250" width="11.42578125" style="69"/>
    <col min="251" max="251" width="8" style="69" customWidth="1"/>
    <col min="252" max="252" width="16.85546875" style="69" customWidth="1"/>
    <col min="253" max="254" width="5.140625" style="69" customWidth="1"/>
    <col min="255" max="255" width="6.140625" style="69" bestFit="1" customWidth="1"/>
    <col min="256" max="256" width="5.28515625" style="69" customWidth="1"/>
    <col min="257" max="257" width="4.28515625" style="69" customWidth="1"/>
    <col min="258" max="258" width="7.28515625" style="69" customWidth="1"/>
    <col min="259" max="259" width="7.42578125" style="69" customWidth="1"/>
    <col min="260" max="260" width="5.42578125" style="69" customWidth="1"/>
    <col min="261" max="262" width="5.140625" style="69" customWidth="1"/>
    <col min="263" max="263" width="4.5703125" style="69" customWidth="1"/>
    <col min="264" max="264" width="8" style="69" customWidth="1"/>
    <col min="265" max="265" width="7.42578125" style="69" customWidth="1"/>
    <col min="266" max="266" width="6.140625" style="69" customWidth="1"/>
    <col min="267" max="267" width="5.42578125" style="69" customWidth="1"/>
    <col min="268" max="268" width="11.42578125" style="69"/>
    <col min="269" max="269" width="7.42578125" style="69" customWidth="1"/>
    <col min="270" max="270" width="7.28515625" style="69" customWidth="1"/>
    <col min="271" max="271" width="5.42578125" style="69" customWidth="1"/>
    <col min="272" max="272" width="7.7109375" style="69" customWidth="1"/>
    <col min="273" max="273" width="7.140625" style="69" customWidth="1"/>
    <col min="274" max="274" width="6" style="69" customWidth="1"/>
    <col min="275" max="275" width="7.5703125" style="69" customWidth="1"/>
    <col min="276" max="276" width="7.140625" style="69" customWidth="1"/>
    <col min="277" max="277" width="7.42578125" style="69" customWidth="1"/>
    <col min="278" max="278" width="5.7109375" style="69" customWidth="1"/>
    <col min="279" max="279" width="7.5703125" style="69" customWidth="1"/>
    <col min="280" max="280" width="7.85546875" style="69" customWidth="1"/>
    <col min="281" max="281" width="8" style="69" customWidth="1"/>
    <col min="282" max="282" width="5.85546875" style="69" customWidth="1"/>
    <col min="283" max="283" width="11.42578125" style="69"/>
    <col min="284" max="284" width="12.42578125" style="69" bestFit="1" customWidth="1"/>
    <col min="285" max="506" width="11.42578125" style="69"/>
    <col min="507" max="507" width="8" style="69" customWidth="1"/>
    <col min="508" max="508" width="16.85546875" style="69" customWidth="1"/>
    <col min="509" max="510" width="5.140625" style="69" customWidth="1"/>
    <col min="511" max="511" width="6.140625" style="69" bestFit="1" customWidth="1"/>
    <col min="512" max="512" width="5.28515625" style="69" customWidth="1"/>
    <col min="513" max="513" width="4.28515625" style="69" customWidth="1"/>
    <col min="514" max="514" width="7.28515625" style="69" customWidth="1"/>
    <col min="515" max="515" width="7.42578125" style="69" customWidth="1"/>
    <col min="516" max="516" width="5.42578125" style="69" customWidth="1"/>
    <col min="517" max="518" width="5.140625" style="69" customWidth="1"/>
    <col min="519" max="519" width="4.5703125" style="69" customWidth="1"/>
    <col min="520" max="520" width="8" style="69" customWidth="1"/>
    <col min="521" max="521" width="7.42578125" style="69" customWidth="1"/>
    <col min="522" max="522" width="6.140625" style="69" customWidth="1"/>
    <col min="523" max="523" width="5.42578125" style="69" customWidth="1"/>
    <col min="524" max="524" width="11.42578125" style="69"/>
    <col min="525" max="525" width="7.42578125" style="69" customWidth="1"/>
    <col min="526" max="526" width="7.28515625" style="69" customWidth="1"/>
    <col min="527" max="527" width="5.42578125" style="69" customWidth="1"/>
    <col min="528" max="528" width="7.7109375" style="69" customWidth="1"/>
    <col min="529" max="529" width="7.140625" style="69" customWidth="1"/>
    <col min="530" max="530" width="6" style="69" customWidth="1"/>
    <col min="531" max="531" width="7.5703125" style="69" customWidth="1"/>
    <col min="532" max="532" width="7.140625" style="69" customWidth="1"/>
    <col min="533" max="533" width="7.42578125" style="69" customWidth="1"/>
    <col min="534" max="534" width="5.7109375" style="69" customWidth="1"/>
    <col min="535" max="535" width="7.5703125" style="69" customWidth="1"/>
    <col min="536" max="536" width="7.85546875" style="69" customWidth="1"/>
    <col min="537" max="537" width="8" style="69" customWidth="1"/>
    <col min="538" max="538" width="5.85546875" style="69" customWidth="1"/>
    <col min="539" max="539" width="11.42578125" style="69"/>
    <col min="540" max="540" width="12.42578125" style="69" bestFit="1" customWidth="1"/>
    <col min="541" max="762" width="11.42578125" style="69"/>
    <col min="763" max="763" width="8" style="69" customWidth="1"/>
    <col min="764" max="764" width="16.85546875" style="69" customWidth="1"/>
    <col min="765" max="766" width="5.140625" style="69" customWidth="1"/>
    <col min="767" max="767" width="6.140625" style="69" bestFit="1" customWidth="1"/>
    <col min="768" max="768" width="5.28515625" style="69" customWidth="1"/>
    <col min="769" max="769" width="4.28515625" style="69" customWidth="1"/>
    <col min="770" max="770" width="7.28515625" style="69" customWidth="1"/>
    <col min="771" max="771" width="7.42578125" style="69" customWidth="1"/>
    <col min="772" max="772" width="5.42578125" style="69" customWidth="1"/>
    <col min="773" max="774" width="5.140625" style="69" customWidth="1"/>
    <col min="775" max="775" width="4.5703125" style="69" customWidth="1"/>
    <col min="776" max="776" width="8" style="69" customWidth="1"/>
    <col min="777" max="777" width="7.42578125" style="69" customWidth="1"/>
    <col min="778" max="778" width="6.140625" style="69" customWidth="1"/>
    <col min="779" max="779" width="5.42578125" style="69" customWidth="1"/>
    <col min="780" max="780" width="11.42578125" style="69"/>
    <col min="781" max="781" width="7.42578125" style="69" customWidth="1"/>
    <col min="782" max="782" width="7.28515625" style="69" customWidth="1"/>
    <col min="783" max="783" width="5.42578125" style="69" customWidth="1"/>
    <col min="784" max="784" width="7.7109375" style="69" customWidth="1"/>
    <col min="785" max="785" width="7.140625" style="69" customWidth="1"/>
    <col min="786" max="786" width="6" style="69" customWidth="1"/>
    <col min="787" max="787" width="7.5703125" style="69" customWidth="1"/>
    <col min="788" max="788" width="7.140625" style="69" customWidth="1"/>
    <col min="789" max="789" width="7.42578125" style="69" customWidth="1"/>
    <col min="790" max="790" width="5.7109375" style="69" customWidth="1"/>
    <col min="791" max="791" width="7.5703125" style="69" customWidth="1"/>
    <col min="792" max="792" width="7.85546875" style="69" customWidth="1"/>
    <col min="793" max="793" width="8" style="69" customWidth="1"/>
    <col min="794" max="794" width="5.85546875" style="69" customWidth="1"/>
    <col min="795" max="795" width="11.42578125" style="69"/>
    <col min="796" max="796" width="12.42578125" style="69" bestFit="1" customWidth="1"/>
    <col min="797" max="1018" width="11.42578125" style="69"/>
    <col min="1019" max="1019" width="8" style="69" customWidth="1"/>
    <col min="1020" max="1020" width="16.85546875" style="69" customWidth="1"/>
    <col min="1021" max="1022" width="5.140625" style="69" customWidth="1"/>
    <col min="1023" max="1023" width="6.140625" style="69" bestFit="1" customWidth="1"/>
    <col min="1024" max="1024" width="5.28515625" style="69" customWidth="1"/>
    <col min="1025" max="1025" width="4.28515625" style="69" customWidth="1"/>
    <col min="1026" max="1026" width="7.28515625" style="69" customWidth="1"/>
    <col min="1027" max="1027" width="7.42578125" style="69" customWidth="1"/>
    <col min="1028" max="1028" width="5.42578125" style="69" customWidth="1"/>
    <col min="1029" max="1030" width="5.140625" style="69" customWidth="1"/>
    <col min="1031" max="1031" width="4.5703125" style="69" customWidth="1"/>
    <col min="1032" max="1032" width="8" style="69" customWidth="1"/>
    <col min="1033" max="1033" width="7.42578125" style="69" customWidth="1"/>
    <col min="1034" max="1034" width="6.140625" style="69" customWidth="1"/>
    <col min="1035" max="1035" width="5.42578125" style="69" customWidth="1"/>
    <col min="1036" max="1036" width="11.42578125" style="69"/>
    <col min="1037" max="1037" width="7.42578125" style="69" customWidth="1"/>
    <col min="1038" max="1038" width="7.28515625" style="69" customWidth="1"/>
    <col min="1039" max="1039" width="5.42578125" style="69" customWidth="1"/>
    <col min="1040" max="1040" width="7.7109375" style="69" customWidth="1"/>
    <col min="1041" max="1041" width="7.140625" style="69" customWidth="1"/>
    <col min="1042" max="1042" width="6" style="69" customWidth="1"/>
    <col min="1043" max="1043" width="7.5703125" style="69" customWidth="1"/>
    <col min="1044" max="1044" width="7.140625" style="69" customWidth="1"/>
    <col min="1045" max="1045" width="7.42578125" style="69" customWidth="1"/>
    <col min="1046" max="1046" width="5.7109375" style="69" customWidth="1"/>
    <col min="1047" max="1047" width="7.5703125" style="69" customWidth="1"/>
    <col min="1048" max="1048" width="7.85546875" style="69" customWidth="1"/>
    <col min="1049" max="1049" width="8" style="69" customWidth="1"/>
    <col min="1050" max="1050" width="5.85546875" style="69" customWidth="1"/>
    <col min="1051" max="1051" width="11.42578125" style="69"/>
    <col min="1052" max="1052" width="12.42578125" style="69" bestFit="1" customWidth="1"/>
    <col min="1053" max="1274" width="11.42578125" style="69"/>
    <col min="1275" max="1275" width="8" style="69" customWidth="1"/>
    <col min="1276" max="1276" width="16.85546875" style="69" customWidth="1"/>
    <col min="1277" max="1278" width="5.140625" style="69" customWidth="1"/>
    <col min="1279" max="1279" width="6.140625" style="69" bestFit="1" customWidth="1"/>
    <col min="1280" max="1280" width="5.28515625" style="69" customWidth="1"/>
    <col min="1281" max="1281" width="4.28515625" style="69" customWidth="1"/>
    <col min="1282" max="1282" width="7.28515625" style="69" customWidth="1"/>
    <col min="1283" max="1283" width="7.42578125" style="69" customWidth="1"/>
    <col min="1284" max="1284" width="5.42578125" style="69" customWidth="1"/>
    <col min="1285" max="1286" width="5.140625" style="69" customWidth="1"/>
    <col min="1287" max="1287" width="4.5703125" style="69" customWidth="1"/>
    <col min="1288" max="1288" width="8" style="69" customWidth="1"/>
    <col min="1289" max="1289" width="7.42578125" style="69" customWidth="1"/>
    <col min="1290" max="1290" width="6.140625" style="69" customWidth="1"/>
    <col min="1291" max="1291" width="5.42578125" style="69" customWidth="1"/>
    <col min="1292" max="1292" width="11.42578125" style="69"/>
    <col min="1293" max="1293" width="7.42578125" style="69" customWidth="1"/>
    <col min="1294" max="1294" width="7.28515625" style="69" customWidth="1"/>
    <col min="1295" max="1295" width="5.42578125" style="69" customWidth="1"/>
    <col min="1296" max="1296" width="7.7109375" style="69" customWidth="1"/>
    <col min="1297" max="1297" width="7.140625" style="69" customWidth="1"/>
    <col min="1298" max="1298" width="6" style="69" customWidth="1"/>
    <col min="1299" max="1299" width="7.5703125" style="69" customWidth="1"/>
    <col min="1300" max="1300" width="7.140625" style="69" customWidth="1"/>
    <col min="1301" max="1301" width="7.42578125" style="69" customWidth="1"/>
    <col min="1302" max="1302" width="5.7109375" style="69" customWidth="1"/>
    <col min="1303" max="1303" width="7.5703125" style="69" customWidth="1"/>
    <col min="1304" max="1304" width="7.85546875" style="69" customWidth="1"/>
    <col min="1305" max="1305" width="8" style="69" customWidth="1"/>
    <col min="1306" max="1306" width="5.85546875" style="69" customWidth="1"/>
    <col min="1307" max="1307" width="11.42578125" style="69"/>
    <col min="1308" max="1308" width="12.42578125" style="69" bestFit="1" customWidth="1"/>
    <col min="1309" max="1530" width="11.42578125" style="69"/>
    <col min="1531" max="1531" width="8" style="69" customWidth="1"/>
    <col min="1532" max="1532" width="16.85546875" style="69" customWidth="1"/>
    <col min="1533" max="1534" width="5.140625" style="69" customWidth="1"/>
    <col min="1535" max="1535" width="6.140625" style="69" bestFit="1" customWidth="1"/>
    <col min="1536" max="1536" width="5.28515625" style="69" customWidth="1"/>
    <col min="1537" max="1537" width="4.28515625" style="69" customWidth="1"/>
    <col min="1538" max="1538" width="7.28515625" style="69" customWidth="1"/>
    <col min="1539" max="1539" width="7.42578125" style="69" customWidth="1"/>
    <col min="1540" max="1540" width="5.42578125" style="69" customWidth="1"/>
    <col min="1541" max="1542" width="5.140625" style="69" customWidth="1"/>
    <col min="1543" max="1543" width="4.5703125" style="69" customWidth="1"/>
    <col min="1544" max="1544" width="8" style="69" customWidth="1"/>
    <col min="1545" max="1545" width="7.42578125" style="69" customWidth="1"/>
    <col min="1546" max="1546" width="6.140625" style="69" customWidth="1"/>
    <col min="1547" max="1547" width="5.42578125" style="69" customWidth="1"/>
    <col min="1548" max="1548" width="11.42578125" style="69"/>
    <col min="1549" max="1549" width="7.42578125" style="69" customWidth="1"/>
    <col min="1550" max="1550" width="7.28515625" style="69" customWidth="1"/>
    <col min="1551" max="1551" width="5.42578125" style="69" customWidth="1"/>
    <col min="1552" max="1552" width="7.7109375" style="69" customWidth="1"/>
    <col min="1553" max="1553" width="7.140625" style="69" customWidth="1"/>
    <col min="1554" max="1554" width="6" style="69" customWidth="1"/>
    <col min="1555" max="1555" width="7.5703125" style="69" customWidth="1"/>
    <col min="1556" max="1556" width="7.140625" style="69" customWidth="1"/>
    <col min="1557" max="1557" width="7.42578125" style="69" customWidth="1"/>
    <col min="1558" max="1558" width="5.7109375" style="69" customWidth="1"/>
    <col min="1559" max="1559" width="7.5703125" style="69" customWidth="1"/>
    <col min="1560" max="1560" width="7.85546875" style="69" customWidth="1"/>
    <col min="1561" max="1561" width="8" style="69" customWidth="1"/>
    <col min="1562" max="1562" width="5.85546875" style="69" customWidth="1"/>
    <col min="1563" max="1563" width="11.42578125" style="69"/>
    <col min="1564" max="1564" width="12.42578125" style="69" bestFit="1" customWidth="1"/>
    <col min="1565" max="1786" width="11.42578125" style="69"/>
    <col min="1787" max="1787" width="8" style="69" customWidth="1"/>
    <col min="1788" max="1788" width="16.85546875" style="69" customWidth="1"/>
    <col min="1789" max="1790" width="5.140625" style="69" customWidth="1"/>
    <col min="1791" max="1791" width="6.140625" style="69" bestFit="1" customWidth="1"/>
    <col min="1792" max="1792" width="5.28515625" style="69" customWidth="1"/>
    <col min="1793" max="1793" width="4.28515625" style="69" customWidth="1"/>
    <col min="1794" max="1794" width="7.28515625" style="69" customWidth="1"/>
    <col min="1795" max="1795" width="7.42578125" style="69" customWidth="1"/>
    <col min="1796" max="1796" width="5.42578125" style="69" customWidth="1"/>
    <col min="1797" max="1798" width="5.140625" style="69" customWidth="1"/>
    <col min="1799" max="1799" width="4.5703125" style="69" customWidth="1"/>
    <col min="1800" max="1800" width="8" style="69" customWidth="1"/>
    <col min="1801" max="1801" width="7.42578125" style="69" customWidth="1"/>
    <col min="1802" max="1802" width="6.140625" style="69" customWidth="1"/>
    <col min="1803" max="1803" width="5.42578125" style="69" customWidth="1"/>
    <col min="1804" max="1804" width="11.42578125" style="69"/>
    <col min="1805" max="1805" width="7.42578125" style="69" customWidth="1"/>
    <col min="1806" max="1806" width="7.28515625" style="69" customWidth="1"/>
    <col min="1807" max="1807" width="5.42578125" style="69" customWidth="1"/>
    <col min="1808" max="1808" width="7.7109375" style="69" customWidth="1"/>
    <col min="1809" max="1809" width="7.140625" style="69" customWidth="1"/>
    <col min="1810" max="1810" width="6" style="69" customWidth="1"/>
    <col min="1811" max="1811" width="7.5703125" style="69" customWidth="1"/>
    <col min="1812" max="1812" width="7.140625" style="69" customWidth="1"/>
    <col min="1813" max="1813" width="7.42578125" style="69" customWidth="1"/>
    <col min="1814" max="1814" width="5.7109375" style="69" customWidth="1"/>
    <col min="1815" max="1815" width="7.5703125" style="69" customWidth="1"/>
    <col min="1816" max="1816" width="7.85546875" style="69" customWidth="1"/>
    <col min="1817" max="1817" width="8" style="69" customWidth="1"/>
    <col min="1818" max="1818" width="5.85546875" style="69" customWidth="1"/>
    <col min="1819" max="1819" width="11.42578125" style="69"/>
    <col min="1820" max="1820" width="12.42578125" style="69" bestFit="1" customWidth="1"/>
    <col min="1821" max="2042" width="11.42578125" style="69"/>
    <col min="2043" max="2043" width="8" style="69" customWidth="1"/>
    <col min="2044" max="2044" width="16.85546875" style="69" customWidth="1"/>
    <col min="2045" max="2046" width="5.140625" style="69" customWidth="1"/>
    <col min="2047" max="2047" width="6.140625" style="69" bestFit="1" customWidth="1"/>
    <col min="2048" max="2048" width="5.28515625" style="69" customWidth="1"/>
    <col min="2049" max="2049" width="4.28515625" style="69" customWidth="1"/>
    <col min="2050" max="2050" width="7.28515625" style="69" customWidth="1"/>
    <col min="2051" max="2051" width="7.42578125" style="69" customWidth="1"/>
    <col min="2052" max="2052" width="5.42578125" style="69" customWidth="1"/>
    <col min="2053" max="2054" width="5.140625" style="69" customWidth="1"/>
    <col min="2055" max="2055" width="4.5703125" style="69" customWidth="1"/>
    <col min="2056" max="2056" width="8" style="69" customWidth="1"/>
    <col min="2057" max="2057" width="7.42578125" style="69" customWidth="1"/>
    <col min="2058" max="2058" width="6.140625" style="69" customWidth="1"/>
    <col min="2059" max="2059" width="5.42578125" style="69" customWidth="1"/>
    <col min="2060" max="2060" width="11.42578125" style="69"/>
    <col min="2061" max="2061" width="7.42578125" style="69" customWidth="1"/>
    <col min="2062" max="2062" width="7.28515625" style="69" customWidth="1"/>
    <col min="2063" max="2063" width="5.42578125" style="69" customWidth="1"/>
    <col min="2064" max="2064" width="7.7109375" style="69" customWidth="1"/>
    <col min="2065" max="2065" width="7.140625" style="69" customWidth="1"/>
    <col min="2066" max="2066" width="6" style="69" customWidth="1"/>
    <col min="2067" max="2067" width="7.5703125" style="69" customWidth="1"/>
    <col min="2068" max="2068" width="7.140625" style="69" customWidth="1"/>
    <col min="2069" max="2069" width="7.42578125" style="69" customWidth="1"/>
    <col min="2070" max="2070" width="5.7109375" style="69" customWidth="1"/>
    <col min="2071" max="2071" width="7.5703125" style="69" customWidth="1"/>
    <col min="2072" max="2072" width="7.85546875" style="69" customWidth="1"/>
    <col min="2073" max="2073" width="8" style="69" customWidth="1"/>
    <col min="2074" max="2074" width="5.85546875" style="69" customWidth="1"/>
    <col min="2075" max="2075" width="11.42578125" style="69"/>
    <col min="2076" max="2076" width="12.42578125" style="69" bestFit="1" customWidth="1"/>
    <col min="2077" max="2298" width="11.42578125" style="69"/>
    <col min="2299" max="2299" width="8" style="69" customWidth="1"/>
    <col min="2300" max="2300" width="16.85546875" style="69" customWidth="1"/>
    <col min="2301" max="2302" width="5.140625" style="69" customWidth="1"/>
    <col min="2303" max="2303" width="6.140625" style="69" bestFit="1" customWidth="1"/>
    <col min="2304" max="2304" width="5.28515625" style="69" customWidth="1"/>
    <col min="2305" max="2305" width="4.28515625" style="69" customWidth="1"/>
    <col min="2306" max="2306" width="7.28515625" style="69" customWidth="1"/>
    <col min="2307" max="2307" width="7.42578125" style="69" customWidth="1"/>
    <col min="2308" max="2308" width="5.42578125" style="69" customWidth="1"/>
    <col min="2309" max="2310" width="5.140625" style="69" customWidth="1"/>
    <col min="2311" max="2311" width="4.5703125" style="69" customWidth="1"/>
    <col min="2312" max="2312" width="8" style="69" customWidth="1"/>
    <col min="2313" max="2313" width="7.42578125" style="69" customWidth="1"/>
    <col min="2314" max="2314" width="6.140625" style="69" customWidth="1"/>
    <col min="2315" max="2315" width="5.42578125" style="69" customWidth="1"/>
    <col min="2316" max="2316" width="11.42578125" style="69"/>
    <col min="2317" max="2317" width="7.42578125" style="69" customWidth="1"/>
    <col min="2318" max="2318" width="7.28515625" style="69" customWidth="1"/>
    <col min="2319" max="2319" width="5.42578125" style="69" customWidth="1"/>
    <col min="2320" max="2320" width="7.7109375" style="69" customWidth="1"/>
    <col min="2321" max="2321" width="7.140625" style="69" customWidth="1"/>
    <col min="2322" max="2322" width="6" style="69" customWidth="1"/>
    <col min="2323" max="2323" width="7.5703125" style="69" customWidth="1"/>
    <col min="2324" max="2324" width="7.140625" style="69" customWidth="1"/>
    <col min="2325" max="2325" width="7.42578125" style="69" customWidth="1"/>
    <col min="2326" max="2326" width="5.7109375" style="69" customWidth="1"/>
    <col min="2327" max="2327" width="7.5703125" style="69" customWidth="1"/>
    <col min="2328" max="2328" width="7.85546875" style="69" customWidth="1"/>
    <col min="2329" max="2329" width="8" style="69" customWidth="1"/>
    <col min="2330" max="2330" width="5.85546875" style="69" customWidth="1"/>
    <col min="2331" max="2331" width="11.42578125" style="69"/>
    <col min="2332" max="2332" width="12.42578125" style="69" bestFit="1" customWidth="1"/>
    <col min="2333" max="2554" width="11.42578125" style="69"/>
    <col min="2555" max="2555" width="8" style="69" customWidth="1"/>
    <col min="2556" max="2556" width="16.85546875" style="69" customWidth="1"/>
    <col min="2557" max="2558" width="5.140625" style="69" customWidth="1"/>
    <col min="2559" max="2559" width="6.140625" style="69" bestFit="1" customWidth="1"/>
    <col min="2560" max="2560" width="5.28515625" style="69" customWidth="1"/>
    <col min="2561" max="2561" width="4.28515625" style="69" customWidth="1"/>
    <col min="2562" max="2562" width="7.28515625" style="69" customWidth="1"/>
    <col min="2563" max="2563" width="7.42578125" style="69" customWidth="1"/>
    <col min="2564" max="2564" width="5.42578125" style="69" customWidth="1"/>
    <col min="2565" max="2566" width="5.140625" style="69" customWidth="1"/>
    <col min="2567" max="2567" width="4.5703125" style="69" customWidth="1"/>
    <col min="2568" max="2568" width="8" style="69" customWidth="1"/>
    <col min="2569" max="2569" width="7.42578125" style="69" customWidth="1"/>
    <col min="2570" max="2570" width="6.140625" style="69" customWidth="1"/>
    <col min="2571" max="2571" width="5.42578125" style="69" customWidth="1"/>
    <col min="2572" max="2572" width="11.42578125" style="69"/>
    <col min="2573" max="2573" width="7.42578125" style="69" customWidth="1"/>
    <col min="2574" max="2574" width="7.28515625" style="69" customWidth="1"/>
    <col min="2575" max="2575" width="5.42578125" style="69" customWidth="1"/>
    <col min="2576" max="2576" width="7.7109375" style="69" customWidth="1"/>
    <col min="2577" max="2577" width="7.140625" style="69" customWidth="1"/>
    <col min="2578" max="2578" width="6" style="69" customWidth="1"/>
    <col min="2579" max="2579" width="7.5703125" style="69" customWidth="1"/>
    <col min="2580" max="2580" width="7.140625" style="69" customWidth="1"/>
    <col min="2581" max="2581" width="7.42578125" style="69" customWidth="1"/>
    <col min="2582" max="2582" width="5.7109375" style="69" customWidth="1"/>
    <col min="2583" max="2583" width="7.5703125" style="69" customWidth="1"/>
    <col min="2584" max="2584" width="7.85546875" style="69" customWidth="1"/>
    <col min="2585" max="2585" width="8" style="69" customWidth="1"/>
    <col min="2586" max="2586" width="5.85546875" style="69" customWidth="1"/>
    <col min="2587" max="2587" width="11.42578125" style="69"/>
    <col min="2588" max="2588" width="12.42578125" style="69" bestFit="1" customWidth="1"/>
    <col min="2589" max="2810" width="11.42578125" style="69"/>
    <col min="2811" max="2811" width="8" style="69" customWidth="1"/>
    <col min="2812" max="2812" width="16.85546875" style="69" customWidth="1"/>
    <col min="2813" max="2814" width="5.140625" style="69" customWidth="1"/>
    <col min="2815" max="2815" width="6.140625" style="69" bestFit="1" customWidth="1"/>
    <col min="2816" max="2816" width="5.28515625" style="69" customWidth="1"/>
    <col min="2817" max="2817" width="4.28515625" style="69" customWidth="1"/>
    <col min="2818" max="2818" width="7.28515625" style="69" customWidth="1"/>
    <col min="2819" max="2819" width="7.42578125" style="69" customWidth="1"/>
    <col min="2820" max="2820" width="5.42578125" style="69" customWidth="1"/>
    <col min="2821" max="2822" width="5.140625" style="69" customWidth="1"/>
    <col min="2823" max="2823" width="4.5703125" style="69" customWidth="1"/>
    <col min="2824" max="2824" width="8" style="69" customWidth="1"/>
    <col min="2825" max="2825" width="7.42578125" style="69" customWidth="1"/>
    <col min="2826" max="2826" width="6.140625" style="69" customWidth="1"/>
    <col min="2827" max="2827" width="5.42578125" style="69" customWidth="1"/>
    <col min="2828" max="2828" width="11.42578125" style="69"/>
    <col min="2829" max="2829" width="7.42578125" style="69" customWidth="1"/>
    <col min="2830" max="2830" width="7.28515625" style="69" customWidth="1"/>
    <col min="2831" max="2831" width="5.42578125" style="69" customWidth="1"/>
    <col min="2832" max="2832" width="7.7109375" style="69" customWidth="1"/>
    <col min="2833" max="2833" width="7.140625" style="69" customWidth="1"/>
    <col min="2834" max="2834" width="6" style="69" customWidth="1"/>
    <col min="2835" max="2835" width="7.5703125" style="69" customWidth="1"/>
    <col min="2836" max="2836" width="7.140625" style="69" customWidth="1"/>
    <col min="2837" max="2837" width="7.42578125" style="69" customWidth="1"/>
    <col min="2838" max="2838" width="5.7109375" style="69" customWidth="1"/>
    <col min="2839" max="2839" width="7.5703125" style="69" customWidth="1"/>
    <col min="2840" max="2840" width="7.85546875" style="69" customWidth="1"/>
    <col min="2841" max="2841" width="8" style="69" customWidth="1"/>
    <col min="2842" max="2842" width="5.85546875" style="69" customWidth="1"/>
    <col min="2843" max="2843" width="11.42578125" style="69"/>
    <col min="2844" max="2844" width="12.42578125" style="69" bestFit="1" customWidth="1"/>
    <col min="2845" max="3066" width="11.42578125" style="69"/>
    <col min="3067" max="3067" width="8" style="69" customWidth="1"/>
    <col min="3068" max="3068" width="16.85546875" style="69" customWidth="1"/>
    <col min="3069" max="3070" width="5.140625" style="69" customWidth="1"/>
    <col min="3071" max="3071" width="6.140625" style="69" bestFit="1" customWidth="1"/>
    <col min="3072" max="3072" width="5.28515625" style="69" customWidth="1"/>
    <col min="3073" max="3073" width="4.28515625" style="69" customWidth="1"/>
    <col min="3074" max="3074" width="7.28515625" style="69" customWidth="1"/>
    <col min="3075" max="3075" width="7.42578125" style="69" customWidth="1"/>
    <col min="3076" max="3076" width="5.42578125" style="69" customWidth="1"/>
    <col min="3077" max="3078" width="5.140625" style="69" customWidth="1"/>
    <col min="3079" max="3079" width="4.5703125" style="69" customWidth="1"/>
    <col min="3080" max="3080" width="8" style="69" customWidth="1"/>
    <col min="3081" max="3081" width="7.42578125" style="69" customWidth="1"/>
    <col min="3082" max="3082" width="6.140625" style="69" customWidth="1"/>
    <col min="3083" max="3083" width="5.42578125" style="69" customWidth="1"/>
    <col min="3084" max="3084" width="11.42578125" style="69"/>
    <col min="3085" max="3085" width="7.42578125" style="69" customWidth="1"/>
    <col min="3086" max="3086" width="7.28515625" style="69" customWidth="1"/>
    <col min="3087" max="3087" width="5.42578125" style="69" customWidth="1"/>
    <col min="3088" max="3088" width="7.7109375" style="69" customWidth="1"/>
    <col min="3089" max="3089" width="7.140625" style="69" customWidth="1"/>
    <col min="3090" max="3090" width="6" style="69" customWidth="1"/>
    <col min="3091" max="3091" width="7.5703125" style="69" customWidth="1"/>
    <col min="3092" max="3092" width="7.140625" style="69" customWidth="1"/>
    <col min="3093" max="3093" width="7.42578125" style="69" customWidth="1"/>
    <col min="3094" max="3094" width="5.7109375" style="69" customWidth="1"/>
    <col min="3095" max="3095" width="7.5703125" style="69" customWidth="1"/>
    <col min="3096" max="3096" width="7.85546875" style="69" customWidth="1"/>
    <col min="3097" max="3097" width="8" style="69" customWidth="1"/>
    <col min="3098" max="3098" width="5.85546875" style="69" customWidth="1"/>
    <col min="3099" max="3099" width="11.42578125" style="69"/>
    <col min="3100" max="3100" width="12.42578125" style="69" bestFit="1" customWidth="1"/>
    <col min="3101" max="3322" width="11.42578125" style="69"/>
    <col min="3323" max="3323" width="8" style="69" customWidth="1"/>
    <col min="3324" max="3324" width="16.85546875" style="69" customWidth="1"/>
    <col min="3325" max="3326" width="5.140625" style="69" customWidth="1"/>
    <col min="3327" max="3327" width="6.140625" style="69" bestFit="1" customWidth="1"/>
    <col min="3328" max="3328" width="5.28515625" style="69" customWidth="1"/>
    <col min="3329" max="3329" width="4.28515625" style="69" customWidth="1"/>
    <col min="3330" max="3330" width="7.28515625" style="69" customWidth="1"/>
    <col min="3331" max="3331" width="7.42578125" style="69" customWidth="1"/>
    <col min="3332" max="3332" width="5.42578125" style="69" customWidth="1"/>
    <col min="3333" max="3334" width="5.140625" style="69" customWidth="1"/>
    <col min="3335" max="3335" width="4.5703125" style="69" customWidth="1"/>
    <col min="3336" max="3336" width="8" style="69" customWidth="1"/>
    <col min="3337" max="3337" width="7.42578125" style="69" customWidth="1"/>
    <col min="3338" max="3338" width="6.140625" style="69" customWidth="1"/>
    <col min="3339" max="3339" width="5.42578125" style="69" customWidth="1"/>
    <col min="3340" max="3340" width="11.42578125" style="69"/>
    <col min="3341" max="3341" width="7.42578125" style="69" customWidth="1"/>
    <col min="3342" max="3342" width="7.28515625" style="69" customWidth="1"/>
    <col min="3343" max="3343" width="5.42578125" style="69" customWidth="1"/>
    <col min="3344" max="3344" width="7.7109375" style="69" customWidth="1"/>
    <col min="3345" max="3345" width="7.140625" style="69" customWidth="1"/>
    <col min="3346" max="3346" width="6" style="69" customWidth="1"/>
    <col min="3347" max="3347" width="7.5703125" style="69" customWidth="1"/>
    <col min="3348" max="3348" width="7.140625" style="69" customWidth="1"/>
    <col min="3349" max="3349" width="7.42578125" style="69" customWidth="1"/>
    <col min="3350" max="3350" width="5.7109375" style="69" customWidth="1"/>
    <col min="3351" max="3351" width="7.5703125" style="69" customWidth="1"/>
    <col min="3352" max="3352" width="7.85546875" style="69" customWidth="1"/>
    <col min="3353" max="3353" width="8" style="69" customWidth="1"/>
    <col min="3354" max="3354" width="5.85546875" style="69" customWidth="1"/>
    <col min="3355" max="3355" width="11.42578125" style="69"/>
    <col min="3356" max="3356" width="12.42578125" style="69" bestFit="1" customWidth="1"/>
    <col min="3357" max="3578" width="11.42578125" style="69"/>
    <col min="3579" max="3579" width="8" style="69" customWidth="1"/>
    <col min="3580" max="3580" width="16.85546875" style="69" customWidth="1"/>
    <col min="3581" max="3582" width="5.140625" style="69" customWidth="1"/>
    <col min="3583" max="3583" width="6.140625" style="69" bestFit="1" customWidth="1"/>
    <col min="3584" max="3584" width="5.28515625" style="69" customWidth="1"/>
    <col min="3585" max="3585" width="4.28515625" style="69" customWidth="1"/>
    <col min="3586" max="3586" width="7.28515625" style="69" customWidth="1"/>
    <col min="3587" max="3587" width="7.42578125" style="69" customWidth="1"/>
    <col min="3588" max="3588" width="5.42578125" style="69" customWidth="1"/>
    <col min="3589" max="3590" width="5.140625" style="69" customWidth="1"/>
    <col min="3591" max="3591" width="4.5703125" style="69" customWidth="1"/>
    <col min="3592" max="3592" width="8" style="69" customWidth="1"/>
    <col min="3593" max="3593" width="7.42578125" style="69" customWidth="1"/>
    <col min="3594" max="3594" width="6.140625" style="69" customWidth="1"/>
    <col min="3595" max="3595" width="5.42578125" style="69" customWidth="1"/>
    <col min="3596" max="3596" width="11.42578125" style="69"/>
    <col min="3597" max="3597" width="7.42578125" style="69" customWidth="1"/>
    <col min="3598" max="3598" width="7.28515625" style="69" customWidth="1"/>
    <col min="3599" max="3599" width="5.42578125" style="69" customWidth="1"/>
    <col min="3600" max="3600" width="7.7109375" style="69" customWidth="1"/>
    <col min="3601" max="3601" width="7.140625" style="69" customWidth="1"/>
    <col min="3602" max="3602" width="6" style="69" customWidth="1"/>
    <col min="3603" max="3603" width="7.5703125" style="69" customWidth="1"/>
    <col min="3604" max="3604" width="7.140625" style="69" customWidth="1"/>
    <col min="3605" max="3605" width="7.42578125" style="69" customWidth="1"/>
    <col min="3606" max="3606" width="5.7109375" style="69" customWidth="1"/>
    <col min="3607" max="3607" width="7.5703125" style="69" customWidth="1"/>
    <col min="3608" max="3608" width="7.85546875" style="69" customWidth="1"/>
    <col min="3609" max="3609" width="8" style="69" customWidth="1"/>
    <col min="3610" max="3610" width="5.85546875" style="69" customWidth="1"/>
    <col min="3611" max="3611" width="11.42578125" style="69"/>
    <col min="3612" max="3612" width="12.42578125" style="69" bestFit="1" customWidth="1"/>
    <col min="3613" max="3834" width="11.42578125" style="69"/>
    <col min="3835" max="3835" width="8" style="69" customWidth="1"/>
    <col min="3836" max="3836" width="16.85546875" style="69" customWidth="1"/>
    <col min="3837" max="3838" width="5.140625" style="69" customWidth="1"/>
    <col min="3839" max="3839" width="6.140625" style="69" bestFit="1" customWidth="1"/>
    <col min="3840" max="3840" width="5.28515625" style="69" customWidth="1"/>
    <col min="3841" max="3841" width="4.28515625" style="69" customWidth="1"/>
    <col min="3842" max="3842" width="7.28515625" style="69" customWidth="1"/>
    <col min="3843" max="3843" width="7.42578125" style="69" customWidth="1"/>
    <col min="3844" max="3844" width="5.42578125" style="69" customWidth="1"/>
    <col min="3845" max="3846" width="5.140625" style="69" customWidth="1"/>
    <col min="3847" max="3847" width="4.5703125" style="69" customWidth="1"/>
    <col min="3848" max="3848" width="8" style="69" customWidth="1"/>
    <col min="3849" max="3849" width="7.42578125" style="69" customWidth="1"/>
    <col min="3850" max="3850" width="6.140625" style="69" customWidth="1"/>
    <col min="3851" max="3851" width="5.42578125" style="69" customWidth="1"/>
    <col min="3852" max="3852" width="11.42578125" style="69"/>
    <col min="3853" max="3853" width="7.42578125" style="69" customWidth="1"/>
    <col min="3854" max="3854" width="7.28515625" style="69" customWidth="1"/>
    <col min="3855" max="3855" width="5.42578125" style="69" customWidth="1"/>
    <col min="3856" max="3856" width="7.7109375" style="69" customWidth="1"/>
    <col min="3857" max="3857" width="7.140625" style="69" customWidth="1"/>
    <col min="3858" max="3858" width="6" style="69" customWidth="1"/>
    <col min="3859" max="3859" width="7.5703125" style="69" customWidth="1"/>
    <col min="3860" max="3860" width="7.140625" style="69" customWidth="1"/>
    <col min="3861" max="3861" width="7.42578125" style="69" customWidth="1"/>
    <col min="3862" max="3862" width="5.7109375" style="69" customWidth="1"/>
    <col min="3863" max="3863" width="7.5703125" style="69" customWidth="1"/>
    <col min="3864" max="3864" width="7.85546875" style="69" customWidth="1"/>
    <col min="3865" max="3865" width="8" style="69" customWidth="1"/>
    <col min="3866" max="3866" width="5.85546875" style="69" customWidth="1"/>
    <col min="3867" max="3867" width="11.42578125" style="69"/>
    <col min="3868" max="3868" width="12.42578125" style="69" bestFit="1" customWidth="1"/>
    <col min="3869" max="4090" width="11.42578125" style="69"/>
    <col min="4091" max="4091" width="8" style="69" customWidth="1"/>
    <col min="4092" max="4092" width="16.85546875" style="69" customWidth="1"/>
    <col min="4093" max="4094" width="5.140625" style="69" customWidth="1"/>
    <col min="4095" max="4095" width="6.140625" style="69" bestFit="1" customWidth="1"/>
    <col min="4096" max="4096" width="5.28515625" style="69" customWidth="1"/>
    <col min="4097" max="4097" width="4.28515625" style="69" customWidth="1"/>
    <col min="4098" max="4098" width="7.28515625" style="69" customWidth="1"/>
    <col min="4099" max="4099" width="7.42578125" style="69" customWidth="1"/>
    <col min="4100" max="4100" width="5.42578125" style="69" customWidth="1"/>
    <col min="4101" max="4102" width="5.140625" style="69" customWidth="1"/>
    <col min="4103" max="4103" width="4.5703125" style="69" customWidth="1"/>
    <col min="4104" max="4104" width="8" style="69" customWidth="1"/>
    <col min="4105" max="4105" width="7.42578125" style="69" customWidth="1"/>
    <col min="4106" max="4106" width="6.140625" style="69" customWidth="1"/>
    <col min="4107" max="4107" width="5.42578125" style="69" customWidth="1"/>
    <col min="4108" max="4108" width="11.42578125" style="69"/>
    <col min="4109" max="4109" width="7.42578125" style="69" customWidth="1"/>
    <col min="4110" max="4110" width="7.28515625" style="69" customWidth="1"/>
    <col min="4111" max="4111" width="5.42578125" style="69" customWidth="1"/>
    <col min="4112" max="4112" width="7.7109375" style="69" customWidth="1"/>
    <col min="4113" max="4113" width="7.140625" style="69" customWidth="1"/>
    <col min="4114" max="4114" width="6" style="69" customWidth="1"/>
    <col min="4115" max="4115" width="7.5703125" style="69" customWidth="1"/>
    <col min="4116" max="4116" width="7.140625" style="69" customWidth="1"/>
    <col min="4117" max="4117" width="7.42578125" style="69" customWidth="1"/>
    <col min="4118" max="4118" width="5.7109375" style="69" customWidth="1"/>
    <col min="4119" max="4119" width="7.5703125" style="69" customWidth="1"/>
    <col min="4120" max="4120" width="7.85546875" style="69" customWidth="1"/>
    <col min="4121" max="4121" width="8" style="69" customWidth="1"/>
    <col min="4122" max="4122" width="5.85546875" style="69" customWidth="1"/>
    <col min="4123" max="4123" width="11.42578125" style="69"/>
    <col min="4124" max="4124" width="12.42578125" style="69" bestFit="1" customWidth="1"/>
    <col min="4125" max="4346" width="11.42578125" style="69"/>
    <col min="4347" max="4347" width="8" style="69" customWidth="1"/>
    <col min="4348" max="4348" width="16.85546875" style="69" customWidth="1"/>
    <col min="4349" max="4350" width="5.140625" style="69" customWidth="1"/>
    <col min="4351" max="4351" width="6.140625" style="69" bestFit="1" customWidth="1"/>
    <col min="4352" max="4352" width="5.28515625" style="69" customWidth="1"/>
    <col min="4353" max="4353" width="4.28515625" style="69" customWidth="1"/>
    <col min="4354" max="4354" width="7.28515625" style="69" customWidth="1"/>
    <col min="4355" max="4355" width="7.42578125" style="69" customWidth="1"/>
    <col min="4356" max="4356" width="5.42578125" style="69" customWidth="1"/>
    <col min="4357" max="4358" width="5.140625" style="69" customWidth="1"/>
    <col min="4359" max="4359" width="4.5703125" style="69" customWidth="1"/>
    <col min="4360" max="4360" width="8" style="69" customWidth="1"/>
    <col min="4361" max="4361" width="7.42578125" style="69" customWidth="1"/>
    <col min="4362" max="4362" width="6.140625" style="69" customWidth="1"/>
    <col min="4363" max="4363" width="5.42578125" style="69" customWidth="1"/>
    <col min="4364" max="4364" width="11.42578125" style="69"/>
    <col min="4365" max="4365" width="7.42578125" style="69" customWidth="1"/>
    <col min="4366" max="4366" width="7.28515625" style="69" customWidth="1"/>
    <col min="4367" max="4367" width="5.42578125" style="69" customWidth="1"/>
    <col min="4368" max="4368" width="7.7109375" style="69" customWidth="1"/>
    <col min="4369" max="4369" width="7.140625" style="69" customWidth="1"/>
    <col min="4370" max="4370" width="6" style="69" customWidth="1"/>
    <col min="4371" max="4371" width="7.5703125" style="69" customWidth="1"/>
    <col min="4372" max="4372" width="7.140625" style="69" customWidth="1"/>
    <col min="4373" max="4373" width="7.42578125" style="69" customWidth="1"/>
    <col min="4374" max="4374" width="5.7109375" style="69" customWidth="1"/>
    <col min="4375" max="4375" width="7.5703125" style="69" customWidth="1"/>
    <col min="4376" max="4376" width="7.85546875" style="69" customWidth="1"/>
    <col min="4377" max="4377" width="8" style="69" customWidth="1"/>
    <col min="4378" max="4378" width="5.85546875" style="69" customWidth="1"/>
    <col min="4379" max="4379" width="11.42578125" style="69"/>
    <col min="4380" max="4380" width="12.42578125" style="69" bestFit="1" customWidth="1"/>
    <col min="4381" max="4602" width="11.42578125" style="69"/>
    <col min="4603" max="4603" width="8" style="69" customWidth="1"/>
    <col min="4604" max="4604" width="16.85546875" style="69" customWidth="1"/>
    <col min="4605" max="4606" width="5.140625" style="69" customWidth="1"/>
    <col min="4607" max="4607" width="6.140625" style="69" bestFit="1" customWidth="1"/>
    <col min="4608" max="4608" width="5.28515625" style="69" customWidth="1"/>
    <col min="4609" max="4609" width="4.28515625" style="69" customWidth="1"/>
    <col min="4610" max="4610" width="7.28515625" style="69" customWidth="1"/>
    <col min="4611" max="4611" width="7.42578125" style="69" customWidth="1"/>
    <col min="4612" max="4612" width="5.42578125" style="69" customWidth="1"/>
    <col min="4613" max="4614" width="5.140625" style="69" customWidth="1"/>
    <col min="4615" max="4615" width="4.5703125" style="69" customWidth="1"/>
    <col min="4616" max="4616" width="8" style="69" customWidth="1"/>
    <col min="4617" max="4617" width="7.42578125" style="69" customWidth="1"/>
    <col min="4618" max="4618" width="6.140625" style="69" customWidth="1"/>
    <col min="4619" max="4619" width="5.42578125" style="69" customWidth="1"/>
    <col min="4620" max="4620" width="11.42578125" style="69"/>
    <col min="4621" max="4621" width="7.42578125" style="69" customWidth="1"/>
    <col min="4622" max="4622" width="7.28515625" style="69" customWidth="1"/>
    <col min="4623" max="4623" width="5.42578125" style="69" customWidth="1"/>
    <col min="4624" max="4624" width="7.7109375" style="69" customWidth="1"/>
    <col min="4625" max="4625" width="7.140625" style="69" customWidth="1"/>
    <col min="4626" max="4626" width="6" style="69" customWidth="1"/>
    <col min="4627" max="4627" width="7.5703125" style="69" customWidth="1"/>
    <col min="4628" max="4628" width="7.140625" style="69" customWidth="1"/>
    <col min="4629" max="4629" width="7.42578125" style="69" customWidth="1"/>
    <col min="4630" max="4630" width="5.7109375" style="69" customWidth="1"/>
    <col min="4631" max="4631" width="7.5703125" style="69" customWidth="1"/>
    <col min="4632" max="4632" width="7.85546875" style="69" customWidth="1"/>
    <col min="4633" max="4633" width="8" style="69" customWidth="1"/>
    <col min="4634" max="4634" width="5.85546875" style="69" customWidth="1"/>
    <col min="4635" max="4635" width="11.42578125" style="69"/>
    <col min="4636" max="4636" width="12.42578125" style="69" bestFit="1" customWidth="1"/>
    <col min="4637" max="4858" width="11.42578125" style="69"/>
    <col min="4859" max="4859" width="8" style="69" customWidth="1"/>
    <col min="4860" max="4860" width="16.85546875" style="69" customWidth="1"/>
    <col min="4861" max="4862" width="5.140625" style="69" customWidth="1"/>
    <col min="4863" max="4863" width="6.140625" style="69" bestFit="1" customWidth="1"/>
    <col min="4864" max="4864" width="5.28515625" style="69" customWidth="1"/>
    <col min="4865" max="4865" width="4.28515625" style="69" customWidth="1"/>
    <col min="4866" max="4866" width="7.28515625" style="69" customWidth="1"/>
    <col min="4867" max="4867" width="7.42578125" style="69" customWidth="1"/>
    <col min="4868" max="4868" width="5.42578125" style="69" customWidth="1"/>
    <col min="4869" max="4870" width="5.140625" style="69" customWidth="1"/>
    <col min="4871" max="4871" width="4.5703125" style="69" customWidth="1"/>
    <col min="4872" max="4872" width="8" style="69" customWidth="1"/>
    <col min="4873" max="4873" width="7.42578125" style="69" customWidth="1"/>
    <col min="4874" max="4874" width="6.140625" style="69" customWidth="1"/>
    <col min="4875" max="4875" width="5.42578125" style="69" customWidth="1"/>
    <col min="4876" max="4876" width="11.42578125" style="69"/>
    <col min="4877" max="4877" width="7.42578125" style="69" customWidth="1"/>
    <col min="4878" max="4878" width="7.28515625" style="69" customWidth="1"/>
    <col min="4879" max="4879" width="5.42578125" style="69" customWidth="1"/>
    <col min="4880" max="4880" width="7.7109375" style="69" customWidth="1"/>
    <col min="4881" max="4881" width="7.140625" style="69" customWidth="1"/>
    <col min="4882" max="4882" width="6" style="69" customWidth="1"/>
    <col min="4883" max="4883" width="7.5703125" style="69" customWidth="1"/>
    <col min="4884" max="4884" width="7.140625" style="69" customWidth="1"/>
    <col min="4885" max="4885" width="7.42578125" style="69" customWidth="1"/>
    <col min="4886" max="4886" width="5.7109375" style="69" customWidth="1"/>
    <col min="4887" max="4887" width="7.5703125" style="69" customWidth="1"/>
    <col min="4888" max="4888" width="7.85546875" style="69" customWidth="1"/>
    <col min="4889" max="4889" width="8" style="69" customWidth="1"/>
    <col min="4890" max="4890" width="5.85546875" style="69" customWidth="1"/>
    <col min="4891" max="4891" width="11.42578125" style="69"/>
    <col min="4892" max="4892" width="12.42578125" style="69" bestFit="1" customWidth="1"/>
    <col min="4893" max="5114" width="11.42578125" style="69"/>
    <col min="5115" max="5115" width="8" style="69" customWidth="1"/>
    <col min="5116" max="5116" width="16.85546875" style="69" customWidth="1"/>
    <col min="5117" max="5118" width="5.140625" style="69" customWidth="1"/>
    <col min="5119" max="5119" width="6.140625" style="69" bestFit="1" customWidth="1"/>
    <col min="5120" max="5120" width="5.28515625" style="69" customWidth="1"/>
    <col min="5121" max="5121" width="4.28515625" style="69" customWidth="1"/>
    <col min="5122" max="5122" width="7.28515625" style="69" customWidth="1"/>
    <col min="5123" max="5123" width="7.42578125" style="69" customWidth="1"/>
    <col min="5124" max="5124" width="5.42578125" style="69" customWidth="1"/>
    <col min="5125" max="5126" width="5.140625" style="69" customWidth="1"/>
    <col min="5127" max="5127" width="4.5703125" style="69" customWidth="1"/>
    <col min="5128" max="5128" width="8" style="69" customWidth="1"/>
    <col min="5129" max="5129" width="7.42578125" style="69" customWidth="1"/>
    <col min="5130" max="5130" width="6.140625" style="69" customWidth="1"/>
    <col min="5131" max="5131" width="5.42578125" style="69" customWidth="1"/>
    <col min="5132" max="5132" width="11.42578125" style="69"/>
    <col min="5133" max="5133" width="7.42578125" style="69" customWidth="1"/>
    <col min="5134" max="5134" width="7.28515625" style="69" customWidth="1"/>
    <col min="5135" max="5135" width="5.42578125" style="69" customWidth="1"/>
    <col min="5136" max="5136" width="7.7109375" style="69" customWidth="1"/>
    <col min="5137" max="5137" width="7.140625" style="69" customWidth="1"/>
    <col min="5138" max="5138" width="6" style="69" customWidth="1"/>
    <col min="5139" max="5139" width="7.5703125" style="69" customWidth="1"/>
    <col min="5140" max="5140" width="7.140625" style="69" customWidth="1"/>
    <col min="5141" max="5141" width="7.42578125" style="69" customWidth="1"/>
    <col min="5142" max="5142" width="5.7109375" style="69" customWidth="1"/>
    <col min="5143" max="5143" width="7.5703125" style="69" customWidth="1"/>
    <col min="5144" max="5144" width="7.85546875" style="69" customWidth="1"/>
    <col min="5145" max="5145" width="8" style="69" customWidth="1"/>
    <col min="5146" max="5146" width="5.85546875" style="69" customWidth="1"/>
    <col min="5147" max="5147" width="11.42578125" style="69"/>
    <col min="5148" max="5148" width="12.42578125" style="69" bestFit="1" customWidth="1"/>
    <col min="5149" max="5370" width="11.42578125" style="69"/>
    <col min="5371" max="5371" width="8" style="69" customWidth="1"/>
    <col min="5372" max="5372" width="16.85546875" style="69" customWidth="1"/>
    <col min="5373" max="5374" width="5.140625" style="69" customWidth="1"/>
    <col min="5375" max="5375" width="6.140625" style="69" bestFit="1" customWidth="1"/>
    <col min="5376" max="5376" width="5.28515625" style="69" customWidth="1"/>
    <col min="5377" max="5377" width="4.28515625" style="69" customWidth="1"/>
    <col min="5378" max="5378" width="7.28515625" style="69" customWidth="1"/>
    <col min="5379" max="5379" width="7.42578125" style="69" customWidth="1"/>
    <col min="5380" max="5380" width="5.42578125" style="69" customWidth="1"/>
    <col min="5381" max="5382" width="5.140625" style="69" customWidth="1"/>
    <col min="5383" max="5383" width="4.5703125" style="69" customWidth="1"/>
    <col min="5384" max="5384" width="8" style="69" customWidth="1"/>
    <col min="5385" max="5385" width="7.42578125" style="69" customWidth="1"/>
    <col min="5386" max="5386" width="6.140625" style="69" customWidth="1"/>
    <col min="5387" max="5387" width="5.42578125" style="69" customWidth="1"/>
    <col min="5388" max="5388" width="11.42578125" style="69"/>
    <col min="5389" max="5389" width="7.42578125" style="69" customWidth="1"/>
    <col min="5390" max="5390" width="7.28515625" style="69" customWidth="1"/>
    <col min="5391" max="5391" width="5.42578125" style="69" customWidth="1"/>
    <col min="5392" max="5392" width="7.7109375" style="69" customWidth="1"/>
    <col min="5393" max="5393" width="7.140625" style="69" customWidth="1"/>
    <col min="5394" max="5394" width="6" style="69" customWidth="1"/>
    <col min="5395" max="5395" width="7.5703125" style="69" customWidth="1"/>
    <col min="5396" max="5396" width="7.140625" style="69" customWidth="1"/>
    <col min="5397" max="5397" width="7.42578125" style="69" customWidth="1"/>
    <col min="5398" max="5398" width="5.7109375" style="69" customWidth="1"/>
    <col min="5399" max="5399" width="7.5703125" style="69" customWidth="1"/>
    <col min="5400" max="5400" width="7.85546875" style="69" customWidth="1"/>
    <col min="5401" max="5401" width="8" style="69" customWidth="1"/>
    <col min="5402" max="5402" width="5.85546875" style="69" customWidth="1"/>
    <col min="5403" max="5403" width="11.42578125" style="69"/>
    <col min="5404" max="5404" width="12.42578125" style="69" bestFit="1" customWidth="1"/>
    <col min="5405" max="5626" width="11.42578125" style="69"/>
    <col min="5627" max="5627" width="8" style="69" customWidth="1"/>
    <col min="5628" max="5628" width="16.85546875" style="69" customWidth="1"/>
    <col min="5629" max="5630" width="5.140625" style="69" customWidth="1"/>
    <col min="5631" max="5631" width="6.140625" style="69" bestFit="1" customWidth="1"/>
    <col min="5632" max="5632" width="5.28515625" style="69" customWidth="1"/>
    <col min="5633" max="5633" width="4.28515625" style="69" customWidth="1"/>
    <col min="5634" max="5634" width="7.28515625" style="69" customWidth="1"/>
    <col min="5635" max="5635" width="7.42578125" style="69" customWidth="1"/>
    <col min="5636" max="5636" width="5.42578125" style="69" customWidth="1"/>
    <col min="5637" max="5638" width="5.140625" style="69" customWidth="1"/>
    <col min="5639" max="5639" width="4.5703125" style="69" customWidth="1"/>
    <col min="5640" max="5640" width="8" style="69" customWidth="1"/>
    <col min="5641" max="5641" width="7.42578125" style="69" customWidth="1"/>
    <col min="5642" max="5642" width="6.140625" style="69" customWidth="1"/>
    <col min="5643" max="5643" width="5.42578125" style="69" customWidth="1"/>
    <col min="5644" max="5644" width="11.42578125" style="69"/>
    <col min="5645" max="5645" width="7.42578125" style="69" customWidth="1"/>
    <col min="5646" max="5646" width="7.28515625" style="69" customWidth="1"/>
    <col min="5647" max="5647" width="5.42578125" style="69" customWidth="1"/>
    <col min="5648" max="5648" width="7.7109375" style="69" customWidth="1"/>
    <col min="5649" max="5649" width="7.140625" style="69" customWidth="1"/>
    <col min="5650" max="5650" width="6" style="69" customWidth="1"/>
    <col min="5651" max="5651" width="7.5703125" style="69" customWidth="1"/>
    <col min="5652" max="5652" width="7.140625" style="69" customWidth="1"/>
    <col min="5653" max="5653" width="7.42578125" style="69" customWidth="1"/>
    <col min="5654" max="5654" width="5.7109375" style="69" customWidth="1"/>
    <col min="5655" max="5655" width="7.5703125" style="69" customWidth="1"/>
    <col min="5656" max="5656" width="7.85546875" style="69" customWidth="1"/>
    <col min="5657" max="5657" width="8" style="69" customWidth="1"/>
    <col min="5658" max="5658" width="5.85546875" style="69" customWidth="1"/>
    <col min="5659" max="5659" width="11.42578125" style="69"/>
    <col min="5660" max="5660" width="12.42578125" style="69" bestFit="1" customWidth="1"/>
    <col min="5661" max="5882" width="11.42578125" style="69"/>
    <col min="5883" max="5883" width="8" style="69" customWidth="1"/>
    <col min="5884" max="5884" width="16.85546875" style="69" customWidth="1"/>
    <col min="5885" max="5886" width="5.140625" style="69" customWidth="1"/>
    <col min="5887" max="5887" width="6.140625" style="69" bestFit="1" customWidth="1"/>
    <col min="5888" max="5888" width="5.28515625" style="69" customWidth="1"/>
    <col min="5889" max="5889" width="4.28515625" style="69" customWidth="1"/>
    <col min="5890" max="5890" width="7.28515625" style="69" customWidth="1"/>
    <col min="5891" max="5891" width="7.42578125" style="69" customWidth="1"/>
    <col min="5892" max="5892" width="5.42578125" style="69" customWidth="1"/>
    <col min="5893" max="5894" width="5.140625" style="69" customWidth="1"/>
    <col min="5895" max="5895" width="4.5703125" style="69" customWidth="1"/>
    <col min="5896" max="5896" width="8" style="69" customWidth="1"/>
    <col min="5897" max="5897" width="7.42578125" style="69" customWidth="1"/>
    <col min="5898" max="5898" width="6.140625" style="69" customWidth="1"/>
    <col min="5899" max="5899" width="5.42578125" style="69" customWidth="1"/>
    <col min="5900" max="5900" width="11.42578125" style="69"/>
    <col min="5901" max="5901" width="7.42578125" style="69" customWidth="1"/>
    <col min="5902" max="5902" width="7.28515625" style="69" customWidth="1"/>
    <col min="5903" max="5903" width="5.42578125" style="69" customWidth="1"/>
    <col min="5904" max="5904" width="7.7109375" style="69" customWidth="1"/>
    <col min="5905" max="5905" width="7.140625" style="69" customWidth="1"/>
    <col min="5906" max="5906" width="6" style="69" customWidth="1"/>
    <col min="5907" max="5907" width="7.5703125" style="69" customWidth="1"/>
    <col min="5908" max="5908" width="7.140625" style="69" customWidth="1"/>
    <col min="5909" max="5909" width="7.42578125" style="69" customWidth="1"/>
    <col min="5910" max="5910" width="5.7109375" style="69" customWidth="1"/>
    <col min="5911" max="5911" width="7.5703125" style="69" customWidth="1"/>
    <col min="5912" max="5912" width="7.85546875" style="69" customWidth="1"/>
    <col min="5913" max="5913" width="8" style="69" customWidth="1"/>
    <col min="5914" max="5914" width="5.85546875" style="69" customWidth="1"/>
    <col min="5915" max="5915" width="11.42578125" style="69"/>
    <col min="5916" max="5916" width="12.42578125" style="69" bestFit="1" customWidth="1"/>
    <col min="5917" max="6138" width="11.42578125" style="69"/>
    <col min="6139" max="6139" width="8" style="69" customWidth="1"/>
    <col min="6140" max="6140" width="16.85546875" style="69" customWidth="1"/>
    <col min="6141" max="6142" width="5.140625" style="69" customWidth="1"/>
    <col min="6143" max="6143" width="6.140625" style="69" bestFit="1" customWidth="1"/>
    <col min="6144" max="6144" width="5.28515625" style="69" customWidth="1"/>
    <col min="6145" max="6145" width="4.28515625" style="69" customWidth="1"/>
    <col min="6146" max="6146" width="7.28515625" style="69" customWidth="1"/>
    <col min="6147" max="6147" width="7.42578125" style="69" customWidth="1"/>
    <col min="6148" max="6148" width="5.42578125" style="69" customWidth="1"/>
    <col min="6149" max="6150" width="5.140625" style="69" customWidth="1"/>
    <col min="6151" max="6151" width="4.5703125" style="69" customWidth="1"/>
    <col min="6152" max="6152" width="8" style="69" customWidth="1"/>
    <col min="6153" max="6153" width="7.42578125" style="69" customWidth="1"/>
    <col min="6154" max="6154" width="6.140625" style="69" customWidth="1"/>
    <col min="6155" max="6155" width="5.42578125" style="69" customWidth="1"/>
    <col min="6156" max="6156" width="11.42578125" style="69"/>
    <col min="6157" max="6157" width="7.42578125" style="69" customWidth="1"/>
    <col min="6158" max="6158" width="7.28515625" style="69" customWidth="1"/>
    <col min="6159" max="6159" width="5.42578125" style="69" customWidth="1"/>
    <col min="6160" max="6160" width="7.7109375" style="69" customWidth="1"/>
    <col min="6161" max="6161" width="7.140625" style="69" customWidth="1"/>
    <col min="6162" max="6162" width="6" style="69" customWidth="1"/>
    <col min="6163" max="6163" width="7.5703125" style="69" customWidth="1"/>
    <col min="6164" max="6164" width="7.140625" style="69" customWidth="1"/>
    <col min="6165" max="6165" width="7.42578125" style="69" customWidth="1"/>
    <col min="6166" max="6166" width="5.7109375" style="69" customWidth="1"/>
    <col min="6167" max="6167" width="7.5703125" style="69" customWidth="1"/>
    <col min="6168" max="6168" width="7.85546875" style="69" customWidth="1"/>
    <col min="6169" max="6169" width="8" style="69" customWidth="1"/>
    <col min="6170" max="6170" width="5.85546875" style="69" customWidth="1"/>
    <col min="6171" max="6171" width="11.42578125" style="69"/>
    <col min="6172" max="6172" width="12.42578125" style="69" bestFit="1" customWidth="1"/>
    <col min="6173" max="6394" width="11.42578125" style="69"/>
    <col min="6395" max="6395" width="8" style="69" customWidth="1"/>
    <col min="6396" max="6396" width="16.85546875" style="69" customWidth="1"/>
    <col min="6397" max="6398" width="5.140625" style="69" customWidth="1"/>
    <col min="6399" max="6399" width="6.140625" style="69" bestFit="1" customWidth="1"/>
    <col min="6400" max="6400" width="5.28515625" style="69" customWidth="1"/>
    <col min="6401" max="6401" width="4.28515625" style="69" customWidth="1"/>
    <col min="6402" max="6402" width="7.28515625" style="69" customWidth="1"/>
    <col min="6403" max="6403" width="7.42578125" style="69" customWidth="1"/>
    <col min="6404" max="6404" width="5.42578125" style="69" customWidth="1"/>
    <col min="6405" max="6406" width="5.140625" style="69" customWidth="1"/>
    <col min="6407" max="6407" width="4.5703125" style="69" customWidth="1"/>
    <col min="6408" max="6408" width="8" style="69" customWidth="1"/>
    <col min="6409" max="6409" width="7.42578125" style="69" customWidth="1"/>
    <col min="6410" max="6410" width="6.140625" style="69" customWidth="1"/>
    <col min="6411" max="6411" width="5.42578125" style="69" customWidth="1"/>
    <col min="6412" max="6412" width="11.42578125" style="69"/>
    <col min="6413" max="6413" width="7.42578125" style="69" customWidth="1"/>
    <col min="6414" max="6414" width="7.28515625" style="69" customWidth="1"/>
    <col min="6415" max="6415" width="5.42578125" style="69" customWidth="1"/>
    <col min="6416" max="6416" width="7.7109375" style="69" customWidth="1"/>
    <col min="6417" max="6417" width="7.140625" style="69" customWidth="1"/>
    <col min="6418" max="6418" width="6" style="69" customWidth="1"/>
    <col min="6419" max="6419" width="7.5703125" style="69" customWidth="1"/>
    <col min="6420" max="6420" width="7.140625" style="69" customWidth="1"/>
    <col min="6421" max="6421" width="7.42578125" style="69" customWidth="1"/>
    <col min="6422" max="6422" width="5.7109375" style="69" customWidth="1"/>
    <col min="6423" max="6423" width="7.5703125" style="69" customWidth="1"/>
    <col min="6424" max="6424" width="7.85546875" style="69" customWidth="1"/>
    <col min="6425" max="6425" width="8" style="69" customWidth="1"/>
    <col min="6426" max="6426" width="5.85546875" style="69" customWidth="1"/>
    <col min="6427" max="6427" width="11.42578125" style="69"/>
    <col min="6428" max="6428" width="12.42578125" style="69" bestFit="1" customWidth="1"/>
    <col min="6429" max="6650" width="11.42578125" style="69"/>
    <col min="6651" max="6651" width="8" style="69" customWidth="1"/>
    <col min="6652" max="6652" width="16.85546875" style="69" customWidth="1"/>
    <col min="6653" max="6654" width="5.140625" style="69" customWidth="1"/>
    <col min="6655" max="6655" width="6.140625" style="69" bestFit="1" customWidth="1"/>
    <col min="6656" max="6656" width="5.28515625" style="69" customWidth="1"/>
    <col min="6657" max="6657" width="4.28515625" style="69" customWidth="1"/>
    <col min="6658" max="6658" width="7.28515625" style="69" customWidth="1"/>
    <col min="6659" max="6659" width="7.42578125" style="69" customWidth="1"/>
    <col min="6660" max="6660" width="5.42578125" style="69" customWidth="1"/>
    <col min="6661" max="6662" width="5.140625" style="69" customWidth="1"/>
    <col min="6663" max="6663" width="4.5703125" style="69" customWidth="1"/>
    <col min="6664" max="6664" width="8" style="69" customWidth="1"/>
    <col min="6665" max="6665" width="7.42578125" style="69" customWidth="1"/>
    <col min="6666" max="6666" width="6.140625" style="69" customWidth="1"/>
    <col min="6667" max="6667" width="5.42578125" style="69" customWidth="1"/>
    <col min="6668" max="6668" width="11.42578125" style="69"/>
    <col min="6669" max="6669" width="7.42578125" style="69" customWidth="1"/>
    <col min="6670" max="6670" width="7.28515625" style="69" customWidth="1"/>
    <col min="6671" max="6671" width="5.42578125" style="69" customWidth="1"/>
    <col min="6672" max="6672" width="7.7109375" style="69" customWidth="1"/>
    <col min="6673" max="6673" width="7.140625" style="69" customWidth="1"/>
    <col min="6674" max="6674" width="6" style="69" customWidth="1"/>
    <col min="6675" max="6675" width="7.5703125" style="69" customWidth="1"/>
    <col min="6676" max="6676" width="7.140625" style="69" customWidth="1"/>
    <col min="6677" max="6677" width="7.42578125" style="69" customWidth="1"/>
    <col min="6678" max="6678" width="5.7109375" style="69" customWidth="1"/>
    <col min="6679" max="6679" width="7.5703125" style="69" customWidth="1"/>
    <col min="6680" max="6680" width="7.85546875" style="69" customWidth="1"/>
    <col min="6681" max="6681" width="8" style="69" customWidth="1"/>
    <col min="6682" max="6682" width="5.85546875" style="69" customWidth="1"/>
    <col min="6683" max="6683" width="11.42578125" style="69"/>
    <col min="6684" max="6684" width="12.42578125" style="69" bestFit="1" customWidth="1"/>
    <col min="6685" max="6906" width="11.42578125" style="69"/>
    <col min="6907" max="6907" width="8" style="69" customWidth="1"/>
    <col min="6908" max="6908" width="16.85546875" style="69" customWidth="1"/>
    <col min="6909" max="6910" width="5.140625" style="69" customWidth="1"/>
    <col min="6911" max="6911" width="6.140625" style="69" bestFit="1" customWidth="1"/>
    <col min="6912" max="6912" width="5.28515625" style="69" customWidth="1"/>
    <col min="6913" max="6913" width="4.28515625" style="69" customWidth="1"/>
    <col min="6914" max="6914" width="7.28515625" style="69" customWidth="1"/>
    <col min="6915" max="6915" width="7.42578125" style="69" customWidth="1"/>
    <col min="6916" max="6916" width="5.42578125" style="69" customWidth="1"/>
    <col min="6917" max="6918" width="5.140625" style="69" customWidth="1"/>
    <col min="6919" max="6919" width="4.5703125" style="69" customWidth="1"/>
    <col min="6920" max="6920" width="8" style="69" customWidth="1"/>
    <col min="6921" max="6921" width="7.42578125" style="69" customWidth="1"/>
    <col min="6922" max="6922" width="6.140625" style="69" customWidth="1"/>
    <col min="6923" max="6923" width="5.42578125" style="69" customWidth="1"/>
    <col min="6924" max="6924" width="11.42578125" style="69"/>
    <col min="6925" max="6925" width="7.42578125" style="69" customWidth="1"/>
    <col min="6926" max="6926" width="7.28515625" style="69" customWidth="1"/>
    <col min="6927" max="6927" width="5.42578125" style="69" customWidth="1"/>
    <col min="6928" max="6928" width="7.7109375" style="69" customWidth="1"/>
    <col min="6929" max="6929" width="7.140625" style="69" customWidth="1"/>
    <col min="6930" max="6930" width="6" style="69" customWidth="1"/>
    <col min="6931" max="6931" width="7.5703125" style="69" customWidth="1"/>
    <col min="6932" max="6932" width="7.140625" style="69" customWidth="1"/>
    <col min="6933" max="6933" width="7.42578125" style="69" customWidth="1"/>
    <col min="6934" max="6934" width="5.7109375" style="69" customWidth="1"/>
    <col min="6935" max="6935" width="7.5703125" style="69" customWidth="1"/>
    <col min="6936" max="6936" width="7.85546875" style="69" customWidth="1"/>
    <col min="6937" max="6937" width="8" style="69" customWidth="1"/>
    <col min="6938" max="6938" width="5.85546875" style="69" customWidth="1"/>
    <col min="6939" max="6939" width="11.42578125" style="69"/>
    <col min="6940" max="6940" width="12.42578125" style="69" bestFit="1" customWidth="1"/>
    <col min="6941" max="7162" width="11.42578125" style="69"/>
    <col min="7163" max="7163" width="8" style="69" customWidth="1"/>
    <col min="7164" max="7164" width="16.85546875" style="69" customWidth="1"/>
    <col min="7165" max="7166" width="5.140625" style="69" customWidth="1"/>
    <col min="7167" max="7167" width="6.140625" style="69" bestFit="1" customWidth="1"/>
    <col min="7168" max="7168" width="5.28515625" style="69" customWidth="1"/>
    <col min="7169" max="7169" width="4.28515625" style="69" customWidth="1"/>
    <col min="7170" max="7170" width="7.28515625" style="69" customWidth="1"/>
    <col min="7171" max="7171" width="7.42578125" style="69" customWidth="1"/>
    <col min="7172" max="7172" width="5.42578125" style="69" customWidth="1"/>
    <col min="7173" max="7174" width="5.140625" style="69" customWidth="1"/>
    <col min="7175" max="7175" width="4.5703125" style="69" customWidth="1"/>
    <col min="7176" max="7176" width="8" style="69" customWidth="1"/>
    <col min="7177" max="7177" width="7.42578125" style="69" customWidth="1"/>
    <col min="7178" max="7178" width="6.140625" style="69" customWidth="1"/>
    <col min="7179" max="7179" width="5.42578125" style="69" customWidth="1"/>
    <col min="7180" max="7180" width="11.42578125" style="69"/>
    <col min="7181" max="7181" width="7.42578125" style="69" customWidth="1"/>
    <col min="7182" max="7182" width="7.28515625" style="69" customWidth="1"/>
    <col min="7183" max="7183" width="5.42578125" style="69" customWidth="1"/>
    <col min="7184" max="7184" width="7.7109375" style="69" customWidth="1"/>
    <col min="7185" max="7185" width="7.140625" style="69" customWidth="1"/>
    <col min="7186" max="7186" width="6" style="69" customWidth="1"/>
    <col min="7187" max="7187" width="7.5703125" style="69" customWidth="1"/>
    <col min="7188" max="7188" width="7.140625" style="69" customWidth="1"/>
    <col min="7189" max="7189" width="7.42578125" style="69" customWidth="1"/>
    <col min="7190" max="7190" width="5.7109375" style="69" customWidth="1"/>
    <col min="7191" max="7191" width="7.5703125" style="69" customWidth="1"/>
    <col min="7192" max="7192" width="7.85546875" style="69" customWidth="1"/>
    <col min="7193" max="7193" width="8" style="69" customWidth="1"/>
    <col min="7194" max="7194" width="5.85546875" style="69" customWidth="1"/>
    <col min="7195" max="7195" width="11.42578125" style="69"/>
    <col min="7196" max="7196" width="12.42578125" style="69" bestFit="1" customWidth="1"/>
    <col min="7197" max="7418" width="11.42578125" style="69"/>
    <col min="7419" max="7419" width="8" style="69" customWidth="1"/>
    <col min="7420" max="7420" width="16.85546875" style="69" customWidth="1"/>
    <col min="7421" max="7422" width="5.140625" style="69" customWidth="1"/>
    <col min="7423" max="7423" width="6.140625" style="69" bestFit="1" customWidth="1"/>
    <col min="7424" max="7424" width="5.28515625" style="69" customWidth="1"/>
    <col min="7425" max="7425" width="4.28515625" style="69" customWidth="1"/>
    <col min="7426" max="7426" width="7.28515625" style="69" customWidth="1"/>
    <col min="7427" max="7427" width="7.42578125" style="69" customWidth="1"/>
    <col min="7428" max="7428" width="5.42578125" style="69" customWidth="1"/>
    <col min="7429" max="7430" width="5.140625" style="69" customWidth="1"/>
    <col min="7431" max="7431" width="4.5703125" style="69" customWidth="1"/>
    <col min="7432" max="7432" width="8" style="69" customWidth="1"/>
    <col min="7433" max="7433" width="7.42578125" style="69" customWidth="1"/>
    <col min="7434" max="7434" width="6.140625" style="69" customWidth="1"/>
    <col min="7435" max="7435" width="5.42578125" style="69" customWidth="1"/>
    <col min="7436" max="7436" width="11.42578125" style="69"/>
    <col min="7437" max="7437" width="7.42578125" style="69" customWidth="1"/>
    <col min="7438" max="7438" width="7.28515625" style="69" customWidth="1"/>
    <col min="7439" max="7439" width="5.42578125" style="69" customWidth="1"/>
    <col min="7440" max="7440" width="7.7109375" style="69" customWidth="1"/>
    <col min="7441" max="7441" width="7.140625" style="69" customWidth="1"/>
    <col min="7442" max="7442" width="6" style="69" customWidth="1"/>
    <col min="7443" max="7443" width="7.5703125" style="69" customWidth="1"/>
    <col min="7444" max="7444" width="7.140625" style="69" customWidth="1"/>
    <col min="7445" max="7445" width="7.42578125" style="69" customWidth="1"/>
    <col min="7446" max="7446" width="5.7109375" style="69" customWidth="1"/>
    <col min="7447" max="7447" width="7.5703125" style="69" customWidth="1"/>
    <col min="7448" max="7448" width="7.85546875" style="69" customWidth="1"/>
    <col min="7449" max="7449" width="8" style="69" customWidth="1"/>
    <col min="7450" max="7450" width="5.85546875" style="69" customWidth="1"/>
    <col min="7451" max="7451" width="11.42578125" style="69"/>
    <col min="7452" max="7452" width="12.42578125" style="69" bestFit="1" customWidth="1"/>
    <col min="7453" max="7674" width="11.42578125" style="69"/>
    <col min="7675" max="7675" width="8" style="69" customWidth="1"/>
    <col min="7676" max="7676" width="16.85546875" style="69" customWidth="1"/>
    <col min="7677" max="7678" width="5.140625" style="69" customWidth="1"/>
    <col min="7679" max="7679" width="6.140625" style="69" bestFit="1" customWidth="1"/>
    <col min="7680" max="7680" width="5.28515625" style="69" customWidth="1"/>
    <col min="7681" max="7681" width="4.28515625" style="69" customWidth="1"/>
    <col min="7682" max="7682" width="7.28515625" style="69" customWidth="1"/>
    <col min="7683" max="7683" width="7.42578125" style="69" customWidth="1"/>
    <col min="7684" max="7684" width="5.42578125" style="69" customWidth="1"/>
    <col min="7685" max="7686" width="5.140625" style="69" customWidth="1"/>
    <col min="7687" max="7687" width="4.5703125" style="69" customWidth="1"/>
    <col min="7688" max="7688" width="8" style="69" customWidth="1"/>
    <col min="7689" max="7689" width="7.42578125" style="69" customWidth="1"/>
    <col min="7690" max="7690" width="6.140625" style="69" customWidth="1"/>
    <col min="7691" max="7691" width="5.42578125" style="69" customWidth="1"/>
    <col min="7692" max="7692" width="11.42578125" style="69"/>
    <col min="7693" max="7693" width="7.42578125" style="69" customWidth="1"/>
    <col min="7694" max="7694" width="7.28515625" style="69" customWidth="1"/>
    <col min="7695" max="7695" width="5.42578125" style="69" customWidth="1"/>
    <col min="7696" max="7696" width="7.7109375" style="69" customWidth="1"/>
    <col min="7697" max="7697" width="7.140625" style="69" customWidth="1"/>
    <col min="7698" max="7698" width="6" style="69" customWidth="1"/>
    <col min="7699" max="7699" width="7.5703125" style="69" customWidth="1"/>
    <col min="7700" max="7700" width="7.140625" style="69" customWidth="1"/>
    <col min="7701" max="7701" width="7.42578125" style="69" customWidth="1"/>
    <col min="7702" max="7702" width="5.7109375" style="69" customWidth="1"/>
    <col min="7703" max="7703" width="7.5703125" style="69" customWidth="1"/>
    <col min="7704" max="7704" width="7.85546875" style="69" customWidth="1"/>
    <col min="7705" max="7705" width="8" style="69" customWidth="1"/>
    <col min="7706" max="7706" width="5.85546875" style="69" customWidth="1"/>
    <col min="7707" max="7707" width="11.42578125" style="69"/>
    <col min="7708" max="7708" width="12.42578125" style="69" bestFit="1" customWidth="1"/>
    <col min="7709" max="7930" width="11.42578125" style="69"/>
    <col min="7931" max="7931" width="8" style="69" customWidth="1"/>
    <col min="7932" max="7932" width="16.85546875" style="69" customWidth="1"/>
    <col min="7933" max="7934" width="5.140625" style="69" customWidth="1"/>
    <col min="7935" max="7935" width="6.140625" style="69" bestFit="1" customWidth="1"/>
    <col min="7936" max="7936" width="5.28515625" style="69" customWidth="1"/>
    <col min="7937" max="7937" width="4.28515625" style="69" customWidth="1"/>
    <col min="7938" max="7938" width="7.28515625" style="69" customWidth="1"/>
    <col min="7939" max="7939" width="7.42578125" style="69" customWidth="1"/>
    <col min="7940" max="7940" width="5.42578125" style="69" customWidth="1"/>
    <col min="7941" max="7942" width="5.140625" style="69" customWidth="1"/>
    <col min="7943" max="7943" width="4.5703125" style="69" customWidth="1"/>
    <col min="7944" max="7944" width="8" style="69" customWidth="1"/>
    <col min="7945" max="7945" width="7.42578125" style="69" customWidth="1"/>
    <col min="7946" max="7946" width="6.140625" style="69" customWidth="1"/>
    <col min="7947" max="7947" width="5.42578125" style="69" customWidth="1"/>
    <col min="7948" max="7948" width="11.42578125" style="69"/>
    <col min="7949" max="7949" width="7.42578125" style="69" customWidth="1"/>
    <col min="7950" max="7950" width="7.28515625" style="69" customWidth="1"/>
    <col min="7951" max="7951" width="5.42578125" style="69" customWidth="1"/>
    <col min="7952" max="7952" width="7.7109375" style="69" customWidth="1"/>
    <col min="7953" max="7953" width="7.140625" style="69" customWidth="1"/>
    <col min="7954" max="7954" width="6" style="69" customWidth="1"/>
    <col min="7955" max="7955" width="7.5703125" style="69" customWidth="1"/>
    <col min="7956" max="7956" width="7.140625" style="69" customWidth="1"/>
    <col min="7957" max="7957" width="7.42578125" style="69" customWidth="1"/>
    <col min="7958" max="7958" width="5.7109375" style="69" customWidth="1"/>
    <col min="7959" max="7959" width="7.5703125" style="69" customWidth="1"/>
    <col min="7960" max="7960" width="7.85546875" style="69" customWidth="1"/>
    <col min="7961" max="7961" width="8" style="69" customWidth="1"/>
    <col min="7962" max="7962" width="5.85546875" style="69" customWidth="1"/>
    <col min="7963" max="7963" width="11.42578125" style="69"/>
    <col min="7964" max="7964" width="12.42578125" style="69" bestFit="1" customWidth="1"/>
    <col min="7965" max="8186" width="11.42578125" style="69"/>
    <col min="8187" max="8187" width="8" style="69" customWidth="1"/>
    <col min="8188" max="8188" width="16.85546875" style="69" customWidth="1"/>
    <col min="8189" max="8190" width="5.140625" style="69" customWidth="1"/>
    <col min="8191" max="8191" width="6.140625" style="69" bestFit="1" customWidth="1"/>
    <col min="8192" max="8192" width="5.28515625" style="69" customWidth="1"/>
    <col min="8193" max="8193" width="4.28515625" style="69" customWidth="1"/>
    <col min="8194" max="8194" width="7.28515625" style="69" customWidth="1"/>
    <col min="8195" max="8195" width="7.42578125" style="69" customWidth="1"/>
    <col min="8196" max="8196" width="5.42578125" style="69" customWidth="1"/>
    <col min="8197" max="8198" width="5.140625" style="69" customWidth="1"/>
    <col min="8199" max="8199" width="4.5703125" style="69" customWidth="1"/>
    <col min="8200" max="8200" width="8" style="69" customWidth="1"/>
    <col min="8201" max="8201" width="7.42578125" style="69" customWidth="1"/>
    <col min="8202" max="8202" width="6.140625" style="69" customWidth="1"/>
    <col min="8203" max="8203" width="5.42578125" style="69" customWidth="1"/>
    <col min="8204" max="8204" width="11.42578125" style="69"/>
    <col min="8205" max="8205" width="7.42578125" style="69" customWidth="1"/>
    <col min="8206" max="8206" width="7.28515625" style="69" customWidth="1"/>
    <col min="8207" max="8207" width="5.42578125" style="69" customWidth="1"/>
    <col min="8208" max="8208" width="7.7109375" style="69" customWidth="1"/>
    <col min="8209" max="8209" width="7.140625" style="69" customWidth="1"/>
    <col min="8210" max="8210" width="6" style="69" customWidth="1"/>
    <col min="8211" max="8211" width="7.5703125" style="69" customWidth="1"/>
    <col min="8212" max="8212" width="7.140625" style="69" customWidth="1"/>
    <col min="8213" max="8213" width="7.42578125" style="69" customWidth="1"/>
    <col min="8214" max="8214" width="5.7109375" style="69" customWidth="1"/>
    <col min="8215" max="8215" width="7.5703125" style="69" customWidth="1"/>
    <col min="8216" max="8216" width="7.85546875" style="69" customWidth="1"/>
    <col min="8217" max="8217" width="8" style="69" customWidth="1"/>
    <col min="8218" max="8218" width="5.85546875" style="69" customWidth="1"/>
    <col min="8219" max="8219" width="11.42578125" style="69"/>
    <col min="8220" max="8220" width="12.42578125" style="69" bestFit="1" customWidth="1"/>
    <col min="8221" max="8442" width="11.42578125" style="69"/>
    <col min="8443" max="8443" width="8" style="69" customWidth="1"/>
    <col min="8444" max="8444" width="16.85546875" style="69" customWidth="1"/>
    <col min="8445" max="8446" width="5.140625" style="69" customWidth="1"/>
    <col min="8447" max="8447" width="6.140625" style="69" bestFit="1" customWidth="1"/>
    <col min="8448" max="8448" width="5.28515625" style="69" customWidth="1"/>
    <col min="8449" max="8449" width="4.28515625" style="69" customWidth="1"/>
    <col min="8450" max="8450" width="7.28515625" style="69" customWidth="1"/>
    <col min="8451" max="8451" width="7.42578125" style="69" customWidth="1"/>
    <col min="8452" max="8452" width="5.42578125" style="69" customWidth="1"/>
    <col min="8453" max="8454" width="5.140625" style="69" customWidth="1"/>
    <col min="8455" max="8455" width="4.5703125" style="69" customWidth="1"/>
    <col min="8456" max="8456" width="8" style="69" customWidth="1"/>
    <col min="8457" max="8457" width="7.42578125" style="69" customWidth="1"/>
    <col min="8458" max="8458" width="6.140625" style="69" customWidth="1"/>
    <col min="8459" max="8459" width="5.42578125" style="69" customWidth="1"/>
    <col min="8460" max="8460" width="11.42578125" style="69"/>
    <col min="8461" max="8461" width="7.42578125" style="69" customWidth="1"/>
    <col min="8462" max="8462" width="7.28515625" style="69" customWidth="1"/>
    <col min="8463" max="8463" width="5.42578125" style="69" customWidth="1"/>
    <col min="8464" max="8464" width="7.7109375" style="69" customWidth="1"/>
    <col min="8465" max="8465" width="7.140625" style="69" customWidth="1"/>
    <col min="8466" max="8466" width="6" style="69" customWidth="1"/>
    <col min="8467" max="8467" width="7.5703125" style="69" customWidth="1"/>
    <col min="8468" max="8468" width="7.140625" style="69" customWidth="1"/>
    <col min="8469" max="8469" width="7.42578125" style="69" customWidth="1"/>
    <col min="8470" max="8470" width="5.7109375" style="69" customWidth="1"/>
    <col min="8471" max="8471" width="7.5703125" style="69" customWidth="1"/>
    <col min="8472" max="8472" width="7.85546875" style="69" customWidth="1"/>
    <col min="8473" max="8473" width="8" style="69" customWidth="1"/>
    <col min="8474" max="8474" width="5.85546875" style="69" customWidth="1"/>
    <col min="8475" max="8475" width="11.42578125" style="69"/>
    <col min="8476" max="8476" width="12.42578125" style="69" bestFit="1" customWidth="1"/>
    <col min="8477" max="8698" width="11.42578125" style="69"/>
    <col min="8699" max="8699" width="8" style="69" customWidth="1"/>
    <col min="8700" max="8700" width="16.85546875" style="69" customWidth="1"/>
    <col min="8701" max="8702" width="5.140625" style="69" customWidth="1"/>
    <col min="8703" max="8703" width="6.140625" style="69" bestFit="1" customWidth="1"/>
    <col min="8704" max="8704" width="5.28515625" style="69" customWidth="1"/>
    <col min="8705" max="8705" width="4.28515625" style="69" customWidth="1"/>
    <col min="8706" max="8706" width="7.28515625" style="69" customWidth="1"/>
    <col min="8707" max="8707" width="7.42578125" style="69" customWidth="1"/>
    <col min="8708" max="8708" width="5.42578125" style="69" customWidth="1"/>
    <col min="8709" max="8710" width="5.140625" style="69" customWidth="1"/>
    <col min="8711" max="8711" width="4.5703125" style="69" customWidth="1"/>
    <col min="8712" max="8712" width="8" style="69" customWidth="1"/>
    <col min="8713" max="8713" width="7.42578125" style="69" customWidth="1"/>
    <col min="8714" max="8714" width="6.140625" style="69" customWidth="1"/>
    <col min="8715" max="8715" width="5.42578125" style="69" customWidth="1"/>
    <col min="8716" max="8716" width="11.42578125" style="69"/>
    <col min="8717" max="8717" width="7.42578125" style="69" customWidth="1"/>
    <col min="8718" max="8718" width="7.28515625" style="69" customWidth="1"/>
    <col min="8719" max="8719" width="5.42578125" style="69" customWidth="1"/>
    <col min="8720" max="8720" width="7.7109375" style="69" customWidth="1"/>
    <col min="8721" max="8721" width="7.140625" style="69" customWidth="1"/>
    <col min="8722" max="8722" width="6" style="69" customWidth="1"/>
    <col min="8723" max="8723" width="7.5703125" style="69" customWidth="1"/>
    <col min="8724" max="8724" width="7.140625" style="69" customWidth="1"/>
    <col min="8725" max="8725" width="7.42578125" style="69" customWidth="1"/>
    <col min="8726" max="8726" width="5.7109375" style="69" customWidth="1"/>
    <col min="8727" max="8727" width="7.5703125" style="69" customWidth="1"/>
    <col min="8728" max="8728" width="7.85546875" style="69" customWidth="1"/>
    <col min="8729" max="8729" width="8" style="69" customWidth="1"/>
    <col min="8730" max="8730" width="5.85546875" style="69" customWidth="1"/>
    <col min="8731" max="8731" width="11.42578125" style="69"/>
    <col min="8732" max="8732" width="12.42578125" style="69" bestFit="1" customWidth="1"/>
    <col min="8733" max="8954" width="11.42578125" style="69"/>
    <col min="8955" max="8955" width="8" style="69" customWidth="1"/>
    <col min="8956" max="8956" width="16.85546875" style="69" customWidth="1"/>
    <col min="8957" max="8958" width="5.140625" style="69" customWidth="1"/>
    <col min="8959" max="8959" width="6.140625" style="69" bestFit="1" customWidth="1"/>
    <col min="8960" max="8960" width="5.28515625" style="69" customWidth="1"/>
    <col min="8961" max="8961" width="4.28515625" style="69" customWidth="1"/>
    <col min="8962" max="8962" width="7.28515625" style="69" customWidth="1"/>
    <col min="8963" max="8963" width="7.42578125" style="69" customWidth="1"/>
    <col min="8964" max="8964" width="5.42578125" style="69" customWidth="1"/>
    <col min="8965" max="8966" width="5.140625" style="69" customWidth="1"/>
    <col min="8967" max="8967" width="4.5703125" style="69" customWidth="1"/>
    <col min="8968" max="8968" width="8" style="69" customWidth="1"/>
    <col min="8969" max="8969" width="7.42578125" style="69" customWidth="1"/>
    <col min="8970" max="8970" width="6.140625" style="69" customWidth="1"/>
    <col min="8971" max="8971" width="5.42578125" style="69" customWidth="1"/>
    <col min="8972" max="8972" width="11.42578125" style="69"/>
    <col min="8973" max="8973" width="7.42578125" style="69" customWidth="1"/>
    <col min="8974" max="8974" width="7.28515625" style="69" customWidth="1"/>
    <col min="8975" max="8975" width="5.42578125" style="69" customWidth="1"/>
    <col min="8976" max="8976" width="7.7109375" style="69" customWidth="1"/>
    <col min="8977" max="8977" width="7.140625" style="69" customWidth="1"/>
    <col min="8978" max="8978" width="6" style="69" customWidth="1"/>
    <col min="8979" max="8979" width="7.5703125" style="69" customWidth="1"/>
    <col min="8980" max="8980" width="7.140625" style="69" customWidth="1"/>
    <col min="8981" max="8981" width="7.42578125" style="69" customWidth="1"/>
    <col min="8982" max="8982" width="5.7109375" style="69" customWidth="1"/>
    <col min="8983" max="8983" width="7.5703125" style="69" customWidth="1"/>
    <col min="8984" max="8984" width="7.85546875" style="69" customWidth="1"/>
    <col min="8985" max="8985" width="8" style="69" customWidth="1"/>
    <col min="8986" max="8986" width="5.85546875" style="69" customWidth="1"/>
    <col min="8987" max="8987" width="11.42578125" style="69"/>
    <col min="8988" max="8988" width="12.42578125" style="69" bestFit="1" customWidth="1"/>
    <col min="8989" max="9210" width="11.42578125" style="69"/>
    <col min="9211" max="9211" width="8" style="69" customWidth="1"/>
    <col min="9212" max="9212" width="16.85546875" style="69" customWidth="1"/>
    <col min="9213" max="9214" width="5.140625" style="69" customWidth="1"/>
    <col min="9215" max="9215" width="6.140625" style="69" bestFit="1" customWidth="1"/>
    <col min="9216" max="9216" width="5.28515625" style="69" customWidth="1"/>
    <col min="9217" max="9217" width="4.28515625" style="69" customWidth="1"/>
    <col min="9218" max="9218" width="7.28515625" style="69" customWidth="1"/>
    <col min="9219" max="9219" width="7.42578125" style="69" customWidth="1"/>
    <col min="9220" max="9220" width="5.42578125" style="69" customWidth="1"/>
    <col min="9221" max="9222" width="5.140625" style="69" customWidth="1"/>
    <col min="9223" max="9223" width="4.5703125" style="69" customWidth="1"/>
    <col min="9224" max="9224" width="8" style="69" customWidth="1"/>
    <col min="9225" max="9225" width="7.42578125" style="69" customWidth="1"/>
    <col min="9226" max="9226" width="6.140625" style="69" customWidth="1"/>
    <col min="9227" max="9227" width="5.42578125" style="69" customWidth="1"/>
    <col min="9228" max="9228" width="11.42578125" style="69"/>
    <col min="9229" max="9229" width="7.42578125" style="69" customWidth="1"/>
    <col min="9230" max="9230" width="7.28515625" style="69" customWidth="1"/>
    <col min="9231" max="9231" width="5.42578125" style="69" customWidth="1"/>
    <col min="9232" max="9232" width="7.7109375" style="69" customWidth="1"/>
    <col min="9233" max="9233" width="7.140625" style="69" customWidth="1"/>
    <col min="9234" max="9234" width="6" style="69" customWidth="1"/>
    <col min="9235" max="9235" width="7.5703125" style="69" customWidth="1"/>
    <col min="9236" max="9236" width="7.140625" style="69" customWidth="1"/>
    <col min="9237" max="9237" width="7.42578125" style="69" customWidth="1"/>
    <col min="9238" max="9238" width="5.7109375" style="69" customWidth="1"/>
    <col min="9239" max="9239" width="7.5703125" style="69" customWidth="1"/>
    <col min="9240" max="9240" width="7.85546875" style="69" customWidth="1"/>
    <col min="9241" max="9241" width="8" style="69" customWidth="1"/>
    <col min="9242" max="9242" width="5.85546875" style="69" customWidth="1"/>
    <col min="9243" max="9243" width="11.42578125" style="69"/>
    <col min="9244" max="9244" width="12.42578125" style="69" bestFit="1" customWidth="1"/>
    <col min="9245" max="9466" width="11.42578125" style="69"/>
    <col min="9467" max="9467" width="8" style="69" customWidth="1"/>
    <col min="9468" max="9468" width="16.85546875" style="69" customWidth="1"/>
    <col min="9469" max="9470" width="5.140625" style="69" customWidth="1"/>
    <col min="9471" max="9471" width="6.140625" style="69" bestFit="1" customWidth="1"/>
    <col min="9472" max="9472" width="5.28515625" style="69" customWidth="1"/>
    <col min="9473" max="9473" width="4.28515625" style="69" customWidth="1"/>
    <col min="9474" max="9474" width="7.28515625" style="69" customWidth="1"/>
    <col min="9475" max="9475" width="7.42578125" style="69" customWidth="1"/>
    <col min="9476" max="9476" width="5.42578125" style="69" customWidth="1"/>
    <col min="9477" max="9478" width="5.140625" style="69" customWidth="1"/>
    <col min="9479" max="9479" width="4.5703125" style="69" customWidth="1"/>
    <col min="9480" max="9480" width="8" style="69" customWidth="1"/>
    <col min="9481" max="9481" width="7.42578125" style="69" customWidth="1"/>
    <col min="9482" max="9482" width="6.140625" style="69" customWidth="1"/>
    <col min="9483" max="9483" width="5.42578125" style="69" customWidth="1"/>
    <col min="9484" max="9484" width="11.42578125" style="69"/>
    <col min="9485" max="9485" width="7.42578125" style="69" customWidth="1"/>
    <col min="9486" max="9486" width="7.28515625" style="69" customWidth="1"/>
    <col min="9487" max="9487" width="5.42578125" style="69" customWidth="1"/>
    <col min="9488" max="9488" width="7.7109375" style="69" customWidth="1"/>
    <col min="9489" max="9489" width="7.140625" style="69" customWidth="1"/>
    <col min="9490" max="9490" width="6" style="69" customWidth="1"/>
    <col min="9491" max="9491" width="7.5703125" style="69" customWidth="1"/>
    <col min="9492" max="9492" width="7.140625" style="69" customWidth="1"/>
    <col min="9493" max="9493" width="7.42578125" style="69" customWidth="1"/>
    <col min="9494" max="9494" width="5.7109375" style="69" customWidth="1"/>
    <col min="9495" max="9495" width="7.5703125" style="69" customWidth="1"/>
    <col min="9496" max="9496" width="7.85546875" style="69" customWidth="1"/>
    <col min="9497" max="9497" width="8" style="69" customWidth="1"/>
    <col min="9498" max="9498" width="5.85546875" style="69" customWidth="1"/>
    <col min="9499" max="9499" width="11.42578125" style="69"/>
    <col min="9500" max="9500" width="12.42578125" style="69" bestFit="1" customWidth="1"/>
    <col min="9501" max="9722" width="11.42578125" style="69"/>
    <col min="9723" max="9723" width="8" style="69" customWidth="1"/>
    <col min="9724" max="9724" width="16.85546875" style="69" customWidth="1"/>
    <col min="9725" max="9726" width="5.140625" style="69" customWidth="1"/>
    <col min="9727" max="9727" width="6.140625" style="69" bestFit="1" customWidth="1"/>
    <col min="9728" max="9728" width="5.28515625" style="69" customWidth="1"/>
    <col min="9729" max="9729" width="4.28515625" style="69" customWidth="1"/>
    <col min="9730" max="9730" width="7.28515625" style="69" customWidth="1"/>
    <col min="9731" max="9731" width="7.42578125" style="69" customWidth="1"/>
    <col min="9732" max="9732" width="5.42578125" style="69" customWidth="1"/>
    <col min="9733" max="9734" width="5.140625" style="69" customWidth="1"/>
    <col min="9735" max="9735" width="4.5703125" style="69" customWidth="1"/>
    <col min="9736" max="9736" width="8" style="69" customWidth="1"/>
    <col min="9737" max="9737" width="7.42578125" style="69" customWidth="1"/>
    <col min="9738" max="9738" width="6.140625" style="69" customWidth="1"/>
    <col min="9739" max="9739" width="5.42578125" style="69" customWidth="1"/>
    <col min="9740" max="9740" width="11.42578125" style="69"/>
    <col min="9741" max="9741" width="7.42578125" style="69" customWidth="1"/>
    <col min="9742" max="9742" width="7.28515625" style="69" customWidth="1"/>
    <col min="9743" max="9743" width="5.42578125" style="69" customWidth="1"/>
    <col min="9744" max="9744" width="7.7109375" style="69" customWidth="1"/>
    <col min="9745" max="9745" width="7.140625" style="69" customWidth="1"/>
    <col min="9746" max="9746" width="6" style="69" customWidth="1"/>
    <col min="9747" max="9747" width="7.5703125" style="69" customWidth="1"/>
    <col min="9748" max="9748" width="7.140625" style="69" customWidth="1"/>
    <col min="9749" max="9749" width="7.42578125" style="69" customWidth="1"/>
    <col min="9750" max="9750" width="5.7109375" style="69" customWidth="1"/>
    <col min="9751" max="9751" width="7.5703125" style="69" customWidth="1"/>
    <col min="9752" max="9752" width="7.85546875" style="69" customWidth="1"/>
    <col min="9753" max="9753" width="8" style="69" customWidth="1"/>
    <col min="9754" max="9754" width="5.85546875" style="69" customWidth="1"/>
    <col min="9755" max="9755" width="11.42578125" style="69"/>
    <col min="9756" max="9756" width="12.42578125" style="69" bestFit="1" customWidth="1"/>
    <col min="9757" max="9978" width="11.42578125" style="69"/>
    <col min="9979" max="9979" width="8" style="69" customWidth="1"/>
    <col min="9980" max="9980" width="16.85546875" style="69" customWidth="1"/>
    <col min="9981" max="9982" width="5.140625" style="69" customWidth="1"/>
    <col min="9983" max="9983" width="6.140625" style="69" bestFit="1" customWidth="1"/>
    <col min="9984" max="9984" width="5.28515625" style="69" customWidth="1"/>
    <col min="9985" max="9985" width="4.28515625" style="69" customWidth="1"/>
    <col min="9986" max="9986" width="7.28515625" style="69" customWidth="1"/>
    <col min="9987" max="9987" width="7.42578125" style="69" customWidth="1"/>
    <col min="9988" max="9988" width="5.42578125" style="69" customWidth="1"/>
    <col min="9989" max="9990" width="5.140625" style="69" customWidth="1"/>
    <col min="9991" max="9991" width="4.5703125" style="69" customWidth="1"/>
    <col min="9992" max="9992" width="8" style="69" customWidth="1"/>
    <col min="9993" max="9993" width="7.42578125" style="69" customWidth="1"/>
    <col min="9994" max="9994" width="6.140625" style="69" customWidth="1"/>
    <col min="9995" max="9995" width="5.42578125" style="69" customWidth="1"/>
    <col min="9996" max="9996" width="11.42578125" style="69"/>
    <col min="9997" max="9997" width="7.42578125" style="69" customWidth="1"/>
    <col min="9998" max="9998" width="7.28515625" style="69" customWidth="1"/>
    <col min="9999" max="9999" width="5.42578125" style="69" customWidth="1"/>
    <col min="10000" max="10000" width="7.7109375" style="69" customWidth="1"/>
    <col min="10001" max="10001" width="7.140625" style="69" customWidth="1"/>
    <col min="10002" max="10002" width="6" style="69" customWidth="1"/>
    <col min="10003" max="10003" width="7.5703125" style="69" customWidth="1"/>
    <col min="10004" max="10004" width="7.140625" style="69" customWidth="1"/>
    <col min="10005" max="10005" width="7.42578125" style="69" customWidth="1"/>
    <col min="10006" max="10006" width="5.7109375" style="69" customWidth="1"/>
    <col min="10007" max="10007" width="7.5703125" style="69" customWidth="1"/>
    <col min="10008" max="10008" width="7.85546875" style="69" customWidth="1"/>
    <col min="10009" max="10009" width="8" style="69" customWidth="1"/>
    <col min="10010" max="10010" width="5.85546875" style="69" customWidth="1"/>
    <col min="10011" max="10011" width="11.42578125" style="69"/>
    <col min="10012" max="10012" width="12.42578125" style="69" bestFit="1" customWidth="1"/>
    <col min="10013" max="10234" width="11.42578125" style="69"/>
    <col min="10235" max="10235" width="8" style="69" customWidth="1"/>
    <col min="10236" max="10236" width="16.85546875" style="69" customWidth="1"/>
    <col min="10237" max="10238" width="5.140625" style="69" customWidth="1"/>
    <col min="10239" max="10239" width="6.140625" style="69" bestFit="1" customWidth="1"/>
    <col min="10240" max="10240" width="5.28515625" style="69" customWidth="1"/>
    <col min="10241" max="10241" width="4.28515625" style="69" customWidth="1"/>
    <col min="10242" max="10242" width="7.28515625" style="69" customWidth="1"/>
    <col min="10243" max="10243" width="7.42578125" style="69" customWidth="1"/>
    <col min="10244" max="10244" width="5.42578125" style="69" customWidth="1"/>
    <col min="10245" max="10246" width="5.140625" style="69" customWidth="1"/>
    <col min="10247" max="10247" width="4.5703125" style="69" customWidth="1"/>
    <col min="10248" max="10248" width="8" style="69" customWidth="1"/>
    <col min="10249" max="10249" width="7.42578125" style="69" customWidth="1"/>
    <col min="10250" max="10250" width="6.140625" style="69" customWidth="1"/>
    <col min="10251" max="10251" width="5.42578125" style="69" customWidth="1"/>
    <col min="10252" max="10252" width="11.42578125" style="69"/>
    <col min="10253" max="10253" width="7.42578125" style="69" customWidth="1"/>
    <col min="10254" max="10254" width="7.28515625" style="69" customWidth="1"/>
    <col min="10255" max="10255" width="5.42578125" style="69" customWidth="1"/>
    <col min="10256" max="10256" width="7.7109375" style="69" customWidth="1"/>
    <col min="10257" max="10257" width="7.140625" style="69" customWidth="1"/>
    <col min="10258" max="10258" width="6" style="69" customWidth="1"/>
    <col min="10259" max="10259" width="7.5703125" style="69" customWidth="1"/>
    <col min="10260" max="10260" width="7.140625" style="69" customWidth="1"/>
    <col min="10261" max="10261" width="7.42578125" style="69" customWidth="1"/>
    <col min="10262" max="10262" width="5.7109375" style="69" customWidth="1"/>
    <col min="10263" max="10263" width="7.5703125" style="69" customWidth="1"/>
    <col min="10264" max="10264" width="7.85546875" style="69" customWidth="1"/>
    <col min="10265" max="10265" width="8" style="69" customWidth="1"/>
    <col min="10266" max="10266" width="5.85546875" style="69" customWidth="1"/>
    <col min="10267" max="10267" width="11.42578125" style="69"/>
    <col min="10268" max="10268" width="12.42578125" style="69" bestFit="1" customWidth="1"/>
    <col min="10269" max="10490" width="11.42578125" style="69"/>
    <col min="10491" max="10491" width="8" style="69" customWidth="1"/>
    <col min="10492" max="10492" width="16.85546875" style="69" customWidth="1"/>
    <col min="10493" max="10494" width="5.140625" style="69" customWidth="1"/>
    <col min="10495" max="10495" width="6.140625" style="69" bestFit="1" customWidth="1"/>
    <col min="10496" max="10496" width="5.28515625" style="69" customWidth="1"/>
    <col min="10497" max="10497" width="4.28515625" style="69" customWidth="1"/>
    <col min="10498" max="10498" width="7.28515625" style="69" customWidth="1"/>
    <col min="10499" max="10499" width="7.42578125" style="69" customWidth="1"/>
    <col min="10500" max="10500" width="5.42578125" style="69" customWidth="1"/>
    <col min="10501" max="10502" width="5.140625" style="69" customWidth="1"/>
    <col min="10503" max="10503" width="4.5703125" style="69" customWidth="1"/>
    <col min="10504" max="10504" width="8" style="69" customWidth="1"/>
    <col min="10505" max="10505" width="7.42578125" style="69" customWidth="1"/>
    <col min="10506" max="10506" width="6.140625" style="69" customWidth="1"/>
    <col min="10507" max="10507" width="5.42578125" style="69" customWidth="1"/>
    <col min="10508" max="10508" width="11.42578125" style="69"/>
    <col min="10509" max="10509" width="7.42578125" style="69" customWidth="1"/>
    <col min="10510" max="10510" width="7.28515625" style="69" customWidth="1"/>
    <col min="10511" max="10511" width="5.42578125" style="69" customWidth="1"/>
    <col min="10512" max="10512" width="7.7109375" style="69" customWidth="1"/>
    <col min="10513" max="10513" width="7.140625" style="69" customWidth="1"/>
    <col min="10514" max="10514" width="6" style="69" customWidth="1"/>
    <col min="10515" max="10515" width="7.5703125" style="69" customWidth="1"/>
    <col min="10516" max="10516" width="7.140625" style="69" customWidth="1"/>
    <col min="10517" max="10517" width="7.42578125" style="69" customWidth="1"/>
    <col min="10518" max="10518" width="5.7109375" style="69" customWidth="1"/>
    <col min="10519" max="10519" width="7.5703125" style="69" customWidth="1"/>
    <col min="10520" max="10520" width="7.85546875" style="69" customWidth="1"/>
    <col min="10521" max="10521" width="8" style="69" customWidth="1"/>
    <col min="10522" max="10522" width="5.85546875" style="69" customWidth="1"/>
    <col min="10523" max="10523" width="11.42578125" style="69"/>
    <col min="10524" max="10524" width="12.42578125" style="69" bestFit="1" customWidth="1"/>
    <col min="10525" max="10746" width="11.42578125" style="69"/>
    <col min="10747" max="10747" width="8" style="69" customWidth="1"/>
    <col min="10748" max="10748" width="16.85546875" style="69" customWidth="1"/>
    <col min="10749" max="10750" width="5.140625" style="69" customWidth="1"/>
    <col min="10751" max="10751" width="6.140625" style="69" bestFit="1" customWidth="1"/>
    <col min="10752" max="10752" width="5.28515625" style="69" customWidth="1"/>
    <col min="10753" max="10753" width="4.28515625" style="69" customWidth="1"/>
    <col min="10754" max="10754" width="7.28515625" style="69" customWidth="1"/>
    <col min="10755" max="10755" width="7.42578125" style="69" customWidth="1"/>
    <col min="10756" max="10756" width="5.42578125" style="69" customWidth="1"/>
    <col min="10757" max="10758" width="5.140625" style="69" customWidth="1"/>
    <col min="10759" max="10759" width="4.5703125" style="69" customWidth="1"/>
    <col min="10760" max="10760" width="8" style="69" customWidth="1"/>
    <col min="10761" max="10761" width="7.42578125" style="69" customWidth="1"/>
    <col min="10762" max="10762" width="6.140625" style="69" customWidth="1"/>
    <col min="10763" max="10763" width="5.42578125" style="69" customWidth="1"/>
    <col min="10764" max="10764" width="11.42578125" style="69"/>
    <col min="10765" max="10765" width="7.42578125" style="69" customWidth="1"/>
    <col min="10766" max="10766" width="7.28515625" style="69" customWidth="1"/>
    <col min="10767" max="10767" width="5.42578125" style="69" customWidth="1"/>
    <col min="10768" max="10768" width="7.7109375" style="69" customWidth="1"/>
    <col min="10769" max="10769" width="7.140625" style="69" customWidth="1"/>
    <col min="10770" max="10770" width="6" style="69" customWidth="1"/>
    <col min="10771" max="10771" width="7.5703125" style="69" customWidth="1"/>
    <col min="10772" max="10772" width="7.140625" style="69" customWidth="1"/>
    <col min="10773" max="10773" width="7.42578125" style="69" customWidth="1"/>
    <col min="10774" max="10774" width="5.7109375" style="69" customWidth="1"/>
    <col min="10775" max="10775" width="7.5703125" style="69" customWidth="1"/>
    <col min="10776" max="10776" width="7.85546875" style="69" customWidth="1"/>
    <col min="10777" max="10777" width="8" style="69" customWidth="1"/>
    <col min="10778" max="10778" width="5.85546875" style="69" customWidth="1"/>
    <col min="10779" max="10779" width="11.42578125" style="69"/>
    <col min="10780" max="10780" width="12.42578125" style="69" bestFit="1" customWidth="1"/>
    <col min="10781" max="11002" width="11.42578125" style="69"/>
    <col min="11003" max="11003" width="8" style="69" customWidth="1"/>
    <col min="11004" max="11004" width="16.85546875" style="69" customWidth="1"/>
    <col min="11005" max="11006" width="5.140625" style="69" customWidth="1"/>
    <col min="11007" max="11007" width="6.140625" style="69" bestFit="1" customWidth="1"/>
    <col min="11008" max="11008" width="5.28515625" style="69" customWidth="1"/>
    <col min="11009" max="11009" width="4.28515625" style="69" customWidth="1"/>
    <col min="11010" max="11010" width="7.28515625" style="69" customWidth="1"/>
    <col min="11011" max="11011" width="7.42578125" style="69" customWidth="1"/>
    <col min="11012" max="11012" width="5.42578125" style="69" customWidth="1"/>
    <col min="11013" max="11014" width="5.140625" style="69" customWidth="1"/>
    <col min="11015" max="11015" width="4.5703125" style="69" customWidth="1"/>
    <col min="11016" max="11016" width="8" style="69" customWidth="1"/>
    <col min="11017" max="11017" width="7.42578125" style="69" customWidth="1"/>
    <col min="11018" max="11018" width="6.140625" style="69" customWidth="1"/>
    <col min="11019" max="11019" width="5.42578125" style="69" customWidth="1"/>
    <col min="11020" max="11020" width="11.42578125" style="69"/>
    <col min="11021" max="11021" width="7.42578125" style="69" customWidth="1"/>
    <col min="11022" max="11022" width="7.28515625" style="69" customWidth="1"/>
    <col min="11023" max="11023" width="5.42578125" style="69" customWidth="1"/>
    <col min="11024" max="11024" width="7.7109375" style="69" customWidth="1"/>
    <col min="11025" max="11025" width="7.140625" style="69" customWidth="1"/>
    <col min="11026" max="11026" width="6" style="69" customWidth="1"/>
    <col min="11027" max="11027" width="7.5703125" style="69" customWidth="1"/>
    <col min="11028" max="11028" width="7.140625" style="69" customWidth="1"/>
    <col min="11029" max="11029" width="7.42578125" style="69" customWidth="1"/>
    <col min="11030" max="11030" width="5.7109375" style="69" customWidth="1"/>
    <col min="11031" max="11031" width="7.5703125" style="69" customWidth="1"/>
    <col min="11032" max="11032" width="7.85546875" style="69" customWidth="1"/>
    <col min="11033" max="11033" width="8" style="69" customWidth="1"/>
    <col min="11034" max="11034" width="5.85546875" style="69" customWidth="1"/>
    <col min="11035" max="11035" width="11.42578125" style="69"/>
    <col min="11036" max="11036" width="12.42578125" style="69" bestFit="1" customWidth="1"/>
    <col min="11037" max="11258" width="11.42578125" style="69"/>
    <col min="11259" max="11259" width="8" style="69" customWidth="1"/>
    <col min="11260" max="11260" width="16.85546875" style="69" customWidth="1"/>
    <col min="11261" max="11262" width="5.140625" style="69" customWidth="1"/>
    <col min="11263" max="11263" width="6.140625" style="69" bestFit="1" customWidth="1"/>
    <col min="11264" max="11264" width="5.28515625" style="69" customWidth="1"/>
    <col min="11265" max="11265" width="4.28515625" style="69" customWidth="1"/>
    <col min="11266" max="11266" width="7.28515625" style="69" customWidth="1"/>
    <col min="11267" max="11267" width="7.42578125" style="69" customWidth="1"/>
    <col min="11268" max="11268" width="5.42578125" style="69" customWidth="1"/>
    <col min="11269" max="11270" width="5.140625" style="69" customWidth="1"/>
    <col min="11271" max="11271" width="4.5703125" style="69" customWidth="1"/>
    <col min="11272" max="11272" width="8" style="69" customWidth="1"/>
    <col min="11273" max="11273" width="7.42578125" style="69" customWidth="1"/>
    <col min="11274" max="11274" width="6.140625" style="69" customWidth="1"/>
    <col min="11275" max="11275" width="5.42578125" style="69" customWidth="1"/>
    <col min="11276" max="11276" width="11.42578125" style="69"/>
    <col min="11277" max="11277" width="7.42578125" style="69" customWidth="1"/>
    <col min="11278" max="11278" width="7.28515625" style="69" customWidth="1"/>
    <col min="11279" max="11279" width="5.42578125" style="69" customWidth="1"/>
    <col min="11280" max="11280" width="7.7109375" style="69" customWidth="1"/>
    <col min="11281" max="11281" width="7.140625" style="69" customWidth="1"/>
    <col min="11282" max="11282" width="6" style="69" customWidth="1"/>
    <col min="11283" max="11283" width="7.5703125" style="69" customWidth="1"/>
    <col min="11284" max="11284" width="7.140625" style="69" customWidth="1"/>
    <col min="11285" max="11285" width="7.42578125" style="69" customWidth="1"/>
    <col min="11286" max="11286" width="5.7109375" style="69" customWidth="1"/>
    <col min="11287" max="11287" width="7.5703125" style="69" customWidth="1"/>
    <col min="11288" max="11288" width="7.85546875" style="69" customWidth="1"/>
    <col min="11289" max="11289" width="8" style="69" customWidth="1"/>
    <col min="11290" max="11290" width="5.85546875" style="69" customWidth="1"/>
    <col min="11291" max="11291" width="11.42578125" style="69"/>
    <col min="11292" max="11292" width="12.42578125" style="69" bestFit="1" customWidth="1"/>
    <col min="11293" max="11514" width="11.42578125" style="69"/>
    <col min="11515" max="11515" width="8" style="69" customWidth="1"/>
    <col min="11516" max="11516" width="16.85546875" style="69" customWidth="1"/>
    <col min="11517" max="11518" width="5.140625" style="69" customWidth="1"/>
    <col min="11519" max="11519" width="6.140625" style="69" bestFit="1" customWidth="1"/>
    <col min="11520" max="11520" width="5.28515625" style="69" customWidth="1"/>
    <col min="11521" max="11521" width="4.28515625" style="69" customWidth="1"/>
    <col min="11522" max="11522" width="7.28515625" style="69" customWidth="1"/>
    <col min="11523" max="11523" width="7.42578125" style="69" customWidth="1"/>
    <col min="11524" max="11524" width="5.42578125" style="69" customWidth="1"/>
    <col min="11525" max="11526" width="5.140625" style="69" customWidth="1"/>
    <col min="11527" max="11527" width="4.5703125" style="69" customWidth="1"/>
    <col min="11528" max="11528" width="8" style="69" customWidth="1"/>
    <col min="11529" max="11529" width="7.42578125" style="69" customWidth="1"/>
    <col min="11530" max="11530" width="6.140625" style="69" customWidth="1"/>
    <col min="11531" max="11531" width="5.42578125" style="69" customWidth="1"/>
    <col min="11532" max="11532" width="11.42578125" style="69"/>
    <col min="11533" max="11533" width="7.42578125" style="69" customWidth="1"/>
    <col min="11534" max="11534" width="7.28515625" style="69" customWidth="1"/>
    <col min="11535" max="11535" width="5.42578125" style="69" customWidth="1"/>
    <col min="11536" max="11536" width="7.7109375" style="69" customWidth="1"/>
    <col min="11537" max="11537" width="7.140625" style="69" customWidth="1"/>
    <col min="11538" max="11538" width="6" style="69" customWidth="1"/>
    <col min="11539" max="11539" width="7.5703125" style="69" customWidth="1"/>
    <col min="11540" max="11540" width="7.140625" style="69" customWidth="1"/>
    <col min="11541" max="11541" width="7.42578125" style="69" customWidth="1"/>
    <col min="11542" max="11542" width="5.7109375" style="69" customWidth="1"/>
    <col min="11543" max="11543" width="7.5703125" style="69" customWidth="1"/>
    <col min="11544" max="11544" width="7.85546875" style="69" customWidth="1"/>
    <col min="11545" max="11545" width="8" style="69" customWidth="1"/>
    <col min="11546" max="11546" width="5.85546875" style="69" customWidth="1"/>
    <col min="11547" max="11547" width="11.42578125" style="69"/>
    <col min="11548" max="11548" width="12.42578125" style="69" bestFit="1" customWidth="1"/>
    <col min="11549" max="11770" width="11.42578125" style="69"/>
    <col min="11771" max="11771" width="8" style="69" customWidth="1"/>
    <col min="11772" max="11772" width="16.85546875" style="69" customWidth="1"/>
    <col min="11773" max="11774" width="5.140625" style="69" customWidth="1"/>
    <col min="11775" max="11775" width="6.140625" style="69" bestFit="1" customWidth="1"/>
    <col min="11776" max="11776" width="5.28515625" style="69" customWidth="1"/>
    <col min="11777" max="11777" width="4.28515625" style="69" customWidth="1"/>
    <col min="11778" max="11778" width="7.28515625" style="69" customWidth="1"/>
    <col min="11779" max="11779" width="7.42578125" style="69" customWidth="1"/>
    <col min="11780" max="11780" width="5.42578125" style="69" customWidth="1"/>
    <col min="11781" max="11782" width="5.140625" style="69" customWidth="1"/>
    <col min="11783" max="11783" width="4.5703125" style="69" customWidth="1"/>
    <col min="11784" max="11784" width="8" style="69" customWidth="1"/>
    <col min="11785" max="11785" width="7.42578125" style="69" customWidth="1"/>
    <col min="11786" max="11786" width="6.140625" style="69" customWidth="1"/>
    <col min="11787" max="11787" width="5.42578125" style="69" customWidth="1"/>
    <col min="11788" max="11788" width="11.42578125" style="69"/>
    <col min="11789" max="11789" width="7.42578125" style="69" customWidth="1"/>
    <col min="11790" max="11790" width="7.28515625" style="69" customWidth="1"/>
    <col min="11791" max="11791" width="5.42578125" style="69" customWidth="1"/>
    <col min="11792" max="11792" width="7.7109375" style="69" customWidth="1"/>
    <col min="11793" max="11793" width="7.140625" style="69" customWidth="1"/>
    <col min="11794" max="11794" width="6" style="69" customWidth="1"/>
    <col min="11795" max="11795" width="7.5703125" style="69" customWidth="1"/>
    <col min="11796" max="11796" width="7.140625" style="69" customWidth="1"/>
    <col min="11797" max="11797" width="7.42578125" style="69" customWidth="1"/>
    <col min="11798" max="11798" width="5.7109375" style="69" customWidth="1"/>
    <col min="11799" max="11799" width="7.5703125" style="69" customWidth="1"/>
    <col min="11800" max="11800" width="7.85546875" style="69" customWidth="1"/>
    <col min="11801" max="11801" width="8" style="69" customWidth="1"/>
    <col min="11802" max="11802" width="5.85546875" style="69" customWidth="1"/>
    <col min="11803" max="11803" width="11.42578125" style="69"/>
    <col min="11804" max="11804" width="12.42578125" style="69" bestFit="1" customWidth="1"/>
    <col min="11805" max="12026" width="11.42578125" style="69"/>
    <col min="12027" max="12027" width="8" style="69" customWidth="1"/>
    <col min="12028" max="12028" width="16.85546875" style="69" customWidth="1"/>
    <col min="12029" max="12030" width="5.140625" style="69" customWidth="1"/>
    <col min="12031" max="12031" width="6.140625" style="69" bestFit="1" customWidth="1"/>
    <col min="12032" max="12032" width="5.28515625" style="69" customWidth="1"/>
    <col min="12033" max="12033" width="4.28515625" style="69" customWidth="1"/>
    <col min="12034" max="12034" width="7.28515625" style="69" customWidth="1"/>
    <col min="12035" max="12035" width="7.42578125" style="69" customWidth="1"/>
    <col min="12036" max="12036" width="5.42578125" style="69" customWidth="1"/>
    <col min="12037" max="12038" width="5.140625" style="69" customWidth="1"/>
    <col min="12039" max="12039" width="4.5703125" style="69" customWidth="1"/>
    <col min="12040" max="12040" width="8" style="69" customWidth="1"/>
    <col min="12041" max="12041" width="7.42578125" style="69" customWidth="1"/>
    <col min="12042" max="12042" width="6.140625" style="69" customWidth="1"/>
    <col min="12043" max="12043" width="5.42578125" style="69" customWidth="1"/>
    <col min="12044" max="12044" width="11.42578125" style="69"/>
    <col min="12045" max="12045" width="7.42578125" style="69" customWidth="1"/>
    <col min="12046" max="12046" width="7.28515625" style="69" customWidth="1"/>
    <col min="12047" max="12047" width="5.42578125" style="69" customWidth="1"/>
    <col min="12048" max="12048" width="7.7109375" style="69" customWidth="1"/>
    <col min="12049" max="12049" width="7.140625" style="69" customWidth="1"/>
    <col min="12050" max="12050" width="6" style="69" customWidth="1"/>
    <col min="12051" max="12051" width="7.5703125" style="69" customWidth="1"/>
    <col min="12052" max="12052" width="7.140625" style="69" customWidth="1"/>
    <col min="12053" max="12053" width="7.42578125" style="69" customWidth="1"/>
    <col min="12054" max="12054" width="5.7109375" style="69" customWidth="1"/>
    <col min="12055" max="12055" width="7.5703125" style="69" customWidth="1"/>
    <col min="12056" max="12056" width="7.85546875" style="69" customWidth="1"/>
    <col min="12057" max="12057" width="8" style="69" customWidth="1"/>
    <col min="12058" max="12058" width="5.85546875" style="69" customWidth="1"/>
    <col min="12059" max="12059" width="11.42578125" style="69"/>
    <col min="12060" max="12060" width="12.42578125" style="69" bestFit="1" customWidth="1"/>
    <col min="12061" max="12282" width="11.42578125" style="69"/>
    <col min="12283" max="12283" width="8" style="69" customWidth="1"/>
    <col min="12284" max="12284" width="16.85546875" style="69" customWidth="1"/>
    <col min="12285" max="12286" width="5.140625" style="69" customWidth="1"/>
    <col min="12287" max="12287" width="6.140625" style="69" bestFit="1" customWidth="1"/>
    <col min="12288" max="12288" width="5.28515625" style="69" customWidth="1"/>
    <col min="12289" max="12289" width="4.28515625" style="69" customWidth="1"/>
    <col min="12290" max="12290" width="7.28515625" style="69" customWidth="1"/>
    <col min="12291" max="12291" width="7.42578125" style="69" customWidth="1"/>
    <col min="12292" max="12292" width="5.42578125" style="69" customWidth="1"/>
    <col min="12293" max="12294" width="5.140625" style="69" customWidth="1"/>
    <col min="12295" max="12295" width="4.5703125" style="69" customWidth="1"/>
    <col min="12296" max="12296" width="8" style="69" customWidth="1"/>
    <col min="12297" max="12297" width="7.42578125" style="69" customWidth="1"/>
    <col min="12298" max="12298" width="6.140625" style="69" customWidth="1"/>
    <col min="12299" max="12299" width="5.42578125" style="69" customWidth="1"/>
    <col min="12300" max="12300" width="11.42578125" style="69"/>
    <col min="12301" max="12301" width="7.42578125" style="69" customWidth="1"/>
    <col min="12302" max="12302" width="7.28515625" style="69" customWidth="1"/>
    <col min="12303" max="12303" width="5.42578125" style="69" customWidth="1"/>
    <col min="12304" max="12304" width="7.7109375" style="69" customWidth="1"/>
    <col min="12305" max="12305" width="7.140625" style="69" customWidth="1"/>
    <col min="12306" max="12306" width="6" style="69" customWidth="1"/>
    <col min="12307" max="12307" width="7.5703125" style="69" customWidth="1"/>
    <col min="12308" max="12308" width="7.140625" style="69" customWidth="1"/>
    <col min="12309" max="12309" width="7.42578125" style="69" customWidth="1"/>
    <col min="12310" max="12310" width="5.7109375" style="69" customWidth="1"/>
    <col min="12311" max="12311" width="7.5703125" style="69" customWidth="1"/>
    <col min="12312" max="12312" width="7.85546875" style="69" customWidth="1"/>
    <col min="12313" max="12313" width="8" style="69" customWidth="1"/>
    <col min="12314" max="12314" width="5.85546875" style="69" customWidth="1"/>
    <col min="12315" max="12315" width="11.42578125" style="69"/>
    <col min="12316" max="12316" width="12.42578125" style="69" bestFit="1" customWidth="1"/>
    <col min="12317" max="12538" width="11.42578125" style="69"/>
    <col min="12539" max="12539" width="8" style="69" customWidth="1"/>
    <col min="12540" max="12540" width="16.85546875" style="69" customWidth="1"/>
    <col min="12541" max="12542" width="5.140625" style="69" customWidth="1"/>
    <col min="12543" max="12543" width="6.140625" style="69" bestFit="1" customWidth="1"/>
    <col min="12544" max="12544" width="5.28515625" style="69" customWidth="1"/>
    <col min="12545" max="12545" width="4.28515625" style="69" customWidth="1"/>
    <col min="12546" max="12546" width="7.28515625" style="69" customWidth="1"/>
    <col min="12547" max="12547" width="7.42578125" style="69" customWidth="1"/>
    <col min="12548" max="12548" width="5.42578125" style="69" customWidth="1"/>
    <col min="12549" max="12550" width="5.140625" style="69" customWidth="1"/>
    <col min="12551" max="12551" width="4.5703125" style="69" customWidth="1"/>
    <col min="12552" max="12552" width="8" style="69" customWidth="1"/>
    <col min="12553" max="12553" width="7.42578125" style="69" customWidth="1"/>
    <col min="12554" max="12554" width="6.140625" style="69" customWidth="1"/>
    <col min="12555" max="12555" width="5.42578125" style="69" customWidth="1"/>
    <col min="12556" max="12556" width="11.42578125" style="69"/>
    <col min="12557" max="12557" width="7.42578125" style="69" customWidth="1"/>
    <col min="12558" max="12558" width="7.28515625" style="69" customWidth="1"/>
    <col min="12559" max="12559" width="5.42578125" style="69" customWidth="1"/>
    <col min="12560" max="12560" width="7.7109375" style="69" customWidth="1"/>
    <col min="12561" max="12561" width="7.140625" style="69" customWidth="1"/>
    <col min="12562" max="12562" width="6" style="69" customWidth="1"/>
    <col min="12563" max="12563" width="7.5703125" style="69" customWidth="1"/>
    <col min="12564" max="12564" width="7.140625" style="69" customWidth="1"/>
    <col min="12565" max="12565" width="7.42578125" style="69" customWidth="1"/>
    <col min="12566" max="12566" width="5.7109375" style="69" customWidth="1"/>
    <col min="12567" max="12567" width="7.5703125" style="69" customWidth="1"/>
    <col min="12568" max="12568" width="7.85546875" style="69" customWidth="1"/>
    <col min="12569" max="12569" width="8" style="69" customWidth="1"/>
    <col min="12570" max="12570" width="5.85546875" style="69" customWidth="1"/>
    <col min="12571" max="12571" width="11.42578125" style="69"/>
    <col min="12572" max="12572" width="12.42578125" style="69" bestFit="1" customWidth="1"/>
    <col min="12573" max="12794" width="11.42578125" style="69"/>
    <col min="12795" max="12795" width="8" style="69" customWidth="1"/>
    <col min="12796" max="12796" width="16.85546875" style="69" customWidth="1"/>
    <col min="12797" max="12798" width="5.140625" style="69" customWidth="1"/>
    <col min="12799" max="12799" width="6.140625" style="69" bestFit="1" customWidth="1"/>
    <col min="12800" max="12800" width="5.28515625" style="69" customWidth="1"/>
    <col min="12801" max="12801" width="4.28515625" style="69" customWidth="1"/>
    <col min="12802" max="12802" width="7.28515625" style="69" customWidth="1"/>
    <col min="12803" max="12803" width="7.42578125" style="69" customWidth="1"/>
    <col min="12804" max="12804" width="5.42578125" style="69" customWidth="1"/>
    <col min="12805" max="12806" width="5.140625" style="69" customWidth="1"/>
    <col min="12807" max="12807" width="4.5703125" style="69" customWidth="1"/>
    <col min="12808" max="12808" width="8" style="69" customWidth="1"/>
    <col min="12809" max="12809" width="7.42578125" style="69" customWidth="1"/>
    <col min="12810" max="12810" width="6.140625" style="69" customWidth="1"/>
    <col min="12811" max="12811" width="5.42578125" style="69" customWidth="1"/>
    <col min="12812" max="12812" width="11.42578125" style="69"/>
    <col min="12813" max="12813" width="7.42578125" style="69" customWidth="1"/>
    <col min="12814" max="12814" width="7.28515625" style="69" customWidth="1"/>
    <col min="12815" max="12815" width="5.42578125" style="69" customWidth="1"/>
    <col min="12816" max="12816" width="7.7109375" style="69" customWidth="1"/>
    <col min="12817" max="12817" width="7.140625" style="69" customWidth="1"/>
    <col min="12818" max="12818" width="6" style="69" customWidth="1"/>
    <col min="12819" max="12819" width="7.5703125" style="69" customWidth="1"/>
    <col min="12820" max="12820" width="7.140625" style="69" customWidth="1"/>
    <col min="12821" max="12821" width="7.42578125" style="69" customWidth="1"/>
    <col min="12822" max="12822" width="5.7109375" style="69" customWidth="1"/>
    <col min="12823" max="12823" width="7.5703125" style="69" customWidth="1"/>
    <col min="12824" max="12824" width="7.85546875" style="69" customWidth="1"/>
    <col min="12825" max="12825" width="8" style="69" customWidth="1"/>
    <col min="12826" max="12826" width="5.85546875" style="69" customWidth="1"/>
    <col min="12827" max="12827" width="11.42578125" style="69"/>
    <col min="12828" max="12828" width="12.42578125" style="69" bestFit="1" customWidth="1"/>
    <col min="12829" max="13050" width="11.42578125" style="69"/>
    <col min="13051" max="13051" width="8" style="69" customWidth="1"/>
    <col min="13052" max="13052" width="16.85546875" style="69" customWidth="1"/>
    <col min="13053" max="13054" width="5.140625" style="69" customWidth="1"/>
    <col min="13055" max="13055" width="6.140625" style="69" bestFit="1" customWidth="1"/>
    <col min="13056" max="13056" width="5.28515625" style="69" customWidth="1"/>
    <col min="13057" max="13057" width="4.28515625" style="69" customWidth="1"/>
    <col min="13058" max="13058" width="7.28515625" style="69" customWidth="1"/>
    <col min="13059" max="13059" width="7.42578125" style="69" customWidth="1"/>
    <col min="13060" max="13060" width="5.42578125" style="69" customWidth="1"/>
    <col min="13061" max="13062" width="5.140625" style="69" customWidth="1"/>
    <col min="13063" max="13063" width="4.5703125" style="69" customWidth="1"/>
    <col min="13064" max="13064" width="8" style="69" customWidth="1"/>
    <col min="13065" max="13065" width="7.42578125" style="69" customWidth="1"/>
    <col min="13066" max="13066" width="6.140625" style="69" customWidth="1"/>
    <col min="13067" max="13067" width="5.42578125" style="69" customWidth="1"/>
    <col min="13068" max="13068" width="11.42578125" style="69"/>
    <col min="13069" max="13069" width="7.42578125" style="69" customWidth="1"/>
    <col min="13070" max="13070" width="7.28515625" style="69" customWidth="1"/>
    <col min="13071" max="13071" width="5.42578125" style="69" customWidth="1"/>
    <col min="13072" max="13072" width="7.7109375" style="69" customWidth="1"/>
    <col min="13073" max="13073" width="7.140625" style="69" customWidth="1"/>
    <col min="13074" max="13074" width="6" style="69" customWidth="1"/>
    <col min="13075" max="13075" width="7.5703125" style="69" customWidth="1"/>
    <col min="13076" max="13076" width="7.140625" style="69" customWidth="1"/>
    <col min="13077" max="13077" width="7.42578125" style="69" customWidth="1"/>
    <col min="13078" max="13078" width="5.7109375" style="69" customWidth="1"/>
    <col min="13079" max="13079" width="7.5703125" style="69" customWidth="1"/>
    <col min="13080" max="13080" width="7.85546875" style="69" customWidth="1"/>
    <col min="13081" max="13081" width="8" style="69" customWidth="1"/>
    <col min="13082" max="13082" width="5.85546875" style="69" customWidth="1"/>
    <col min="13083" max="13083" width="11.42578125" style="69"/>
    <col min="13084" max="13084" width="12.42578125" style="69" bestFit="1" customWidth="1"/>
    <col min="13085" max="13306" width="11.42578125" style="69"/>
    <col min="13307" max="13307" width="8" style="69" customWidth="1"/>
    <col min="13308" max="13308" width="16.85546875" style="69" customWidth="1"/>
    <col min="13309" max="13310" width="5.140625" style="69" customWidth="1"/>
    <col min="13311" max="13311" width="6.140625" style="69" bestFit="1" customWidth="1"/>
    <col min="13312" max="13312" width="5.28515625" style="69" customWidth="1"/>
    <col min="13313" max="13313" width="4.28515625" style="69" customWidth="1"/>
    <col min="13314" max="13314" width="7.28515625" style="69" customWidth="1"/>
    <col min="13315" max="13315" width="7.42578125" style="69" customWidth="1"/>
    <col min="13316" max="13316" width="5.42578125" style="69" customWidth="1"/>
    <col min="13317" max="13318" width="5.140625" style="69" customWidth="1"/>
    <col min="13319" max="13319" width="4.5703125" style="69" customWidth="1"/>
    <col min="13320" max="13320" width="8" style="69" customWidth="1"/>
    <col min="13321" max="13321" width="7.42578125" style="69" customWidth="1"/>
    <col min="13322" max="13322" width="6.140625" style="69" customWidth="1"/>
    <col min="13323" max="13323" width="5.42578125" style="69" customWidth="1"/>
    <col min="13324" max="13324" width="11.42578125" style="69"/>
    <col min="13325" max="13325" width="7.42578125" style="69" customWidth="1"/>
    <col min="13326" max="13326" width="7.28515625" style="69" customWidth="1"/>
    <col min="13327" max="13327" width="5.42578125" style="69" customWidth="1"/>
    <col min="13328" max="13328" width="7.7109375" style="69" customWidth="1"/>
    <col min="13329" max="13329" width="7.140625" style="69" customWidth="1"/>
    <col min="13330" max="13330" width="6" style="69" customWidth="1"/>
    <col min="13331" max="13331" width="7.5703125" style="69" customWidth="1"/>
    <col min="13332" max="13332" width="7.140625" style="69" customWidth="1"/>
    <col min="13333" max="13333" width="7.42578125" style="69" customWidth="1"/>
    <col min="13334" max="13334" width="5.7109375" style="69" customWidth="1"/>
    <col min="13335" max="13335" width="7.5703125" style="69" customWidth="1"/>
    <col min="13336" max="13336" width="7.85546875" style="69" customWidth="1"/>
    <col min="13337" max="13337" width="8" style="69" customWidth="1"/>
    <col min="13338" max="13338" width="5.85546875" style="69" customWidth="1"/>
    <col min="13339" max="13339" width="11.42578125" style="69"/>
    <col min="13340" max="13340" width="12.42578125" style="69" bestFit="1" customWidth="1"/>
    <col min="13341" max="13562" width="11.42578125" style="69"/>
    <col min="13563" max="13563" width="8" style="69" customWidth="1"/>
    <col min="13564" max="13564" width="16.85546875" style="69" customWidth="1"/>
    <col min="13565" max="13566" width="5.140625" style="69" customWidth="1"/>
    <col min="13567" max="13567" width="6.140625" style="69" bestFit="1" customWidth="1"/>
    <col min="13568" max="13568" width="5.28515625" style="69" customWidth="1"/>
    <col min="13569" max="13569" width="4.28515625" style="69" customWidth="1"/>
    <col min="13570" max="13570" width="7.28515625" style="69" customWidth="1"/>
    <col min="13571" max="13571" width="7.42578125" style="69" customWidth="1"/>
    <col min="13572" max="13572" width="5.42578125" style="69" customWidth="1"/>
    <col min="13573" max="13574" width="5.140625" style="69" customWidth="1"/>
    <col min="13575" max="13575" width="4.5703125" style="69" customWidth="1"/>
    <col min="13576" max="13576" width="8" style="69" customWidth="1"/>
    <col min="13577" max="13577" width="7.42578125" style="69" customWidth="1"/>
    <col min="13578" max="13578" width="6.140625" style="69" customWidth="1"/>
    <col min="13579" max="13579" width="5.42578125" style="69" customWidth="1"/>
    <col min="13580" max="13580" width="11.42578125" style="69"/>
    <col min="13581" max="13581" width="7.42578125" style="69" customWidth="1"/>
    <col min="13582" max="13582" width="7.28515625" style="69" customWidth="1"/>
    <col min="13583" max="13583" width="5.42578125" style="69" customWidth="1"/>
    <col min="13584" max="13584" width="7.7109375" style="69" customWidth="1"/>
    <col min="13585" max="13585" width="7.140625" style="69" customWidth="1"/>
    <col min="13586" max="13586" width="6" style="69" customWidth="1"/>
    <col min="13587" max="13587" width="7.5703125" style="69" customWidth="1"/>
    <col min="13588" max="13588" width="7.140625" style="69" customWidth="1"/>
    <col min="13589" max="13589" width="7.42578125" style="69" customWidth="1"/>
    <col min="13590" max="13590" width="5.7109375" style="69" customWidth="1"/>
    <col min="13591" max="13591" width="7.5703125" style="69" customWidth="1"/>
    <col min="13592" max="13592" width="7.85546875" style="69" customWidth="1"/>
    <col min="13593" max="13593" width="8" style="69" customWidth="1"/>
    <col min="13594" max="13594" width="5.85546875" style="69" customWidth="1"/>
    <col min="13595" max="13595" width="11.42578125" style="69"/>
    <col min="13596" max="13596" width="12.42578125" style="69" bestFit="1" customWidth="1"/>
    <col min="13597" max="13818" width="11.42578125" style="69"/>
    <col min="13819" max="13819" width="8" style="69" customWidth="1"/>
    <col min="13820" max="13820" width="16.85546875" style="69" customWidth="1"/>
    <col min="13821" max="13822" width="5.140625" style="69" customWidth="1"/>
    <col min="13823" max="13823" width="6.140625" style="69" bestFit="1" customWidth="1"/>
    <col min="13824" max="13824" width="5.28515625" style="69" customWidth="1"/>
    <col min="13825" max="13825" width="4.28515625" style="69" customWidth="1"/>
    <col min="13826" max="13826" width="7.28515625" style="69" customWidth="1"/>
    <col min="13827" max="13827" width="7.42578125" style="69" customWidth="1"/>
    <col min="13828" max="13828" width="5.42578125" style="69" customWidth="1"/>
    <col min="13829" max="13830" width="5.140625" style="69" customWidth="1"/>
    <col min="13831" max="13831" width="4.5703125" style="69" customWidth="1"/>
    <col min="13832" max="13832" width="8" style="69" customWidth="1"/>
    <col min="13833" max="13833" width="7.42578125" style="69" customWidth="1"/>
    <col min="13834" max="13834" width="6.140625" style="69" customWidth="1"/>
    <col min="13835" max="13835" width="5.42578125" style="69" customWidth="1"/>
    <col min="13836" max="13836" width="11.42578125" style="69"/>
    <col min="13837" max="13837" width="7.42578125" style="69" customWidth="1"/>
    <col min="13838" max="13838" width="7.28515625" style="69" customWidth="1"/>
    <col min="13839" max="13839" width="5.42578125" style="69" customWidth="1"/>
    <col min="13840" max="13840" width="7.7109375" style="69" customWidth="1"/>
    <col min="13841" max="13841" width="7.140625" style="69" customWidth="1"/>
    <col min="13842" max="13842" width="6" style="69" customWidth="1"/>
    <col min="13843" max="13843" width="7.5703125" style="69" customWidth="1"/>
    <col min="13844" max="13844" width="7.140625" style="69" customWidth="1"/>
    <col min="13845" max="13845" width="7.42578125" style="69" customWidth="1"/>
    <col min="13846" max="13846" width="5.7109375" style="69" customWidth="1"/>
    <col min="13847" max="13847" width="7.5703125" style="69" customWidth="1"/>
    <col min="13848" max="13848" width="7.85546875" style="69" customWidth="1"/>
    <col min="13849" max="13849" width="8" style="69" customWidth="1"/>
    <col min="13850" max="13850" width="5.85546875" style="69" customWidth="1"/>
    <col min="13851" max="13851" width="11.42578125" style="69"/>
    <col min="13852" max="13852" width="12.42578125" style="69" bestFit="1" customWidth="1"/>
    <col min="13853" max="14074" width="11.42578125" style="69"/>
    <col min="14075" max="14075" width="8" style="69" customWidth="1"/>
    <col min="14076" max="14076" width="16.85546875" style="69" customWidth="1"/>
    <col min="14077" max="14078" width="5.140625" style="69" customWidth="1"/>
    <col min="14079" max="14079" width="6.140625" style="69" bestFit="1" customWidth="1"/>
    <col min="14080" max="14080" width="5.28515625" style="69" customWidth="1"/>
    <col min="14081" max="14081" width="4.28515625" style="69" customWidth="1"/>
    <col min="14082" max="14082" width="7.28515625" style="69" customWidth="1"/>
    <col min="14083" max="14083" width="7.42578125" style="69" customWidth="1"/>
    <col min="14084" max="14084" width="5.42578125" style="69" customWidth="1"/>
    <col min="14085" max="14086" width="5.140625" style="69" customWidth="1"/>
    <col min="14087" max="14087" width="4.5703125" style="69" customWidth="1"/>
    <col min="14088" max="14088" width="8" style="69" customWidth="1"/>
    <col min="14089" max="14089" width="7.42578125" style="69" customWidth="1"/>
    <col min="14090" max="14090" width="6.140625" style="69" customWidth="1"/>
    <col min="14091" max="14091" width="5.42578125" style="69" customWidth="1"/>
    <col min="14092" max="14092" width="11.42578125" style="69"/>
    <col min="14093" max="14093" width="7.42578125" style="69" customWidth="1"/>
    <col min="14094" max="14094" width="7.28515625" style="69" customWidth="1"/>
    <col min="14095" max="14095" width="5.42578125" style="69" customWidth="1"/>
    <col min="14096" max="14096" width="7.7109375" style="69" customWidth="1"/>
    <col min="14097" max="14097" width="7.140625" style="69" customWidth="1"/>
    <col min="14098" max="14098" width="6" style="69" customWidth="1"/>
    <col min="14099" max="14099" width="7.5703125" style="69" customWidth="1"/>
    <col min="14100" max="14100" width="7.140625" style="69" customWidth="1"/>
    <col min="14101" max="14101" width="7.42578125" style="69" customWidth="1"/>
    <col min="14102" max="14102" width="5.7109375" style="69" customWidth="1"/>
    <col min="14103" max="14103" width="7.5703125" style="69" customWidth="1"/>
    <col min="14104" max="14104" width="7.85546875" style="69" customWidth="1"/>
    <col min="14105" max="14105" width="8" style="69" customWidth="1"/>
    <col min="14106" max="14106" width="5.85546875" style="69" customWidth="1"/>
    <col min="14107" max="14107" width="11.42578125" style="69"/>
    <col min="14108" max="14108" width="12.42578125" style="69" bestFit="1" customWidth="1"/>
    <col min="14109" max="14330" width="11.42578125" style="69"/>
    <col min="14331" max="14331" width="8" style="69" customWidth="1"/>
    <col min="14332" max="14332" width="16.85546875" style="69" customWidth="1"/>
    <col min="14333" max="14334" width="5.140625" style="69" customWidth="1"/>
    <col min="14335" max="14335" width="6.140625" style="69" bestFit="1" customWidth="1"/>
    <col min="14336" max="14336" width="5.28515625" style="69" customWidth="1"/>
    <col min="14337" max="14337" width="4.28515625" style="69" customWidth="1"/>
    <col min="14338" max="14338" width="7.28515625" style="69" customWidth="1"/>
    <col min="14339" max="14339" width="7.42578125" style="69" customWidth="1"/>
    <col min="14340" max="14340" width="5.42578125" style="69" customWidth="1"/>
    <col min="14341" max="14342" width="5.140625" style="69" customWidth="1"/>
    <col min="14343" max="14343" width="4.5703125" style="69" customWidth="1"/>
    <col min="14344" max="14344" width="8" style="69" customWidth="1"/>
    <col min="14345" max="14345" width="7.42578125" style="69" customWidth="1"/>
    <col min="14346" max="14346" width="6.140625" style="69" customWidth="1"/>
    <col min="14347" max="14347" width="5.42578125" style="69" customWidth="1"/>
    <col min="14348" max="14348" width="11.42578125" style="69"/>
    <col min="14349" max="14349" width="7.42578125" style="69" customWidth="1"/>
    <col min="14350" max="14350" width="7.28515625" style="69" customWidth="1"/>
    <col min="14351" max="14351" width="5.42578125" style="69" customWidth="1"/>
    <col min="14352" max="14352" width="7.7109375" style="69" customWidth="1"/>
    <col min="14353" max="14353" width="7.140625" style="69" customWidth="1"/>
    <col min="14354" max="14354" width="6" style="69" customWidth="1"/>
    <col min="14355" max="14355" width="7.5703125" style="69" customWidth="1"/>
    <col min="14356" max="14356" width="7.140625" style="69" customWidth="1"/>
    <col min="14357" max="14357" width="7.42578125" style="69" customWidth="1"/>
    <col min="14358" max="14358" width="5.7109375" style="69" customWidth="1"/>
    <col min="14359" max="14359" width="7.5703125" style="69" customWidth="1"/>
    <col min="14360" max="14360" width="7.85546875" style="69" customWidth="1"/>
    <col min="14361" max="14361" width="8" style="69" customWidth="1"/>
    <col min="14362" max="14362" width="5.85546875" style="69" customWidth="1"/>
    <col min="14363" max="14363" width="11.42578125" style="69"/>
    <col min="14364" max="14364" width="12.42578125" style="69" bestFit="1" customWidth="1"/>
    <col min="14365" max="14586" width="11.42578125" style="69"/>
    <col min="14587" max="14587" width="8" style="69" customWidth="1"/>
    <col min="14588" max="14588" width="16.85546875" style="69" customWidth="1"/>
    <col min="14589" max="14590" width="5.140625" style="69" customWidth="1"/>
    <col min="14591" max="14591" width="6.140625" style="69" bestFit="1" customWidth="1"/>
    <col min="14592" max="14592" width="5.28515625" style="69" customWidth="1"/>
    <col min="14593" max="14593" width="4.28515625" style="69" customWidth="1"/>
    <col min="14594" max="14594" width="7.28515625" style="69" customWidth="1"/>
    <col min="14595" max="14595" width="7.42578125" style="69" customWidth="1"/>
    <col min="14596" max="14596" width="5.42578125" style="69" customWidth="1"/>
    <col min="14597" max="14598" width="5.140625" style="69" customWidth="1"/>
    <col min="14599" max="14599" width="4.5703125" style="69" customWidth="1"/>
    <col min="14600" max="14600" width="8" style="69" customWidth="1"/>
    <col min="14601" max="14601" width="7.42578125" style="69" customWidth="1"/>
    <col min="14602" max="14602" width="6.140625" style="69" customWidth="1"/>
    <col min="14603" max="14603" width="5.42578125" style="69" customWidth="1"/>
    <col min="14604" max="14604" width="11.42578125" style="69"/>
    <col min="14605" max="14605" width="7.42578125" style="69" customWidth="1"/>
    <col min="14606" max="14606" width="7.28515625" style="69" customWidth="1"/>
    <col min="14607" max="14607" width="5.42578125" style="69" customWidth="1"/>
    <col min="14608" max="14608" width="7.7109375" style="69" customWidth="1"/>
    <col min="14609" max="14609" width="7.140625" style="69" customWidth="1"/>
    <col min="14610" max="14610" width="6" style="69" customWidth="1"/>
    <col min="14611" max="14611" width="7.5703125" style="69" customWidth="1"/>
    <col min="14612" max="14612" width="7.140625" style="69" customWidth="1"/>
    <col min="14613" max="14613" width="7.42578125" style="69" customWidth="1"/>
    <col min="14614" max="14614" width="5.7109375" style="69" customWidth="1"/>
    <col min="14615" max="14615" width="7.5703125" style="69" customWidth="1"/>
    <col min="14616" max="14616" width="7.85546875" style="69" customWidth="1"/>
    <col min="14617" max="14617" width="8" style="69" customWidth="1"/>
    <col min="14618" max="14618" width="5.85546875" style="69" customWidth="1"/>
    <col min="14619" max="14619" width="11.42578125" style="69"/>
    <col min="14620" max="14620" width="12.42578125" style="69" bestFit="1" customWidth="1"/>
    <col min="14621" max="14842" width="11.42578125" style="69"/>
    <col min="14843" max="14843" width="8" style="69" customWidth="1"/>
    <col min="14844" max="14844" width="16.85546875" style="69" customWidth="1"/>
    <col min="14845" max="14846" width="5.140625" style="69" customWidth="1"/>
    <col min="14847" max="14847" width="6.140625" style="69" bestFit="1" customWidth="1"/>
    <col min="14848" max="14848" width="5.28515625" style="69" customWidth="1"/>
    <col min="14849" max="14849" width="4.28515625" style="69" customWidth="1"/>
    <col min="14850" max="14850" width="7.28515625" style="69" customWidth="1"/>
    <col min="14851" max="14851" width="7.42578125" style="69" customWidth="1"/>
    <col min="14852" max="14852" width="5.42578125" style="69" customWidth="1"/>
    <col min="14853" max="14854" width="5.140625" style="69" customWidth="1"/>
    <col min="14855" max="14855" width="4.5703125" style="69" customWidth="1"/>
    <col min="14856" max="14856" width="8" style="69" customWidth="1"/>
    <col min="14857" max="14857" width="7.42578125" style="69" customWidth="1"/>
    <col min="14858" max="14858" width="6.140625" style="69" customWidth="1"/>
    <col min="14859" max="14859" width="5.42578125" style="69" customWidth="1"/>
    <col min="14860" max="14860" width="11.42578125" style="69"/>
    <col min="14861" max="14861" width="7.42578125" style="69" customWidth="1"/>
    <col min="14862" max="14862" width="7.28515625" style="69" customWidth="1"/>
    <col min="14863" max="14863" width="5.42578125" style="69" customWidth="1"/>
    <col min="14864" max="14864" width="7.7109375" style="69" customWidth="1"/>
    <col min="14865" max="14865" width="7.140625" style="69" customWidth="1"/>
    <col min="14866" max="14866" width="6" style="69" customWidth="1"/>
    <col min="14867" max="14867" width="7.5703125" style="69" customWidth="1"/>
    <col min="14868" max="14868" width="7.140625" style="69" customWidth="1"/>
    <col min="14869" max="14869" width="7.42578125" style="69" customWidth="1"/>
    <col min="14870" max="14870" width="5.7109375" style="69" customWidth="1"/>
    <col min="14871" max="14871" width="7.5703125" style="69" customWidth="1"/>
    <col min="14872" max="14872" width="7.85546875" style="69" customWidth="1"/>
    <col min="14873" max="14873" width="8" style="69" customWidth="1"/>
    <col min="14874" max="14874" width="5.85546875" style="69" customWidth="1"/>
    <col min="14875" max="14875" width="11.42578125" style="69"/>
    <col min="14876" max="14876" width="12.42578125" style="69" bestFit="1" customWidth="1"/>
    <col min="14877" max="15098" width="11.42578125" style="69"/>
    <col min="15099" max="15099" width="8" style="69" customWidth="1"/>
    <col min="15100" max="15100" width="16.85546875" style="69" customWidth="1"/>
    <col min="15101" max="15102" width="5.140625" style="69" customWidth="1"/>
    <col min="15103" max="15103" width="6.140625" style="69" bestFit="1" customWidth="1"/>
    <col min="15104" max="15104" width="5.28515625" style="69" customWidth="1"/>
    <col min="15105" max="15105" width="4.28515625" style="69" customWidth="1"/>
    <col min="15106" max="15106" width="7.28515625" style="69" customWidth="1"/>
    <col min="15107" max="15107" width="7.42578125" style="69" customWidth="1"/>
    <col min="15108" max="15108" width="5.42578125" style="69" customWidth="1"/>
    <col min="15109" max="15110" width="5.140625" style="69" customWidth="1"/>
    <col min="15111" max="15111" width="4.5703125" style="69" customWidth="1"/>
    <col min="15112" max="15112" width="8" style="69" customWidth="1"/>
    <col min="15113" max="15113" width="7.42578125" style="69" customWidth="1"/>
    <col min="15114" max="15114" width="6.140625" style="69" customWidth="1"/>
    <col min="15115" max="15115" width="5.42578125" style="69" customWidth="1"/>
    <col min="15116" max="15116" width="11.42578125" style="69"/>
    <col min="15117" max="15117" width="7.42578125" style="69" customWidth="1"/>
    <col min="15118" max="15118" width="7.28515625" style="69" customWidth="1"/>
    <col min="15119" max="15119" width="5.42578125" style="69" customWidth="1"/>
    <col min="15120" max="15120" width="7.7109375" style="69" customWidth="1"/>
    <col min="15121" max="15121" width="7.140625" style="69" customWidth="1"/>
    <col min="15122" max="15122" width="6" style="69" customWidth="1"/>
    <col min="15123" max="15123" width="7.5703125" style="69" customWidth="1"/>
    <col min="15124" max="15124" width="7.140625" style="69" customWidth="1"/>
    <col min="15125" max="15125" width="7.42578125" style="69" customWidth="1"/>
    <col min="15126" max="15126" width="5.7109375" style="69" customWidth="1"/>
    <col min="15127" max="15127" width="7.5703125" style="69" customWidth="1"/>
    <col min="15128" max="15128" width="7.85546875" style="69" customWidth="1"/>
    <col min="15129" max="15129" width="8" style="69" customWidth="1"/>
    <col min="15130" max="15130" width="5.85546875" style="69" customWidth="1"/>
    <col min="15131" max="15131" width="11.42578125" style="69"/>
    <col min="15132" max="15132" width="12.42578125" style="69" bestFit="1" customWidth="1"/>
    <col min="15133" max="15354" width="11.42578125" style="69"/>
    <col min="15355" max="15355" width="8" style="69" customWidth="1"/>
    <col min="15356" max="15356" width="16.85546875" style="69" customWidth="1"/>
    <col min="15357" max="15358" width="5.140625" style="69" customWidth="1"/>
    <col min="15359" max="15359" width="6.140625" style="69" bestFit="1" customWidth="1"/>
    <col min="15360" max="15360" width="5.28515625" style="69" customWidth="1"/>
    <col min="15361" max="15361" width="4.28515625" style="69" customWidth="1"/>
    <col min="15362" max="15362" width="7.28515625" style="69" customWidth="1"/>
    <col min="15363" max="15363" width="7.42578125" style="69" customWidth="1"/>
    <col min="15364" max="15364" width="5.42578125" style="69" customWidth="1"/>
    <col min="15365" max="15366" width="5.140625" style="69" customWidth="1"/>
    <col min="15367" max="15367" width="4.5703125" style="69" customWidth="1"/>
    <col min="15368" max="15368" width="8" style="69" customWidth="1"/>
    <col min="15369" max="15369" width="7.42578125" style="69" customWidth="1"/>
    <col min="15370" max="15370" width="6.140625" style="69" customWidth="1"/>
    <col min="15371" max="15371" width="5.42578125" style="69" customWidth="1"/>
    <col min="15372" max="15372" width="11.42578125" style="69"/>
    <col min="15373" max="15373" width="7.42578125" style="69" customWidth="1"/>
    <col min="15374" max="15374" width="7.28515625" style="69" customWidth="1"/>
    <col min="15375" max="15375" width="5.42578125" style="69" customWidth="1"/>
    <col min="15376" max="15376" width="7.7109375" style="69" customWidth="1"/>
    <col min="15377" max="15377" width="7.140625" style="69" customWidth="1"/>
    <col min="15378" max="15378" width="6" style="69" customWidth="1"/>
    <col min="15379" max="15379" width="7.5703125" style="69" customWidth="1"/>
    <col min="15380" max="15380" width="7.140625" style="69" customWidth="1"/>
    <col min="15381" max="15381" width="7.42578125" style="69" customWidth="1"/>
    <col min="15382" max="15382" width="5.7109375" style="69" customWidth="1"/>
    <col min="15383" max="15383" width="7.5703125" style="69" customWidth="1"/>
    <col min="15384" max="15384" width="7.85546875" style="69" customWidth="1"/>
    <col min="15385" max="15385" width="8" style="69" customWidth="1"/>
    <col min="15386" max="15386" width="5.85546875" style="69" customWidth="1"/>
    <col min="15387" max="15387" width="11.42578125" style="69"/>
    <col min="15388" max="15388" width="12.42578125" style="69" bestFit="1" customWidth="1"/>
    <col min="15389" max="15610" width="11.42578125" style="69"/>
    <col min="15611" max="15611" width="8" style="69" customWidth="1"/>
    <col min="15612" max="15612" width="16.85546875" style="69" customWidth="1"/>
    <col min="15613" max="15614" width="5.140625" style="69" customWidth="1"/>
    <col min="15615" max="15615" width="6.140625" style="69" bestFit="1" customWidth="1"/>
    <col min="15616" max="15616" width="5.28515625" style="69" customWidth="1"/>
    <col min="15617" max="15617" width="4.28515625" style="69" customWidth="1"/>
    <col min="15618" max="15618" width="7.28515625" style="69" customWidth="1"/>
    <col min="15619" max="15619" width="7.42578125" style="69" customWidth="1"/>
    <col min="15620" max="15620" width="5.42578125" style="69" customWidth="1"/>
    <col min="15621" max="15622" width="5.140625" style="69" customWidth="1"/>
    <col min="15623" max="15623" width="4.5703125" style="69" customWidth="1"/>
    <col min="15624" max="15624" width="8" style="69" customWidth="1"/>
    <col min="15625" max="15625" width="7.42578125" style="69" customWidth="1"/>
    <col min="15626" max="15626" width="6.140625" style="69" customWidth="1"/>
    <col min="15627" max="15627" width="5.42578125" style="69" customWidth="1"/>
    <col min="15628" max="15628" width="11.42578125" style="69"/>
    <col min="15629" max="15629" width="7.42578125" style="69" customWidth="1"/>
    <col min="15630" max="15630" width="7.28515625" style="69" customWidth="1"/>
    <col min="15631" max="15631" width="5.42578125" style="69" customWidth="1"/>
    <col min="15632" max="15632" width="7.7109375" style="69" customWidth="1"/>
    <col min="15633" max="15633" width="7.140625" style="69" customWidth="1"/>
    <col min="15634" max="15634" width="6" style="69" customWidth="1"/>
    <col min="15635" max="15635" width="7.5703125" style="69" customWidth="1"/>
    <col min="15636" max="15636" width="7.140625" style="69" customWidth="1"/>
    <col min="15637" max="15637" width="7.42578125" style="69" customWidth="1"/>
    <col min="15638" max="15638" width="5.7109375" style="69" customWidth="1"/>
    <col min="15639" max="15639" width="7.5703125" style="69" customWidth="1"/>
    <col min="15640" max="15640" width="7.85546875" style="69" customWidth="1"/>
    <col min="15641" max="15641" width="8" style="69" customWidth="1"/>
    <col min="15642" max="15642" width="5.85546875" style="69" customWidth="1"/>
    <col min="15643" max="15643" width="11.42578125" style="69"/>
    <col min="15644" max="15644" width="12.42578125" style="69" bestFit="1" customWidth="1"/>
    <col min="15645" max="15866" width="11.42578125" style="69"/>
    <col min="15867" max="15867" width="8" style="69" customWidth="1"/>
    <col min="15868" max="15868" width="16.85546875" style="69" customWidth="1"/>
    <col min="15869" max="15870" width="5.140625" style="69" customWidth="1"/>
    <col min="15871" max="15871" width="6.140625" style="69" bestFit="1" customWidth="1"/>
    <col min="15872" max="15872" width="5.28515625" style="69" customWidth="1"/>
    <col min="15873" max="15873" width="4.28515625" style="69" customWidth="1"/>
    <col min="15874" max="15874" width="7.28515625" style="69" customWidth="1"/>
    <col min="15875" max="15875" width="7.42578125" style="69" customWidth="1"/>
    <col min="15876" max="15876" width="5.42578125" style="69" customWidth="1"/>
    <col min="15877" max="15878" width="5.140625" style="69" customWidth="1"/>
    <col min="15879" max="15879" width="4.5703125" style="69" customWidth="1"/>
    <col min="15880" max="15880" width="8" style="69" customWidth="1"/>
    <col min="15881" max="15881" width="7.42578125" style="69" customWidth="1"/>
    <col min="15882" max="15882" width="6.140625" style="69" customWidth="1"/>
    <col min="15883" max="15883" width="5.42578125" style="69" customWidth="1"/>
    <col min="15884" max="15884" width="11.42578125" style="69"/>
    <col min="15885" max="15885" width="7.42578125" style="69" customWidth="1"/>
    <col min="15886" max="15886" width="7.28515625" style="69" customWidth="1"/>
    <col min="15887" max="15887" width="5.42578125" style="69" customWidth="1"/>
    <col min="15888" max="15888" width="7.7109375" style="69" customWidth="1"/>
    <col min="15889" max="15889" width="7.140625" style="69" customWidth="1"/>
    <col min="15890" max="15890" width="6" style="69" customWidth="1"/>
    <col min="15891" max="15891" width="7.5703125" style="69" customWidth="1"/>
    <col min="15892" max="15892" width="7.140625" style="69" customWidth="1"/>
    <col min="15893" max="15893" width="7.42578125" style="69" customWidth="1"/>
    <col min="15894" max="15894" width="5.7109375" style="69" customWidth="1"/>
    <col min="15895" max="15895" width="7.5703125" style="69" customWidth="1"/>
    <col min="15896" max="15896" width="7.85546875" style="69" customWidth="1"/>
    <col min="15897" max="15897" width="8" style="69" customWidth="1"/>
    <col min="15898" max="15898" width="5.85546875" style="69" customWidth="1"/>
    <col min="15899" max="15899" width="11.42578125" style="69"/>
    <col min="15900" max="15900" width="12.42578125" style="69" bestFit="1" customWidth="1"/>
    <col min="15901" max="16122" width="11.42578125" style="69"/>
    <col min="16123" max="16123" width="8" style="69" customWidth="1"/>
    <col min="16124" max="16124" width="16.85546875" style="69" customWidth="1"/>
    <col min="16125" max="16126" width="5.140625" style="69" customWidth="1"/>
    <col min="16127" max="16127" width="6.140625" style="69" bestFit="1" customWidth="1"/>
    <col min="16128" max="16128" width="5.28515625" style="69" customWidth="1"/>
    <col min="16129" max="16129" width="4.28515625" style="69" customWidth="1"/>
    <col min="16130" max="16130" width="7.28515625" style="69" customWidth="1"/>
    <col min="16131" max="16131" width="7.42578125" style="69" customWidth="1"/>
    <col min="16132" max="16132" width="5.42578125" style="69" customWidth="1"/>
    <col min="16133" max="16134" width="5.140625" style="69" customWidth="1"/>
    <col min="16135" max="16135" width="4.5703125" style="69" customWidth="1"/>
    <col min="16136" max="16136" width="8" style="69" customWidth="1"/>
    <col min="16137" max="16137" width="7.42578125" style="69" customWidth="1"/>
    <col min="16138" max="16138" width="6.140625" style="69" customWidth="1"/>
    <col min="16139" max="16139" width="5.42578125" style="69" customWidth="1"/>
    <col min="16140" max="16140" width="11.42578125" style="69"/>
    <col min="16141" max="16141" width="7.42578125" style="69" customWidth="1"/>
    <col min="16142" max="16142" width="7.28515625" style="69" customWidth="1"/>
    <col min="16143" max="16143" width="5.42578125" style="69" customWidth="1"/>
    <col min="16144" max="16144" width="7.7109375" style="69" customWidth="1"/>
    <col min="16145" max="16145" width="7.140625" style="69" customWidth="1"/>
    <col min="16146" max="16146" width="6" style="69" customWidth="1"/>
    <col min="16147" max="16147" width="7.5703125" style="69" customWidth="1"/>
    <col min="16148" max="16148" width="7.140625" style="69" customWidth="1"/>
    <col min="16149" max="16149" width="7.42578125" style="69" customWidth="1"/>
    <col min="16150" max="16150" width="5.7109375" style="69" customWidth="1"/>
    <col min="16151" max="16151" width="7.5703125" style="69" customWidth="1"/>
    <col min="16152" max="16152" width="7.85546875" style="69" customWidth="1"/>
    <col min="16153" max="16153" width="8" style="69" customWidth="1"/>
    <col min="16154" max="16154" width="5.85546875" style="69" customWidth="1"/>
    <col min="16155" max="16155" width="11.42578125" style="69"/>
    <col min="16156" max="16156" width="12.42578125" style="69" bestFit="1" customWidth="1"/>
    <col min="16157" max="16384" width="11.42578125" style="69"/>
  </cols>
  <sheetData>
    <row r="1" spans="1:37" ht="35.25" customHeight="1" x14ac:dyDescent="0.2">
      <c r="A1" s="1133" t="s">
        <v>0</v>
      </c>
      <c r="B1" s="65" t="s">
        <v>1</v>
      </c>
      <c r="C1" s="1126" t="s">
        <v>2</v>
      </c>
      <c r="D1" s="1127"/>
      <c r="E1" s="1127"/>
      <c r="F1" s="1127"/>
      <c r="G1" s="1128"/>
      <c r="H1" s="66" t="s">
        <v>3</v>
      </c>
      <c r="I1" s="2" t="s">
        <v>4</v>
      </c>
      <c r="J1" s="68" t="s">
        <v>209</v>
      </c>
      <c r="K1" s="68"/>
      <c r="L1" s="3" t="s">
        <v>6</v>
      </c>
      <c r="M1" s="241"/>
      <c r="N1" s="2" t="s">
        <v>4</v>
      </c>
      <c r="O1" s="68" t="s">
        <v>209</v>
      </c>
      <c r="P1" s="68"/>
      <c r="Q1" s="3" t="s">
        <v>6</v>
      </c>
      <c r="R1" s="241"/>
      <c r="S1" s="1138" t="s">
        <v>210</v>
      </c>
      <c r="T1" s="1139"/>
      <c r="U1" s="1139"/>
      <c r="V1" s="1139"/>
      <c r="W1" s="1139"/>
      <c r="X1" s="1139"/>
      <c r="Y1" s="1139"/>
      <c r="Z1" s="1140"/>
      <c r="AE1" s="1135" t="s">
        <v>206</v>
      </c>
      <c r="AF1" s="1136"/>
      <c r="AG1" s="1136"/>
      <c r="AH1" s="1137"/>
      <c r="AI1" s="1135" t="s">
        <v>207</v>
      </c>
      <c r="AJ1" s="1137"/>
      <c r="AK1" s="67" t="s">
        <v>208</v>
      </c>
    </row>
    <row r="2" spans="1:37" x14ac:dyDescent="0.2">
      <c r="A2" s="1133"/>
      <c r="B2" s="73" t="s">
        <v>422</v>
      </c>
      <c r="C2" s="70" t="s">
        <v>211</v>
      </c>
      <c r="D2" s="71" t="s">
        <v>212</v>
      </c>
      <c r="E2" s="71" t="s">
        <v>213</v>
      </c>
      <c r="F2" s="71" t="s">
        <v>214</v>
      </c>
      <c r="G2" s="72" t="s">
        <v>215</v>
      </c>
      <c r="H2" s="74" t="s">
        <v>216</v>
      </c>
      <c r="I2" s="79" t="s">
        <v>222</v>
      </c>
      <c r="J2" s="80" t="s">
        <v>223</v>
      </c>
      <c r="K2" s="81"/>
      <c r="L2" s="81" t="s">
        <v>224</v>
      </c>
      <c r="M2" s="242"/>
      <c r="N2" s="82" t="s">
        <v>225</v>
      </c>
      <c r="O2" s="80" t="s">
        <v>226</v>
      </c>
      <c r="P2" s="81"/>
      <c r="Q2" s="81" t="s">
        <v>227</v>
      </c>
      <c r="R2" s="242"/>
      <c r="S2" s="83" t="s">
        <v>228</v>
      </c>
      <c r="T2" s="80" t="s">
        <v>229</v>
      </c>
      <c r="U2" s="80" t="s">
        <v>230</v>
      </c>
      <c r="V2" s="80" t="s">
        <v>231</v>
      </c>
      <c r="W2" s="80" t="s">
        <v>232</v>
      </c>
      <c r="X2" s="80" t="s">
        <v>233</v>
      </c>
      <c r="Y2" s="80" t="s">
        <v>234</v>
      </c>
      <c r="Z2" s="84" t="s">
        <v>235</v>
      </c>
      <c r="AA2" s="69" t="s">
        <v>236</v>
      </c>
      <c r="AB2" s="69" t="s">
        <v>237</v>
      </c>
      <c r="AC2" s="69" t="s">
        <v>238</v>
      </c>
      <c r="AD2" s="69" t="s">
        <v>239</v>
      </c>
      <c r="AE2" s="75" t="s">
        <v>217</v>
      </c>
      <c r="AF2" s="76" t="s">
        <v>218</v>
      </c>
      <c r="AG2" s="76" t="s">
        <v>217</v>
      </c>
      <c r="AH2" s="77" t="s">
        <v>218</v>
      </c>
      <c r="AI2" s="75" t="s">
        <v>219</v>
      </c>
      <c r="AJ2" s="77" t="s">
        <v>220</v>
      </c>
      <c r="AK2" s="78" t="s">
        <v>221</v>
      </c>
    </row>
    <row r="3" spans="1:37" ht="15" thickBot="1" x14ac:dyDescent="0.25">
      <c r="A3" s="1134"/>
      <c r="B3" s="88" t="s">
        <v>241</v>
      </c>
      <c r="C3" s="85" t="s">
        <v>240</v>
      </c>
      <c r="D3" s="86" t="s">
        <v>240</v>
      </c>
      <c r="E3" s="86" t="s">
        <v>240</v>
      </c>
      <c r="F3" s="86" t="s">
        <v>240</v>
      </c>
      <c r="G3" s="87" t="s">
        <v>240</v>
      </c>
      <c r="H3" s="89" t="s">
        <v>242</v>
      </c>
      <c r="I3" s="90" t="s">
        <v>246</v>
      </c>
      <c r="J3" s="86" t="s">
        <v>247</v>
      </c>
      <c r="K3" s="91"/>
      <c r="L3" s="91" t="s">
        <v>245</v>
      </c>
      <c r="M3" s="88"/>
      <c r="N3" s="85" t="s">
        <v>246</v>
      </c>
      <c r="O3" s="86" t="s">
        <v>247</v>
      </c>
      <c r="P3" s="91"/>
      <c r="Q3" s="91" t="s">
        <v>245</v>
      </c>
      <c r="R3" s="88"/>
      <c r="S3" s="85" t="s">
        <v>246</v>
      </c>
      <c r="T3" s="86" t="s">
        <v>240</v>
      </c>
      <c r="U3" s="86" t="s">
        <v>247</v>
      </c>
      <c r="V3" s="86" t="s">
        <v>245</v>
      </c>
      <c r="W3" s="86" t="s">
        <v>246</v>
      </c>
      <c r="X3" s="86" t="s">
        <v>240</v>
      </c>
      <c r="Y3" s="86" t="s">
        <v>247</v>
      </c>
      <c r="Z3" s="87" t="s">
        <v>245</v>
      </c>
      <c r="AE3" s="1141" t="s">
        <v>243</v>
      </c>
      <c r="AF3" s="1142"/>
      <c r="AG3" s="1142" t="s">
        <v>244</v>
      </c>
      <c r="AH3" s="1143"/>
      <c r="AI3" s="85" t="s">
        <v>240</v>
      </c>
      <c r="AJ3" s="87" t="s">
        <v>240</v>
      </c>
      <c r="AK3" s="89" t="s">
        <v>245</v>
      </c>
    </row>
    <row r="4" spans="1:37" ht="15.75" customHeight="1" thickBot="1" x14ac:dyDescent="0.25">
      <c r="A4" s="92"/>
      <c r="B4" s="238"/>
      <c r="C4" s="237" t="s">
        <v>248</v>
      </c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9"/>
      <c r="AE4" s="238"/>
      <c r="AF4" s="238"/>
      <c r="AG4" s="238"/>
      <c r="AH4" s="238"/>
      <c r="AI4" s="238"/>
      <c r="AJ4" s="238"/>
      <c r="AK4" s="238"/>
    </row>
    <row r="5" spans="1:37" s="99" customFormat="1" x14ac:dyDescent="0.2">
      <c r="A5" s="93" t="s">
        <v>249</v>
      </c>
      <c r="B5" s="96">
        <f t="shared" ref="B5:B36" si="0">0.1*7.85*H5</f>
        <v>0.88705000000000001</v>
      </c>
      <c r="C5" s="94">
        <v>20</v>
      </c>
      <c r="D5" s="94">
        <v>20</v>
      </c>
      <c r="E5" s="95">
        <v>3</v>
      </c>
      <c r="F5" s="95">
        <v>4</v>
      </c>
      <c r="G5" s="95">
        <f t="shared" ref="G5:G85" si="1">F5/2</f>
        <v>2</v>
      </c>
      <c r="H5" s="96">
        <v>1.1299999999999999</v>
      </c>
      <c r="I5" s="96">
        <v>0.39</v>
      </c>
      <c r="J5" s="96">
        <f t="shared" ref="J5:J36" si="2">I5*10/($C5-$AI5)</f>
        <v>0.27857142857142858</v>
      </c>
      <c r="K5" s="96"/>
      <c r="L5" s="96">
        <f t="shared" ref="L5:L36" si="3">SQRT(I5/H5)</f>
        <v>0.58747999401071682</v>
      </c>
      <c r="M5" s="96"/>
      <c r="N5" s="96">
        <f t="shared" ref="N5:N43" si="4">I5</f>
        <v>0.39</v>
      </c>
      <c r="O5" s="96">
        <f t="shared" ref="O5:O36" si="5">N5*10/($D5-$AJ5)</f>
        <v>0.27857142857142858</v>
      </c>
      <c r="P5" s="96"/>
      <c r="Q5" s="96">
        <f t="shared" ref="Q5:Q43" si="6">SQRT(N5/$H5)</f>
        <v>0.58747999401071682</v>
      </c>
      <c r="R5" s="96"/>
      <c r="S5" s="96">
        <v>0.61</v>
      </c>
      <c r="T5" s="95">
        <v>14.1</v>
      </c>
      <c r="U5" s="96">
        <f t="shared" ref="U5:U43" si="7">S5*10/T5</f>
        <v>0.43262411347517726</v>
      </c>
      <c r="V5" s="96">
        <f t="shared" ref="V5:V43" si="8">SQRT(S5/$H5)</f>
        <v>0.73472648574116173</v>
      </c>
      <c r="W5" s="96">
        <v>0.16</v>
      </c>
      <c r="X5" s="95">
        <v>8.4</v>
      </c>
      <c r="Y5" s="96">
        <f>W5*10/X5</f>
        <v>0.19047619047619047</v>
      </c>
      <c r="Z5" s="98">
        <f t="shared" ref="Z5:Z43" si="9">SQRT(W5/$H5)</f>
        <v>0.37628834735343897</v>
      </c>
      <c r="AA5" s="99">
        <f t="shared" ref="AA5:AA36" si="10">C5-(C5-E5)*E5/(2*D5)-(D5-2*E5)*E5/(2*D5)-PI()*E5*E5/(4*D5)-(1-PI()/4)*F5*F5/(2*D5)</f>
        <v>17.235730091830128</v>
      </c>
      <c r="AB5" s="99">
        <f t="shared" ref="AB5:AB36" si="11">((C5-2*E5)*(AA5-C5/2)*E5+((AA5-C5+E5)^2+(C5-AA5)^2)*(D5-E5)/2+PI()*E5*E5/4*AA5+(1-PI()/4)*F5*F5*((10-3*PI())/(12-3*PI())*F5+AA5-C5+E5))/1000</f>
        <v>0.49503255414555292</v>
      </c>
      <c r="AC5" s="99">
        <f>D5-(D5-E5)*E5/(2*C5)-(C5-2*E5)*E5/(2*C5)-PI()*E5*E5/(4*C5)-(1-PI()/4)*F5*F5/(2*C5)</f>
        <v>17.235730091830128</v>
      </c>
      <c r="AE5" s="94">
        <v>12</v>
      </c>
      <c r="AF5" s="94">
        <v>6</v>
      </c>
      <c r="AG5" s="94">
        <v>12</v>
      </c>
      <c r="AH5" s="94">
        <v>6</v>
      </c>
      <c r="AI5" s="95">
        <v>6</v>
      </c>
      <c r="AJ5" s="95">
        <f t="shared" ref="AJ5:AJ68" si="12">AI5</f>
        <v>6</v>
      </c>
      <c r="AK5" s="97">
        <v>0.5</v>
      </c>
    </row>
    <row r="6" spans="1:37" s="99" customFormat="1" x14ac:dyDescent="0.2">
      <c r="A6" s="100" t="s">
        <v>250</v>
      </c>
      <c r="B6" s="103">
        <f t="shared" si="0"/>
        <v>1.1225499999999999</v>
      </c>
      <c r="C6" s="101">
        <v>25</v>
      </c>
      <c r="D6" s="101">
        <v>25</v>
      </c>
      <c r="E6" s="102">
        <v>3</v>
      </c>
      <c r="F6" s="102">
        <v>4</v>
      </c>
      <c r="G6" s="102">
        <f t="shared" si="1"/>
        <v>2</v>
      </c>
      <c r="H6" s="103">
        <v>1.43</v>
      </c>
      <c r="I6" s="103">
        <v>0.8</v>
      </c>
      <c r="J6" s="103">
        <f t="shared" si="2"/>
        <v>0.449438202247191</v>
      </c>
      <c r="K6" s="103"/>
      <c r="L6" s="103">
        <f t="shared" si="3"/>
        <v>0.74795759200676581</v>
      </c>
      <c r="M6" s="103"/>
      <c r="N6" s="103">
        <f t="shared" si="4"/>
        <v>0.8</v>
      </c>
      <c r="O6" s="103">
        <f t="shared" si="5"/>
        <v>0.449438202247191</v>
      </c>
      <c r="P6" s="103"/>
      <c r="Q6" s="103">
        <f t="shared" si="6"/>
        <v>0.74795759200676581</v>
      </c>
      <c r="R6" s="103"/>
      <c r="S6" s="103">
        <v>1.26</v>
      </c>
      <c r="T6" s="102">
        <v>17.7</v>
      </c>
      <c r="U6" s="103">
        <f t="shared" si="7"/>
        <v>0.71186440677966101</v>
      </c>
      <c r="V6" s="103">
        <f t="shared" si="8"/>
        <v>0.93867932816211586</v>
      </c>
      <c r="W6" s="103">
        <v>0.33</v>
      </c>
      <c r="X6" s="102">
        <v>10.199999999999999</v>
      </c>
      <c r="Y6" s="103">
        <f t="shared" ref="Y6:Y69" si="13">W6*10/X6</f>
        <v>0.32352941176470595</v>
      </c>
      <c r="Z6" s="105">
        <f t="shared" si="9"/>
        <v>0.48038446141526142</v>
      </c>
      <c r="AA6" s="99">
        <f t="shared" si="10"/>
        <v>22.188584073464099</v>
      </c>
      <c r="AB6" s="99">
        <f t="shared" si="11"/>
        <v>0.80014238760904199</v>
      </c>
      <c r="AE6" s="101">
        <v>14</v>
      </c>
      <c r="AF6" s="101">
        <v>8</v>
      </c>
      <c r="AG6" s="101">
        <v>14</v>
      </c>
      <c r="AH6" s="101">
        <v>8</v>
      </c>
      <c r="AI6" s="102">
        <v>7.2</v>
      </c>
      <c r="AJ6" s="102">
        <f t="shared" si="12"/>
        <v>7.2</v>
      </c>
      <c r="AK6" s="104"/>
    </row>
    <row r="7" spans="1:37" x14ac:dyDescent="0.2">
      <c r="A7" s="106" t="s">
        <v>251</v>
      </c>
      <c r="B7" s="109">
        <f t="shared" si="0"/>
        <v>1.4601000000000002</v>
      </c>
      <c r="C7" s="107">
        <v>25</v>
      </c>
      <c r="D7" s="107">
        <v>25</v>
      </c>
      <c r="E7" s="108">
        <v>4</v>
      </c>
      <c r="F7" s="108">
        <v>4</v>
      </c>
      <c r="G7" s="108">
        <f t="shared" si="1"/>
        <v>2</v>
      </c>
      <c r="H7" s="109">
        <v>1.86</v>
      </c>
      <c r="I7" s="109">
        <v>1.1000000000000001</v>
      </c>
      <c r="J7" s="109">
        <f t="shared" si="2"/>
        <v>0.63218390804597702</v>
      </c>
      <c r="K7" s="109"/>
      <c r="L7" s="109">
        <f t="shared" si="3"/>
        <v>0.76902395896510634</v>
      </c>
      <c r="M7" s="109"/>
      <c r="N7" s="109">
        <f t="shared" si="4"/>
        <v>1.1000000000000001</v>
      </c>
      <c r="O7" s="109">
        <f t="shared" si="5"/>
        <v>0.63218390804597702</v>
      </c>
      <c r="P7" s="109"/>
      <c r="Q7" s="109">
        <f t="shared" si="6"/>
        <v>0.76902395896510634</v>
      </c>
      <c r="R7" s="109"/>
      <c r="S7" s="109">
        <v>1.6</v>
      </c>
      <c r="T7" s="108">
        <v>17.7</v>
      </c>
      <c r="U7" s="109">
        <f t="shared" si="7"/>
        <v>0.903954802259887</v>
      </c>
      <c r="V7" s="109">
        <f t="shared" si="8"/>
        <v>0.9274777915203366</v>
      </c>
      <c r="W7" s="109">
        <v>0.43</v>
      </c>
      <c r="X7" s="108">
        <v>10.7</v>
      </c>
      <c r="Y7" s="109">
        <f t="shared" si="13"/>
        <v>0.40186915887850466</v>
      </c>
      <c r="Z7" s="111">
        <f t="shared" si="9"/>
        <v>0.48081472075938431</v>
      </c>
      <c r="AA7" s="99">
        <f t="shared" si="10"/>
        <v>21.388672587712815</v>
      </c>
      <c r="AB7" s="99">
        <f t="shared" si="11"/>
        <v>1.0161340277666662</v>
      </c>
      <c r="AE7" s="107">
        <v>14</v>
      </c>
      <c r="AF7" s="107">
        <v>8</v>
      </c>
      <c r="AG7" s="107">
        <v>14</v>
      </c>
      <c r="AH7" s="107">
        <v>8</v>
      </c>
      <c r="AI7" s="108">
        <v>7.6</v>
      </c>
      <c r="AJ7" s="108">
        <f t="shared" si="12"/>
        <v>7.6</v>
      </c>
      <c r="AK7" s="110"/>
    </row>
    <row r="8" spans="1:37" x14ac:dyDescent="0.2">
      <c r="A8" s="112" t="s">
        <v>252</v>
      </c>
      <c r="B8" s="115">
        <f t="shared" si="0"/>
        <v>1.7897999999999998</v>
      </c>
      <c r="C8" s="113">
        <v>25</v>
      </c>
      <c r="D8" s="113">
        <v>25</v>
      </c>
      <c r="E8" s="114">
        <v>5</v>
      </c>
      <c r="F8" s="114">
        <v>5</v>
      </c>
      <c r="G8" s="114">
        <f t="shared" si="1"/>
        <v>2.5</v>
      </c>
      <c r="H8" s="115">
        <v>2.2799999999999998</v>
      </c>
      <c r="I8" s="115">
        <v>1.19</v>
      </c>
      <c r="J8" s="115">
        <f t="shared" si="2"/>
        <v>0.69590643274853792</v>
      </c>
      <c r="K8" s="115"/>
      <c r="L8" s="115">
        <f t="shared" si="3"/>
        <v>0.72244710848712212</v>
      </c>
      <c r="M8" s="115"/>
      <c r="N8" s="115">
        <f t="shared" si="4"/>
        <v>1.19</v>
      </c>
      <c r="O8" s="115">
        <f t="shared" si="5"/>
        <v>0.69590643274853792</v>
      </c>
      <c r="P8" s="115"/>
      <c r="Q8" s="115">
        <f t="shared" si="6"/>
        <v>0.72244710848712212</v>
      </c>
      <c r="R8" s="115"/>
      <c r="S8" s="115">
        <v>1.87</v>
      </c>
      <c r="T8" s="114">
        <v>17.7</v>
      </c>
      <c r="U8" s="115">
        <f t="shared" si="7"/>
        <v>1.0564971751412431</v>
      </c>
      <c r="V8" s="115">
        <f t="shared" si="8"/>
        <v>0.90563537839270136</v>
      </c>
      <c r="W8" s="115">
        <v>0.51</v>
      </c>
      <c r="X8" s="114">
        <v>11.2</v>
      </c>
      <c r="Y8" s="115">
        <f t="shared" si="13"/>
        <v>0.45535714285714285</v>
      </c>
      <c r="Z8" s="117">
        <f t="shared" si="9"/>
        <v>0.47295265146345866</v>
      </c>
      <c r="AA8" s="99">
        <f t="shared" si="10"/>
        <v>20.607300918301274</v>
      </c>
      <c r="AB8" s="99">
        <f t="shared" si="11"/>
        <v>1.2185672660481013</v>
      </c>
      <c r="AE8" s="113">
        <v>14</v>
      </c>
      <c r="AF8" s="113">
        <v>8</v>
      </c>
      <c r="AG8" s="113">
        <v>14</v>
      </c>
      <c r="AH8" s="113">
        <v>8</v>
      </c>
      <c r="AI8" s="114">
        <v>7.9</v>
      </c>
      <c r="AJ8" s="114">
        <f t="shared" si="12"/>
        <v>7.9</v>
      </c>
      <c r="AK8" s="116"/>
    </row>
    <row r="9" spans="1:37" s="99" customFormat="1" x14ac:dyDescent="0.2">
      <c r="A9" s="93" t="s">
        <v>253</v>
      </c>
      <c r="B9" s="96">
        <f t="shared" si="0"/>
        <v>1.3659000000000001</v>
      </c>
      <c r="C9" s="94">
        <v>30</v>
      </c>
      <c r="D9" s="94">
        <v>30</v>
      </c>
      <c r="E9" s="95">
        <v>3</v>
      </c>
      <c r="F9" s="95">
        <v>5</v>
      </c>
      <c r="G9" s="95">
        <f t="shared" si="1"/>
        <v>2.5</v>
      </c>
      <c r="H9" s="96">
        <v>1.74</v>
      </c>
      <c r="I9" s="96">
        <v>1.4</v>
      </c>
      <c r="J9" s="96">
        <f t="shared" si="2"/>
        <v>0.64814814814814814</v>
      </c>
      <c r="K9" s="96"/>
      <c r="L9" s="96">
        <f t="shared" si="3"/>
        <v>0.89699370184490435</v>
      </c>
      <c r="M9" s="96"/>
      <c r="N9" s="96">
        <f t="shared" si="4"/>
        <v>1.4</v>
      </c>
      <c r="O9" s="96">
        <f t="shared" si="5"/>
        <v>0.64814814814814814</v>
      </c>
      <c r="P9" s="96"/>
      <c r="Q9" s="96">
        <f t="shared" si="6"/>
        <v>0.89699370184490435</v>
      </c>
      <c r="R9" s="96"/>
      <c r="S9" s="96">
        <v>2.2200000000000002</v>
      </c>
      <c r="T9" s="95">
        <v>21.2</v>
      </c>
      <c r="U9" s="96">
        <f t="shared" si="7"/>
        <v>1.0471698113207548</v>
      </c>
      <c r="V9" s="96">
        <f t="shared" si="8"/>
        <v>1.1295406451144276</v>
      </c>
      <c r="W9" s="96">
        <v>0.59</v>
      </c>
      <c r="X9" s="95">
        <v>11.8</v>
      </c>
      <c r="Y9" s="96">
        <f t="shared" si="13"/>
        <v>0.49999999999999994</v>
      </c>
      <c r="Z9" s="98">
        <f t="shared" si="9"/>
        <v>0.58230615639036043</v>
      </c>
      <c r="AA9" s="99">
        <f t="shared" si="10"/>
        <v>27.124963119063032</v>
      </c>
      <c r="AB9" s="99">
        <f t="shared" si="11"/>
        <v>1.1831943530757025</v>
      </c>
      <c r="AE9" s="94">
        <v>18</v>
      </c>
      <c r="AF9" s="94">
        <v>8</v>
      </c>
      <c r="AG9" s="94">
        <v>18</v>
      </c>
      <c r="AH9" s="94">
        <v>8</v>
      </c>
      <c r="AI9" s="95">
        <v>8.4</v>
      </c>
      <c r="AJ9" s="95">
        <f t="shared" si="12"/>
        <v>8.4</v>
      </c>
      <c r="AK9" s="97"/>
    </row>
    <row r="10" spans="1:37" x14ac:dyDescent="0.2">
      <c r="A10" s="118" t="s">
        <v>254</v>
      </c>
      <c r="B10" s="121">
        <f t="shared" si="0"/>
        <v>1.57</v>
      </c>
      <c r="C10" s="119">
        <v>30</v>
      </c>
      <c r="D10" s="119">
        <v>30</v>
      </c>
      <c r="E10" s="120">
        <v>3.5</v>
      </c>
      <c r="F10" s="120">
        <v>5</v>
      </c>
      <c r="G10" s="120">
        <f t="shared" si="1"/>
        <v>2.5</v>
      </c>
      <c r="H10" s="121">
        <v>2</v>
      </c>
      <c r="I10" s="121">
        <v>1.61</v>
      </c>
      <c r="J10" s="121">
        <f t="shared" si="2"/>
        <v>0.75233644859813098</v>
      </c>
      <c r="K10" s="121"/>
      <c r="L10" s="121">
        <f t="shared" si="3"/>
        <v>0.89721792224631802</v>
      </c>
      <c r="M10" s="121"/>
      <c r="N10" s="121">
        <f t="shared" si="4"/>
        <v>1.61</v>
      </c>
      <c r="O10" s="121">
        <f t="shared" si="5"/>
        <v>0.75233644859813098</v>
      </c>
      <c r="P10" s="121"/>
      <c r="Q10" s="121">
        <f t="shared" si="6"/>
        <v>0.89721792224631802</v>
      </c>
      <c r="R10" s="121"/>
      <c r="S10" s="121">
        <v>2.5499999999999998</v>
      </c>
      <c r="T10" s="120">
        <v>21.2</v>
      </c>
      <c r="U10" s="121">
        <f t="shared" si="7"/>
        <v>1.2028301886792454</v>
      </c>
      <c r="V10" s="121">
        <f t="shared" si="8"/>
        <v>1.1291589790636214</v>
      </c>
      <c r="W10" s="121">
        <v>0.67</v>
      </c>
      <c r="X10" s="120">
        <v>12.1</v>
      </c>
      <c r="Y10" s="121">
        <f t="shared" si="13"/>
        <v>0.55371900826446285</v>
      </c>
      <c r="Z10" s="123">
        <f t="shared" si="9"/>
        <v>0.57879184513951132</v>
      </c>
      <c r="AA10" s="99">
        <f t="shared" si="10"/>
        <v>26.702378318028313</v>
      </c>
      <c r="AB10" s="99">
        <f t="shared" si="11"/>
        <v>1.3506533772743954</v>
      </c>
      <c r="AE10" s="119">
        <v>18</v>
      </c>
      <c r="AF10" s="119">
        <v>8</v>
      </c>
      <c r="AG10" s="119">
        <v>18</v>
      </c>
      <c r="AH10" s="119">
        <v>8</v>
      </c>
      <c r="AI10" s="120">
        <v>8.6</v>
      </c>
      <c r="AJ10" s="120">
        <f t="shared" si="12"/>
        <v>8.6</v>
      </c>
      <c r="AK10" s="122"/>
    </row>
    <row r="11" spans="1:37" x14ac:dyDescent="0.2">
      <c r="A11" s="118" t="s">
        <v>255</v>
      </c>
      <c r="B11" s="121">
        <f t="shared" si="0"/>
        <v>1.7819500000000001</v>
      </c>
      <c r="C11" s="119">
        <v>30</v>
      </c>
      <c r="D11" s="119">
        <v>30</v>
      </c>
      <c r="E11" s="120">
        <v>4</v>
      </c>
      <c r="F11" s="120">
        <v>5</v>
      </c>
      <c r="G11" s="120">
        <f t="shared" si="1"/>
        <v>2.5</v>
      </c>
      <c r="H11" s="121">
        <v>2.27</v>
      </c>
      <c r="I11" s="121">
        <v>1.8</v>
      </c>
      <c r="J11" s="121">
        <f t="shared" si="2"/>
        <v>0.84905660377358494</v>
      </c>
      <c r="K11" s="121"/>
      <c r="L11" s="121">
        <f t="shared" si="3"/>
        <v>0.89047826579328726</v>
      </c>
      <c r="M11" s="121"/>
      <c r="N11" s="121">
        <f t="shared" si="4"/>
        <v>1.8</v>
      </c>
      <c r="O11" s="121">
        <f t="shared" si="5"/>
        <v>0.84905660377358494</v>
      </c>
      <c r="P11" s="121"/>
      <c r="Q11" s="121">
        <f t="shared" si="6"/>
        <v>0.89047826579328726</v>
      </c>
      <c r="R11" s="121"/>
      <c r="S11" s="121">
        <v>2.85</v>
      </c>
      <c r="T11" s="120">
        <v>21.2</v>
      </c>
      <c r="U11" s="121">
        <f t="shared" si="7"/>
        <v>1.3443396226415094</v>
      </c>
      <c r="V11" s="121">
        <f t="shared" si="8"/>
        <v>1.1204939124910565</v>
      </c>
      <c r="W11" s="121">
        <v>0.75</v>
      </c>
      <c r="X11" s="120">
        <v>12.4</v>
      </c>
      <c r="Y11" s="121">
        <f t="shared" si="13"/>
        <v>0.60483870967741937</v>
      </c>
      <c r="Z11" s="123">
        <f t="shared" si="9"/>
        <v>0.57480124892951057</v>
      </c>
      <c r="AA11" s="99">
        <f t="shared" si="10"/>
        <v>26.291703547603632</v>
      </c>
      <c r="AB11" s="99">
        <f t="shared" si="11"/>
        <v>1.5114932982206553</v>
      </c>
      <c r="AE11" s="119">
        <v>18</v>
      </c>
      <c r="AF11" s="119">
        <v>8</v>
      </c>
      <c r="AG11" s="119">
        <v>18</v>
      </c>
      <c r="AH11" s="119">
        <v>8</v>
      </c>
      <c r="AI11" s="120">
        <v>8.8000000000000007</v>
      </c>
      <c r="AJ11" s="120">
        <f t="shared" si="12"/>
        <v>8.8000000000000007</v>
      </c>
      <c r="AK11" s="122"/>
    </row>
    <row r="12" spans="1:37" x14ac:dyDescent="0.2">
      <c r="A12" s="118" t="s">
        <v>256</v>
      </c>
      <c r="B12" s="121">
        <f t="shared" si="0"/>
        <v>2.1823000000000001</v>
      </c>
      <c r="C12" s="119">
        <v>30</v>
      </c>
      <c r="D12" s="119">
        <v>30</v>
      </c>
      <c r="E12" s="120">
        <v>5</v>
      </c>
      <c r="F12" s="120">
        <v>5</v>
      </c>
      <c r="G12" s="120">
        <f t="shared" si="1"/>
        <v>2.5</v>
      </c>
      <c r="H12" s="121">
        <v>2.78</v>
      </c>
      <c r="I12" s="121">
        <v>2.16</v>
      </c>
      <c r="J12" s="121">
        <f t="shared" si="2"/>
        <v>1.0384615384615385</v>
      </c>
      <c r="K12" s="121"/>
      <c r="L12" s="121">
        <f t="shared" si="3"/>
        <v>0.88146379237390526</v>
      </c>
      <c r="M12" s="121"/>
      <c r="N12" s="121">
        <f t="shared" si="4"/>
        <v>2.16</v>
      </c>
      <c r="O12" s="121">
        <f t="shared" si="5"/>
        <v>1.0384615384615385</v>
      </c>
      <c r="P12" s="121"/>
      <c r="Q12" s="121">
        <f t="shared" si="6"/>
        <v>0.88146379237390526</v>
      </c>
      <c r="R12" s="121"/>
      <c r="S12" s="121">
        <v>3.41</v>
      </c>
      <c r="T12" s="120">
        <v>21.2</v>
      </c>
      <c r="U12" s="121">
        <f t="shared" si="7"/>
        <v>1.608490566037736</v>
      </c>
      <c r="V12" s="121">
        <f t="shared" si="8"/>
        <v>1.1075281960455776</v>
      </c>
      <c r="W12" s="121">
        <v>0.92</v>
      </c>
      <c r="X12" s="120">
        <v>13</v>
      </c>
      <c r="Y12" s="121">
        <f t="shared" si="13"/>
        <v>0.70769230769230773</v>
      </c>
      <c r="Z12" s="123">
        <f t="shared" si="9"/>
        <v>0.57526972091233974</v>
      </c>
      <c r="AA12" s="99">
        <f t="shared" si="10"/>
        <v>25.506084098584395</v>
      </c>
      <c r="AB12" s="99">
        <f t="shared" si="11"/>
        <v>1.8157687762363903</v>
      </c>
      <c r="AE12" s="119">
        <v>18</v>
      </c>
      <c r="AF12" s="119">
        <v>8</v>
      </c>
      <c r="AG12" s="119">
        <f>AE12</f>
        <v>18</v>
      </c>
      <c r="AH12" s="119">
        <f>AF12</f>
        <v>8</v>
      </c>
      <c r="AI12" s="120">
        <v>9.1999999999999993</v>
      </c>
      <c r="AJ12" s="120">
        <f t="shared" si="12"/>
        <v>9.1999999999999993</v>
      </c>
      <c r="AK12" s="122"/>
    </row>
    <row r="13" spans="1:37" s="99" customFormat="1" x14ac:dyDescent="0.2">
      <c r="A13" s="100" t="s">
        <v>257</v>
      </c>
      <c r="B13" s="103">
        <f t="shared" si="0"/>
        <v>1.8369</v>
      </c>
      <c r="C13" s="101">
        <v>35</v>
      </c>
      <c r="D13" s="101">
        <v>35</v>
      </c>
      <c r="E13" s="102">
        <v>3.5</v>
      </c>
      <c r="F13" s="102">
        <v>4</v>
      </c>
      <c r="G13" s="102">
        <f t="shared" si="1"/>
        <v>2</v>
      </c>
      <c r="H13" s="103">
        <v>2.34</v>
      </c>
      <c r="I13" s="103">
        <v>2.66</v>
      </c>
      <c r="J13" s="103">
        <f t="shared" si="2"/>
        <v>1.0597609561752988</v>
      </c>
      <c r="K13" s="103"/>
      <c r="L13" s="103">
        <f t="shared" si="3"/>
        <v>1.0661857890406048</v>
      </c>
      <c r="M13" s="103"/>
      <c r="N13" s="103">
        <f t="shared" si="4"/>
        <v>2.66</v>
      </c>
      <c r="O13" s="103">
        <f t="shared" si="5"/>
        <v>1.0597609561752988</v>
      </c>
      <c r="P13" s="103"/>
      <c r="Q13" s="103">
        <f t="shared" si="6"/>
        <v>1.0661857890406048</v>
      </c>
      <c r="R13" s="103"/>
      <c r="S13" s="103">
        <v>4.22</v>
      </c>
      <c r="T13" s="102">
        <v>24.7</v>
      </c>
      <c r="U13" s="103">
        <f t="shared" si="7"/>
        <v>1.7085020242914979</v>
      </c>
      <c r="V13" s="103">
        <f t="shared" si="8"/>
        <v>1.3429142948895896</v>
      </c>
      <c r="W13" s="103">
        <v>1.1100000000000001</v>
      </c>
      <c r="X13" s="102">
        <v>14</v>
      </c>
      <c r="Y13" s="103">
        <f t="shared" si="13"/>
        <v>0.79285714285714293</v>
      </c>
      <c r="Z13" s="105">
        <f t="shared" si="9"/>
        <v>0.68873723172119461</v>
      </c>
      <c r="AA13" s="99">
        <f t="shared" si="10"/>
        <v>31.701058794444595</v>
      </c>
      <c r="AB13" s="99">
        <f t="shared" si="11"/>
        <v>1.872506046749401</v>
      </c>
      <c r="AE13" s="101">
        <v>20</v>
      </c>
      <c r="AF13" s="101">
        <v>10</v>
      </c>
      <c r="AG13" s="101">
        <f t="shared" ref="AG13:AH42" si="14">AE13</f>
        <v>20</v>
      </c>
      <c r="AH13" s="101">
        <f t="shared" si="14"/>
        <v>10</v>
      </c>
      <c r="AI13" s="102">
        <v>9.9</v>
      </c>
      <c r="AJ13" s="102">
        <f t="shared" si="12"/>
        <v>9.9</v>
      </c>
      <c r="AK13" s="104"/>
    </row>
    <row r="14" spans="1:37" x14ac:dyDescent="0.2">
      <c r="A14" s="106" t="s">
        <v>258</v>
      </c>
      <c r="B14" s="109">
        <f t="shared" si="0"/>
        <v>2.0959500000000002</v>
      </c>
      <c r="C14" s="107">
        <v>35</v>
      </c>
      <c r="D14" s="107">
        <v>35</v>
      </c>
      <c r="E14" s="108">
        <v>4</v>
      </c>
      <c r="F14" s="108">
        <v>5</v>
      </c>
      <c r="G14" s="108">
        <f t="shared" si="1"/>
        <v>2.5</v>
      </c>
      <c r="H14" s="109">
        <v>2.67</v>
      </c>
      <c r="I14" s="109">
        <v>2.95</v>
      </c>
      <c r="J14" s="109">
        <f t="shared" si="2"/>
        <v>1.18</v>
      </c>
      <c r="K14" s="109"/>
      <c r="L14" s="109">
        <f t="shared" si="3"/>
        <v>1.0511274489126796</v>
      </c>
      <c r="M14" s="109"/>
      <c r="N14" s="109">
        <f t="shared" si="4"/>
        <v>2.95</v>
      </c>
      <c r="O14" s="109">
        <f t="shared" si="5"/>
        <v>1.18</v>
      </c>
      <c r="P14" s="109"/>
      <c r="Q14" s="109">
        <f t="shared" si="6"/>
        <v>1.0511274489126796</v>
      </c>
      <c r="R14" s="109"/>
      <c r="S14" s="109">
        <v>4.68</v>
      </c>
      <c r="T14" s="108">
        <v>24.7</v>
      </c>
      <c r="U14" s="109">
        <f t="shared" si="7"/>
        <v>1.8947368421052631</v>
      </c>
      <c r="V14" s="109">
        <f t="shared" si="8"/>
        <v>1.3239369277892528</v>
      </c>
      <c r="W14" s="109">
        <v>1.23</v>
      </c>
      <c r="X14" s="108">
        <v>14.2</v>
      </c>
      <c r="Y14" s="109">
        <f t="shared" si="13"/>
        <v>0.86619718309859162</v>
      </c>
      <c r="Z14" s="111">
        <f t="shared" si="9"/>
        <v>0.67872981170961599</v>
      </c>
      <c r="AA14" s="99">
        <f t="shared" si="10"/>
        <v>31.25003161223168</v>
      </c>
      <c r="AB14" s="99">
        <f t="shared" si="11"/>
        <v>2.103970290496433</v>
      </c>
      <c r="AE14" s="107">
        <v>20</v>
      </c>
      <c r="AF14" s="107">
        <v>10</v>
      </c>
      <c r="AG14" s="107">
        <f t="shared" si="14"/>
        <v>20</v>
      </c>
      <c r="AH14" s="107">
        <f t="shared" si="14"/>
        <v>10</v>
      </c>
      <c r="AI14" s="108">
        <v>10</v>
      </c>
      <c r="AJ14" s="108">
        <f t="shared" si="12"/>
        <v>10</v>
      </c>
      <c r="AK14" s="110"/>
    </row>
    <row r="15" spans="1:37" x14ac:dyDescent="0.2">
      <c r="A15" s="112" t="s">
        <v>259</v>
      </c>
      <c r="B15" s="115">
        <f t="shared" si="0"/>
        <v>2.5747999999999998</v>
      </c>
      <c r="C15" s="113">
        <v>35</v>
      </c>
      <c r="D15" s="113">
        <v>35</v>
      </c>
      <c r="E15" s="114">
        <v>5</v>
      </c>
      <c r="F15" s="114">
        <v>5</v>
      </c>
      <c r="G15" s="114">
        <f t="shared" si="1"/>
        <v>2.5</v>
      </c>
      <c r="H15" s="115">
        <v>3.28</v>
      </c>
      <c r="I15" s="115">
        <v>3.56</v>
      </c>
      <c r="J15" s="115">
        <f t="shared" si="2"/>
        <v>1.4471544715447153</v>
      </c>
      <c r="K15" s="115"/>
      <c r="L15" s="115">
        <f t="shared" si="3"/>
        <v>1.0418089333743192</v>
      </c>
      <c r="M15" s="115"/>
      <c r="N15" s="115">
        <f t="shared" si="4"/>
        <v>3.56</v>
      </c>
      <c r="O15" s="115">
        <f t="shared" si="5"/>
        <v>1.4471544715447153</v>
      </c>
      <c r="P15" s="115"/>
      <c r="Q15" s="115">
        <f t="shared" si="6"/>
        <v>1.0418089333743192</v>
      </c>
      <c r="R15" s="115"/>
      <c r="S15" s="115">
        <v>5.64</v>
      </c>
      <c r="T15" s="114">
        <v>24.7</v>
      </c>
      <c r="U15" s="115">
        <f t="shared" si="7"/>
        <v>2.283400809716599</v>
      </c>
      <c r="V15" s="115">
        <f t="shared" si="8"/>
        <v>1.3113017178063755</v>
      </c>
      <c r="W15" s="115">
        <v>1.49</v>
      </c>
      <c r="X15" s="114">
        <v>14.8</v>
      </c>
      <c r="Y15" s="115">
        <f t="shared" si="13"/>
        <v>1.0067567567567568</v>
      </c>
      <c r="Z15" s="117">
        <f t="shared" si="9"/>
        <v>0.67399428238148051</v>
      </c>
      <c r="AA15" s="99">
        <f t="shared" si="10"/>
        <v>30.433786370215195</v>
      </c>
      <c r="AB15" s="99">
        <f t="shared" si="11"/>
        <v>2.5381856372396059</v>
      </c>
      <c r="AE15" s="113">
        <v>20</v>
      </c>
      <c r="AF15" s="113">
        <v>10</v>
      </c>
      <c r="AG15" s="113">
        <f t="shared" si="14"/>
        <v>20</v>
      </c>
      <c r="AH15" s="113">
        <f t="shared" si="14"/>
        <v>10</v>
      </c>
      <c r="AI15" s="114">
        <v>10.4</v>
      </c>
      <c r="AJ15" s="114">
        <f t="shared" si="12"/>
        <v>10.4</v>
      </c>
      <c r="AK15" s="116"/>
    </row>
    <row r="16" spans="1:37" s="99" customFormat="1" x14ac:dyDescent="0.2">
      <c r="A16" s="93" t="s">
        <v>260</v>
      </c>
      <c r="B16" s="96">
        <f t="shared" si="0"/>
        <v>1.8369</v>
      </c>
      <c r="C16" s="94">
        <v>40</v>
      </c>
      <c r="D16" s="94">
        <v>40</v>
      </c>
      <c r="E16" s="95">
        <v>3</v>
      </c>
      <c r="F16" s="95">
        <v>5</v>
      </c>
      <c r="G16" s="95">
        <f t="shared" si="1"/>
        <v>2.5</v>
      </c>
      <c r="H16" s="96">
        <v>2.34</v>
      </c>
      <c r="I16" s="96">
        <v>3.49</v>
      </c>
      <c r="J16" s="96">
        <f t="shared" si="2"/>
        <v>1.195205479452055</v>
      </c>
      <c r="K16" s="96"/>
      <c r="L16" s="96">
        <f t="shared" si="3"/>
        <v>1.2212505850369086</v>
      </c>
      <c r="M16" s="96"/>
      <c r="N16" s="96">
        <f t="shared" si="4"/>
        <v>3.49</v>
      </c>
      <c r="O16" s="96">
        <f t="shared" si="5"/>
        <v>1.195205479452055</v>
      </c>
      <c r="P16" s="96"/>
      <c r="Q16" s="96">
        <f t="shared" si="6"/>
        <v>1.2212505850369086</v>
      </c>
      <c r="R16" s="96"/>
      <c r="S16" s="96">
        <v>5.53</v>
      </c>
      <c r="T16" s="95">
        <v>28.3</v>
      </c>
      <c r="U16" s="96">
        <f t="shared" si="7"/>
        <v>1.9540636042402828</v>
      </c>
      <c r="V16" s="96">
        <f t="shared" si="8"/>
        <v>1.5372858755767786</v>
      </c>
      <c r="W16" s="96">
        <v>1.45</v>
      </c>
      <c r="X16" s="95">
        <v>15.3</v>
      </c>
      <c r="Y16" s="96">
        <f t="shared" si="13"/>
        <v>0.94771241830065356</v>
      </c>
      <c r="Z16" s="98">
        <f t="shared" si="9"/>
        <v>0.78718366323121802</v>
      </c>
      <c r="AA16" s="99">
        <f t="shared" si="10"/>
        <v>37.093722339297273</v>
      </c>
      <c r="AB16" s="99">
        <f t="shared" si="11"/>
        <v>2.1686762958763222</v>
      </c>
      <c r="AE16" s="94">
        <v>22</v>
      </c>
      <c r="AF16" s="94">
        <v>12</v>
      </c>
      <c r="AG16" s="94">
        <f t="shared" si="14"/>
        <v>22</v>
      </c>
      <c r="AH16" s="94">
        <f t="shared" si="14"/>
        <v>12</v>
      </c>
      <c r="AI16" s="95">
        <v>10.8</v>
      </c>
      <c r="AJ16" s="95">
        <f t="shared" si="12"/>
        <v>10.8</v>
      </c>
      <c r="AK16" s="97"/>
    </row>
    <row r="17" spans="1:37" x14ac:dyDescent="0.2">
      <c r="A17" s="118" t="s">
        <v>261</v>
      </c>
      <c r="B17" s="121">
        <f t="shared" si="0"/>
        <v>2.4178000000000002</v>
      </c>
      <c r="C17" s="119">
        <v>40</v>
      </c>
      <c r="D17" s="119">
        <v>40</v>
      </c>
      <c r="E17" s="120">
        <v>4</v>
      </c>
      <c r="F17" s="120">
        <v>6</v>
      </c>
      <c r="G17" s="120">
        <f t="shared" si="1"/>
        <v>3</v>
      </c>
      <c r="H17" s="121">
        <v>3.08</v>
      </c>
      <c r="I17" s="121">
        <v>4.47</v>
      </c>
      <c r="J17" s="121">
        <f t="shared" si="2"/>
        <v>1.552083333333333</v>
      </c>
      <c r="K17" s="121"/>
      <c r="L17" s="121">
        <f t="shared" si="3"/>
        <v>1.2046985935489014</v>
      </c>
      <c r="M17" s="121"/>
      <c r="N17" s="121">
        <f t="shared" si="4"/>
        <v>4.47</v>
      </c>
      <c r="O17" s="121">
        <f t="shared" si="5"/>
        <v>1.552083333333333</v>
      </c>
      <c r="P17" s="121"/>
      <c r="Q17" s="121">
        <f t="shared" si="6"/>
        <v>1.2046985935489014</v>
      </c>
      <c r="R17" s="121"/>
      <c r="S17" s="121">
        <v>7.09</v>
      </c>
      <c r="T17" s="120">
        <v>28.3</v>
      </c>
      <c r="U17" s="121">
        <f t="shared" si="7"/>
        <v>2.5053003533568905</v>
      </c>
      <c r="V17" s="121">
        <f t="shared" si="8"/>
        <v>1.5172172065818565</v>
      </c>
      <c r="W17" s="121">
        <v>1.86</v>
      </c>
      <c r="X17" s="120">
        <v>15.8</v>
      </c>
      <c r="Y17" s="121">
        <f t="shared" si="13"/>
        <v>1.1772151898734178</v>
      </c>
      <c r="Z17" s="123">
        <f t="shared" si="9"/>
        <v>0.7771075240248958</v>
      </c>
      <c r="AA17" s="99">
        <f t="shared" si="10"/>
        <v>36.189269908169869</v>
      </c>
      <c r="AB17" s="99">
        <f t="shared" si="11"/>
        <v>2.800845323754209</v>
      </c>
      <c r="AE17" s="119">
        <v>22</v>
      </c>
      <c r="AF17" s="119">
        <v>12</v>
      </c>
      <c r="AG17" s="119">
        <f t="shared" si="14"/>
        <v>22</v>
      </c>
      <c r="AH17" s="119">
        <f t="shared" si="14"/>
        <v>12</v>
      </c>
      <c r="AI17" s="120">
        <v>11.2</v>
      </c>
      <c r="AJ17" s="120">
        <f t="shared" si="12"/>
        <v>11.2</v>
      </c>
      <c r="AK17" s="122"/>
    </row>
    <row r="18" spans="1:37" x14ac:dyDescent="0.2">
      <c r="A18" s="118" t="s">
        <v>262</v>
      </c>
      <c r="B18" s="121">
        <f t="shared" si="0"/>
        <v>2.9751500000000002</v>
      </c>
      <c r="C18" s="119">
        <v>40</v>
      </c>
      <c r="D18" s="119">
        <v>40</v>
      </c>
      <c r="E18" s="120">
        <v>5</v>
      </c>
      <c r="F18" s="120">
        <v>6</v>
      </c>
      <c r="G18" s="120">
        <f t="shared" si="1"/>
        <v>3</v>
      </c>
      <c r="H18" s="121">
        <v>3.79</v>
      </c>
      <c r="I18" s="121">
        <v>5.43</v>
      </c>
      <c r="J18" s="121">
        <f t="shared" si="2"/>
        <v>1.9119718309859155</v>
      </c>
      <c r="K18" s="121"/>
      <c r="L18" s="121">
        <f t="shared" si="3"/>
        <v>1.196961853235208</v>
      </c>
      <c r="M18" s="121"/>
      <c r="N18" s="121">
        <f t="shared" si="4"/>
        <v>5.43</v>
      </c>
      <c r="O18" s="121">
        <f t="shared" si="5"/>
        <v>1.9119718309859155</v>
      </c>
      <c r="P18" s="121"/>
      <c r="Q18" s="121">
        <f t="shared" si="6"/>
        <v>1.196961853235208</v>
      </c>
      <c r="R18" s="121"/>
      <c r="S18" s="121">
        <v>8.59</v>
      </c>
      <c r="T18" s="120">
        <v>28.3</v>
      </c>
      <c r="U18" s="121">
        <f t="shared" si="7"/>
        <v>3.0353356890459366</v>
      </c>
      <c r="V18" s="121">
        <f t="shared" si="8"/>
        <v>1.5054868864163196</v>
      </c>
      <c r="W18" s="121">
        <v>2.2599999999999998</v>
      </c>
      <c r="X18" s="120">
        <v>16.399999999999999</v>
      </c>
      <c r="Y18" s="121">
        <f t="shared" si="13"/>
        <v>1.3780487804878048</v>
      </c>
      <c r="Z18" s="123">
        <f t="shared" si="9"/>
        <v>0.77220856548058514</v>
      </c>
      <c r="AA18" s="99">
        <f t="shared" si="10"/>
        <v>35.350055321405442</v>
      </c>
      <c r="AB18" s="99">
        <f t="shared" si="11"/>
        <v>3.3901925928242149</v>
      </c>
      <c r="AE18" s="119">
        <v>22</v>
      </c>
      <c r="AF18" s="119">
        <v>12</v>
      </c>
      <c r="AG18" s="119">
        <f t="shared" si="14"/>
        <v>22</v>
      </c>
      <c r="AH18" s="119">
        <f t="shared" si="14"/>
        <v>12</v>
      </c>
      <c r="AI18" s="120">
        <v>11.6</v>
      </c>
      <c r="AJ18" s="120">
        <f t="shared" si="12"/>
        <v>11.6</v>
      </c>
      <c r="AK18" s="122"/>
    </row>
    <row r="19" spans="1:37" x14ac:dyDescent="0.2">
      <c r="A19" s="118" t="s">
        <v>263</v>
      </c>
      <c r="B19" s="121">
        <f t="shared" si="0"/>
        <v>3.5168000000000004</v>
      </c>
      <c r="C19" s="119">
        <v>40</v>
      </c>
      <c r="D19" s="119">
        <v>40</v>
      </c>
      <c r="E19" s="120">
        <v>6</v>
      </c>
      <c r="F19" s="120">
        <v>6</v>
      </c>
      <c r="G19" s="120">
        <f t="shared" si="1"/>
        <v>3</v>
      </c>
      <c r="H19" s="121">
        <v>4.4800000000000004</v>
      </c>
      <c r="I19" s="121">
        <v>6.31</v>
      </c>
      <c r="J19" s="121">
        <f t="shared" si="2"/>
        <v>2.2535714285714286</v>
      </c>
      <c r="K19" s="121"/>
      <c r="L19" s="121">
        <f t="shared" si="3"/>
        <v>1.1867949034509471</v>
      </c>
      <c r="M19" s="121"/>
      <c r="N19" s="121">
        <f t="shared" si="4"/>
        <v>6.31</v>
      </c>
      <c r="O19" s="121">
        <f t="shared" si="5"/>
        <v>2.2535714285714286</v>
      </c>
      <c r="P19" s="121"/>
      <c r="Q19" s="121">
        <f t="shared" si="6"/>
        <v>1.1867949034509471</v>
      </c>
      <c r="R19" s="121"/>
      <c r="S19" s="121">
        <v>9.98</v>
      </c>
      <c r="T19" s="120">
        <v>28.3</v>
      </c>
      <c r="U19" s="121">
        <f t="shared" si="7"/>
        <v>3.5265017667844525</v>
      </c>
      <c r="V19" s="121">
        <f t="shared" si="8"/>
        <v>1.4925409781404901</v>
      </c>
      <c r="W19" s="121">
        <v>2.65</v>
      </c>
      <c r="X19" s="120">
        <v>17</v>
      </c>
      <c r="Y19" s="121">
        <f t="shared" si="13"/>
        <v>1.5588235294117647</v>
      </c>
      <c r="Z19" s="123">
        <f t="shared" si="9"/>
        <v>0.76910198097707239</v>
      </c>
      <c r="AA19" s="99">
        <f t="shared" si="10"/>
        <v>34.546570826471147</v>
      </c>
      <c r="AB19" s="99">
        <f t="shared" si="11"/>
        <v>3.9458384974285066</v>
      </c>
      <c r="AE19" s="119">
        <v>22</v>
      </c>
      <c r="AF19" s="119">
        <v>12</v>
      </c>
      <c r="AG19" s="119">
        <f t="shared" si="14"/>
        <v>22</v>
      </c>
      <c r="AH19" s="119">
        <f t="shared" si="14"/>
        <v>12</v>
      </c>
      <c r="AI19" s="120">
        <v>12</v>
      </c>
      <c r="AJ19" s="120">
        <f t="shared" si="12"/>
        <v>12</v>
      </c>
      <c r="AK19" s="122"/>
    </row>
    <row r="20" spans="1:37" s="99" customFormat="1" x14ac:dyDescent="0.2">
      <c r="A20" s="100" t="s">
        <v>264</v>
      </c>
      <c r="B20" s="103">
        <f t="shared" si="0"/>
        <v>2.0724</v>
      </c>
      <c r="C20" s="101">
        <v>45</v>
      </c>
      <c r="D20" s="101">
        <v>45</v>
      </c>
      <c r="E20" s="102">
        <v>3</v>
      </c>
      <c r="F20" s="102">
        <v>5</v>
      </c>
      <c r="G20" s="102">
        <f t="shared" si="1"/>
        <v>2.5</v>
      </c>
      <c r="H20" s="103">
        <v>2.64</v>
      </c>
      <c r="I20" s="103">
        <v>5.05</v>
      </c>
      <c r="J20" s="103">
        <f t="shared" si="2"/>
        <v>1.5349544072948329</v>
      </c>
      <c r="K20" s="103"/>
      <c r="L20" s="103">
        <f t="shared" si="3"/>
        <v>1.3830686128601095</v>
      </c>
      <c r="M20" s="103"/>
      <c r="N20" s="103">
        <f t="shared" si="4"/>
        <v>5.05</v>
      </c>
      <c r="O20" s="103">
        <f t="shared" si="5"/>
        <v>1.5349544072948329</v>
      </c>
      <c r="P20" s="103"/>
      <c r="Q20" s="103">
        <f t="shared" si="6"/>
        <v>1.3830686128601095</v>
      </c>
      <c r="R20" s="103"/>
      <c r="S20" s="103">
        <v>8.01</v>
      </c>
      <c r="T20" s="102">
        <v>31.8</v>
      </c>
      <c r="U20" s="103">
        <f t="shared" si="7"/>
        <v>2.5188679245283017</v>
      </c>
      <c r="V20" s="103">
        <f t="shared" si="8"/>
        <v>1.7418642051236108</v>
      </c>
      <c r="W20" s="103">
        <v>2.09</v>
      </c>
      <c r="X20" s="102">
        <v>17.100000000000001</v>
      </c>
      <c r="Y20" s="103">
        <f t="shared" si="13"/>
        <v>1.2222222222222221</v>
      </c>
      <c r="Z20" s="105">
        <f t="shared" si="9"/>
        <v>0.88975652100260927</v>
      </c>
      <c r="AA20" s="99">
        <f t="shared" si="10"/>
        <v>42.083308746042029</v>
      </c>
      <c r="AB20" s="99">
        <f t="shared" si="11"/>
        <v>2.7739499479457304</v>
      </c>
      <c r="AE20" s="101">
        <v>25</v>
      </c>
      <c r="AF20" s="101">
        <v>12</v>
      </c>
      <c r="AG20" s="101">
        <f t="shared" si="14"/>
        <v>25</v>
      </c>
      <c r="AH20" s="101">
        <f t="shared" si="14"/>
        <v>12</v>
      </c>
      <c r="AI20" s="102">
        <v>12.1</v>
      </c>
      <c r="AJ20" s="102">
        <f t="shared" si="12"/>
        <v>12.1</v>
      </c>
      <c r="AK20" s="104"/>
    </row>
    <row r="21" spans="1:37" x14ac:dyDescent="0.2">
      <c r="A21" s="106" t="s">
        <v>265</v>
      </c>
      <c r="B21" s="109">
        <f t="shared" si="0"/>
        <v>2.7239500000000003</v>
      </c>
      <c r="C21" s="107">
        <v>45</v>
      </c>
      <c r="D21" s="107">
        <v>45</v>
      </c>
      <c r="E21" s="108">
        <v>4</v>
      </c>
      <c r="F21" s="108">
        <v>5</v>
      </c>
      <c r="G21" s="108">
        <f t="shared" si="1"/>
        <v>2.5</v>
      </c>
      <c r="H21" s="109">
        <v>3.47</v>
      </c>
      <c r="I21" s="109">
        <v>6.55</v>
      </c>
      <c r="J21" s="109">
        <f t="shared" si="2"/>
        <v>2.0153846153846153</v>
      </c>
      <c r="K21" s="109"/>
      <c r="L21" s="109">
        <f t="shared" si="3"/>
        <v>1.373902496236274</v>
      </c>
      <c r="M21" s="109"/>
      <c r="N21" s="109">
        <f t="shared" si="4"/>
        <v>6.55</v>
      </c>
      <c r="O21" s="109">
        <f t="shared" si="5"/>
        <v>2.0153846153846153</v>
      </c>
      <c r="P21" s="109"/>
      <c r="Q21" s="109">
        <f t="shared" si="6"/>
        <v>1.373902496236274</v>
      </c>
      <c r="R21" s="109"/>
      <c r="S21" s="109">
        <v>10.4</v>
      </c>
      <c r="T21" s="108">
        <v>31.8</v>
      </c>
      <c r="U21" s="109">
        <f t="shared" si="7"/>
        <v>3.2704402515723268</v>
      </c>
      <c r="V21" s="109">
        <f t="shared" si="8"/>
        <v>1.731218690870566</v>
      </c>
      <c r="W21" s="109">
        <v>2.7</v>
      </c>
      <c r="X21" s="108">
        <v>17.7</v>
      </c>
      <c r="Y21" s="109">
        <f t="shared" si="13"/>
        <v>1.5254237288135595</v>
      </c>
      <c r="Z21" s="111">
        <f t="shared" si="9"/>
        <v>0.8820986241395764</v>
      </c>
      <c r="AA21" s="99">
        <f t="shared" si="10"/>
        <v>41.194469031735757</v>
      </c>
      <c r="AB21" s="99">
        <f t="shared" si="11"/>
        <v>3.5891392385095404</v>
      </c>
      <c r="AE21" s="107">
        <v>25</v>
      </c>
      <c r="AF21" s="107">
        <v>12</v>
      </c>
      <c r="AG21" s="107">
        <f t="shared" si="14"/>
        <v>25</v>
      </c>
      <c r="AH21" s="107">
        <f t="shared" si="14"/>
        <v>12</v>
      </c>
      <c r="AI21" s="108">
        <v>12.5</v>
      </c>
      <c r="AJ21" s="108">
        <f t="shared" si="12"/>
        <v>12.5</v>
      </c>
      <c r="AK21" s="110"/>
    </row>
    <row r="22" spans="1:37" x14ac:dyDescent="0.2">
      <c r="A22" s="106" t="s">
        <v>266</v>
      </c>
      <c r="B22" s="109">
        <f t="shared" si="0"/>
        <v>3.0615000000000001</v>
      </c>
      <c r="C22" s="107">
        <v>45</v>
      </c>
      <c r="D22" s="107">
        <v>45</v>
      </c>
      <c r="E22" s="108">
        <v>4.5</v>
      </c>
      <c r="F22" s="108">
        <v>7</v>
      </c>
      <c r="G22" s="108">
        <f t="shared" si="1"/>
        <v>3.5</v>
      </c>
      <c r="H22" s="109">
        <v>3.9</v>
      </c>
      <c r="I22" s="109">
        <v>7.15</v>
      </c>
      <c r="J22" s="109">
        <f t="shared" si="2"/>
        <v>2.2067901234567904</v>
      </c>
      <c r="K22" s="109"/>
      <c r="L22" s="109">
        <f t="shared" si="3"/>
        <v>1.3540064007726602</v>
      </c>
      <c r="M22" s="109"/>
      <c r="N22" s="109">
        <f t="shared" si="4"/>
        <v>7.15</v>
      </c>
      <c r="O22" s="109">
        <f t="shared" si="5"/>
        <v>2.2067901234567904</v>
      </c>
      <c r="P22" s="109"/>
      <c r="Q22" s="109">
        <f t="shared" si="6"/>
        <v>1.3540064007726602</v>
      </c>
      <c r="R22" s="109"/>
      <c r="S22" s="109">
        <v>11.32</v>
      </c>
      <c r="T22" s="108">
        <v>31.8</v>
      </c>
      <c r="U22" s="109">
        <f t="shared" si="7"/>
        <v>3.5597484276729561</v>
      </c>
      <c r="V22" s="109">
        <f t="shared" si="8"/>
        <v>1.7036913166897643</v>
      </c>
      <c r="W22" s="109">
        <v>2.97</v>
      </c>
      <c r="X22" s="108">
        <v>17.8</v>
      </c>
      <c r="Y22" s="109">
        <f t="shared" si="13"/>
        <v>1.6685393258426968</v>
      </c>
      <c r="Z22" s="111">
        <f t="shared" si="9"/>
        <v>0.87266171082410948</v>
      </c>
      <c r="AA22" s="99">
        <f t="shared" si="10"/>
        <v>40.704732048765315</v>
      </c>
      <c r="AB22" s="99">
        <f t="shared" si="11"/>
        <v>3.9895896544901004</v>
      </c>
      <c r="AE22" s="107">
        <v>25</v>
      </c>
      <c r="AF22" s="107">
        <v>12</v>
      </c>
      <c r="AG22" s="107">
        <f t="shared" si="14"/>
        <v>25</v>
      </c>
      <c r="AH22" s="107">
        <f t="shared" si="14"/>
        <v>12</v>
      </c>
      <c r="AI22" s="108">
        <v>12.6</v>
      </c>
      <c r="AJ22" s="108">
        <f t="shared" si="12"/>
        <v>12.6</v>
      </c>
      <c r="AK22" s="110"/>
    </row>
    <row r="23" spans="1:37" x14ac:dyDescent="0.2">
      <c r="A23" s="106" t="s">
        <v>267</v>
      </c>
      <c r="B23" s="109">
        <f t="shared" si="0"/>
        <v>3.3755000000000002</v>
      </c>
      <c r="C23" s="107">
        <v>45</v>
      </c>
      <c r="D23" s="107">
        <v>45</v>
      </c>
      <c r="E23" s="108">
        <v>5</v>
      </c>
      <c r="F23" s="108">
        <v>7</v>
      </c>
      <c r="G23" s="108">
        <f t="shared" si="1"/>
        <v>3.5</v>
      </c>
      <c r="H23" s="109">
        <v>4.3</v>
      </c>
      <c r="I23" s="109">
        <v>7.84</v>
      </c>
      <c r="J23" s="109">
        <f t="shared" si="2"/>
        <v>2.4347826086956523</v>
      </c>
      <c r="K23" s="109"/>
      <c r="L23" s="109">
        <f t="shared" si="3"/>
        <v>1.3502799020771539</v>
      </c>
      <c r="M23" s="109"/>
      <c r="N23" s="109">
        <f t="shared" si="4"/>
        <v>7.84</v>
      </c>
      <c r="O23" s="109">
        <f t="shared" si="5"/>
        <v>2.4347826086956523</v>
      </c>
      <c r="P23" s="109"/>
      <c r="Q23" s="109">
        <f t="shared" si="6"/>
        <v>1.3502799020771539</v>
      </c>
      <c r="R23" s="109"/>
      <c r="S23" s="109">
        <v>12.42</v>
      </c>
      <c r="T23" s="108">
        <v>31.8</v>
      </c>
      <c r="U23" s="109">
        <f t="shared" si="7"/>
        <v>3.9056603773584904</v>
      </c>
      <c r="V23" s="109">
        <f t="shared" si="8"/>
        <v>1.6995211363861455</v>
      </c>
      <c r="W23" s="109">
        <v>3.26</v>
      </c>
      <c r="X23" s="108">
        <v>18.100000000000001</v>
      </c>
      <c r="Y23" s="109">
        <f t="shared" si="13"/>
        <v>1.8011049723756902</v>
      </c>
      <c r="Z23" s="111">
        <f t="shared" si="9"/>
        <v>0.87071208495329899</v>
      </c>
      <c r="AA23" s="99">
        <f t="shared" si="10"/>
        <v>40.280162242628919</v>
      </c>
      <c r="AB23" s="99">
        <f t="shared" si="11"/>
        <v>4.3689225219368071</v>
      </c>
      <c r="AE23" s="107">
        <v>25</v>
      </c>
      <c r="AF23" s="107">
        <v>12</v>
      </c>
      <c r="AG23" s="107">
        <f t="shared" si="14"/>
        <v>25</v>
      </c>
      <c r="AH23" s="107">
        <f t="shared" si="14"/>
        <v>12</v>
      </c>
      <c r="AI23" s="108">
        <v>12.8</v>
      </c>
      <c r="AJ23" s="108">
        <f t="shared" si="12"/>
        <v>12.8</v>
      </c>
      <c r="AK23" s="110"/>
    </row>
    <row r="24" spans="1:37" x14ac:dyDescent="0.2">
      <c r="A24" s="112" t="s">
        <v>268</v>
      </c>
      <c r="B24" s="115">
        <f t="shared" si="0"/>
        <v>3.9956499999999999</v>
      </c>
      <c r="C24" s="113">
        <v>45</v>
      </c>
      <c r="D24" s="113">
        <v>45</v>
      </c>
      <c r="E24" s="114">
        <v>6</v>
      </c>
      <c r="F24" s="114">
        <v>7</v>
      </c>
      <c r="G24" s="114">
        <f t="shared" si="1"/>
        <v>3.5</v>
      </c>
      <c r="H24" s="115">
        <v>5.09</v>
      </c>
      <c r="I24" s="115">
        <v>9.16</v>
      </c>
      <c r="J24" s="115">
        <f t="shared" si="2"/>
        <v>2.8805031446540879</v>
      </c>
      <c r="K24" s="115"/>
      <c r="L24" s="115">
        <f t="shared" si="3"/>
        <v>1.3414943431455655</v>
      </c>
      <c r="M24" s="115"/>
      <c r="N24" s="115">
        <f t="shared" si="4"/>
        <v>9.16</v>
      </c>
      <c r="O24" s="115">
        <f t="shared" si="5"/>
        <v>2.8805031446540879</v>
      </c>
      <c r="P24" s="115"/>
      <c r="Q24" s="115">
        <f t="shared" si="6"/>
        <v>1.3414943431455655</v>
      </c>
      <c r="R24" s="115"/>
      <c r="S24" s="115">
        <v>14.5</v>
      </c>
      <c r="T24" s="114">
        <v>31.8</v>
      </c>
      <c r="U24" s="115">
        <f t="shared" si="7"/>
        <v>4.5597484276729556</v>
      </c>
      <c r="V24" s="115">
        <f t="shared" si="8"/>
        <v>1.6878160404047429</v>
      </c>
      <c r="W24" s="115">
        <v>3.83</v>
      </c>
      <c r="X24" s="114">
        <v>18.7</v>
      </c>
      <c r="Y24" s="115">
        <f t="shared" si="13"/>
        <v>2.0481283422459891</v>
      </c>
      <c r="Z24" s="117">
        <f t="shared" si="9"/>
        <v>0.86744209932294591</v>
      </c>
      <c r="AA24" s="99">
        <f t="shared" si="10"/>
        <v>39.454842691576204</v>
      </c>
      <c r="AB24" s="99">
        <f t="shared" si="11"/>
        <v>5.0974781087878647</v>
      </c>
      <c r="AE24" s="113">
        <v>25</v>
      </c>
      <c r="AF24" s="113">
        <v>12</v>
      </c>
      <c r="AG24" s="113">
        <f t="shared" si="14"/>
        <v>25</v>
      </c>
      <c r="AH24" s="113">
        <f t="shared" si="14"/>
        <v>12</v>
      </c>
      <c r="AI24" s="114">
        <v>13.2</v>
      </c>
      <c r="AJ24" s="114">
        <f t="shared" si="12"/>
        <v>13.2</v>
      </c>
      <c r="AK24" s="116"/>
    </row>
    <row r="25" spans="1:37" s="99" customFormat="1" x14ac:dyDescent="0.2">
      <c r="A25" s="93" t="s">
        <v>269</v>
      </c>
      <c r="B25" s="96">
        <f t="shared" si="0"/>
        <v>2.3079000000000001</v>
      </c>
      <c r="C25" s="94">
        <v>50</v>
      </c>
      <c r="D25" s="94">
        <v>50</v>
      </c>
      <c r="E25" s="95">
        <v>3</v>
      </c>
      <c r="F25" s="95">
        <v>5</v>
      </c>
      <c r="G25" s="95">
        <f t="shared" si="1"/>
        <v>2.5</v>
      </c>
      <c r="H25" s="96">
        <v>2.94</v>
      </c>
      <c r="I25" s="96">
        <v>7.01</v>
      </c>
      <c r="J25" s="96">
        <f t="shared" si="2"/>
        <v>1.9100817438692095</v>
      </c>
      <c r="K25" s="96"/>
      <c r="L25" s="96">
        <f t="shared" si="3"/>
        <v>1.5441352730562821</v>
      </c>
      <c r="M25" s="96"/>
      <c r="N25" s="96">
        <f t="shared" si="4"/>
        <v>7.01</v>
      </c>
      <c r="O25" s="96">
        <f t="shared" si="5"/>
        <v>1.9100817438692095</v>
      </c>
      <c r="P25" s="96"/>
      <c r="Q25" s="96">
        <f t="shared" si="6"/>
        <v>1.5441352730562821</v>
      </c>
      <c r="R25" s="96"/>
      <c r="S25" s="96">
        <v>11.12</v>
      </c>
      <c r="T25" s="95">
        <v>35.4</v>
      </c>
      <c r="U25" s="96">
        <f t="shared" si="7"/>
        <v>3.1412429378531073</v>
      </c>
      <c r="V25" s="96">
        <f t="shared" si="8"/>
        <v>1.9448169387297274</v>
      </c>
      <c r="W25" s="96">
        <v>2.89</v>
      </c>
      <c r="X25" s="95">
        <v>18.8</v>
      </c>
      <c r="Y25" s="96">
        <f t="shared" si="13"/>
        <v>1.5372340425531916</v>
      </c>
      <c r="Z25" s="98">
        <f t="shared" si="9"/>
        <v>0.99146013398366739</v>
      </c>
      <c r="AA25" s="99">
        <f t="shared" si="10"/>
        <v>47.074977871437824</v>
      </c>
      <c r="AB25" s="99">
        <f t="shared" si="11"/>
        <v>3.4542369845983991</v>
      </c>
      <c r="AE25" s="94">
        <v>28</v>
      </c>
      <c r="AF25" s="94">
        <v>14</v>
      </c>
      <c r="AG25" s="94">
        <f t="shared" si="14"/>
        <v>28</v>
      </c>
      <c r="AH25" s="94">
        <f t="shared" si="14"/>
        <v>14</v>
      </c>
      <c r="AI25" s="95">
        <v>13.3</v>
      </c>
      <c r="AJ25" s="95">
        <f t="shared" si="12"/>
        <v>13.3</v>
      </c>
      <c r="AK25" s="97"/>
    </row>
    <row r="26" spans="1:37" x14ac:dyDescent="0.2">
      <c r="A26" s="118" t="s">
        <v>270</v>
      </c>
      <c r="B26" s="121">
        <f t="shared" si="0"/>
        <v>3.0379500000000004</v>
      </c>
      <c r="C26" s="119">
        <v>50</v>
      </c>
      <c r="D26" s="119">
        <v>50</v>
      </c>
      <c r="E26" s="120">
        <v>4</v>
      </c>
      <c r="F26" s="120">
        <v>5</v>
      </c>
      <c r="G26" s="120">
        <f t="shared" si="1"/>
        <v>2.5</v>
      </c>
      <c r="H26" s="121">
        <v>3.87</v>
      </c>
      <c r="I26" s="121">
        <v>9.1199999999999992</v>
      </c>
      <c r="J26" s="121">
        <f t="shared" si="2"/>
        <v>2.519337016574585</v>
      </c>
      <c r="K26" s="121"/>
      <c r="L26" s="121">
        <f t="shared" si="3"/>
        <v>1.5351186101688761</v>
      </c>
      <c r="M26" s="121"/>
      <c r="N26" s="121">
        <f t="shared" si="4"/>
        <v>9.1199999999999992</v>
      </c>
      <c r="O26" s="121">
        <f t="shared" si="5"/>
        <v>2.519337016574585</v>
      </c>
      <c r="P26" s="121"/>
      <c r="Q26" s="121">
        <f t="shared" si="6"/>
        <v>1.5351186101688761</v>
      </c>
      <c r="R26" s="121"/>
      <c r="S26" s="121">
        <v>14.49</v>
      </c>
      <c r="T26" s="120">
        <v>35.4</v>
      </c>
      <c r="U26" s="121">
        <f t="shared" si="7"/>
        <v>4.093220338983051</v>
      </c>
      <c r="V26" s="121">
        <f t="shared" si="8"/>
        <v>1.9349899344729491</v>
      </c>
      <c r="W26" s="121">
        <v>3.75</v>
      </c>
      <c r="X26" s="120">
        <v>19.5</v>
      </c>
      <c r="Y26" s="121">
        <f t="shared" si="13"/>
        <v>1.9230769230769231</v>
      </c>
      <c r="Z26" s="123">
        <f t="shared" si="9"/>
        <v>0.98437403869769724</v>
      </c>
      <c r="AA26" s="99">
        <f t="shared" si="10"/>
        <v>46.175022128562176</v>
      </c>
      <c r="AB26" s="99">
        <f t="shared" si="11"/>
        <v>4.4817920914270033</v>
      </c>
      <c r="AE26" s="119">
        <v>28</v>
      </c>
      <c r="AF26" s="119">
        <v>14</v>
      </c>
      <c r="AG26" s="119">
        <f t="shared" si="14"/>
        <v>28</v>
      </c>
      <c r="AH26" s="119">
        <f t="shared" si="14"/>
        <v>14</v>
      </c>
      <c r="AI26" s="120">
        <v>13.8</v>
      </c>
      <c r="AJ26" s="120">
        <f t="shared" si="12"/>
        <v>13.8</v>
      </c>
      <c r="AK26" s="122"/>
    </row>
    <row r="27" spans="1:37" x14ac:dyDescent="0.2">
      <c r="A27" s="118" t="s">
        <v>271</v>
      </c>
      <c r="B27" s="121">
        <f t="shared" si="0"/>
        <v>3.7679999999999998</v>
      </c>
      <c r="C27" s="119">
        <v>50</v>
      </c>
      <c r="D27" s="119">
        <v>50</v>
      </c>
      <c r="E27" s="120">
        <v>5</v>
      </c>
      <c r="F27" s="120">
        <v>7</v>
      </c>
      <c r="G27" s="120">
        <f t="shared" si="1"/>
        <v>3.5</v>
      </c>
      <c r="H27" s="121">
        <v>4.8</v>
      </c>
      <c r="I27" s="121">
        <v>10.96</v>
      </c>
      <c r="J27" s="121">
        <f t="shared" si="2"/>
        <v>3.0444444444444447</v>
      </c>
      <c r="K27" s="121"/>
      <c r="L27" s="121">
        <f t="shared" si="3"/>
        <v>1.5110702608857516</v>
      </c>
      <c r="M27" s="121"/>
      <c r="N27" s="121">
        <f t="shared" si="4"/>
        <v>10.96</v>
      </c>
      <c r="O27" s="121">
        <f t="shared" si="5"/>
        <v>3.0444444444444447</v>
      </c>
      <c r="P27" s="121"/>
      <c r="Q27" s="121">
        <f t="shared" si="6"/>
        <v>1.5110702608857516</v>
      </c>
      <c r="R27" s="121"/>
      <c r="S27" s="121">
        <v>17.38</v>
      </c>
      <c r="T27" s="120">
        <v>35.4</v>
      </c>
      <c r="U27" s="121">
        <f t="shared" si="7"/>
        <v>4.9096045197740112</v>
      </c>
      <c r="V27" s="121">
        <f t="shared" si="8"/>
        <v>1.9028487415801953</v>
      </c>
      <c r="W27" s="121">
        <v>4.55</v>
      </c>
      <c r="X27" s="120">
        <v>19.899999999999999</v>
      </c>
      <c r="Y27" s="121">
        <f t="shared" si="13"/>
        <v>2.2864321608040203</v>
      </c>
      <c r="Z27" s="123">
        <f t="shared" si="9"/>
        <v>0.97361012046232687</v>
      </c>
      <c r="AA27" s="99">
        <f t="shared" si="10"/>
        <v>45.252146018366027</v>
      </c>
      <c r="AB27" s="99">
        <f t="shared" si="11"/>
        <v>5.4666743537333424</v>
      </c>
      <c r="AE27" s="119">
        <v>28</v>
      </c>
      <c r="AF27" s="119">
        <v>14</v>
      </c>
      <c r="AG27" s="119">
        <f t="shared" si="14"/>
        <v>28</v>
      </c>
      <c r="AH27" s="119">
        <f t="shared" si="14"/>
        <v>14</v>
      </c>
      <c r="AI27" s="120">
        <v>14</v>
      </c>
      <c r="AJ27" s="120">
        <f t="shared" si="12"/>
        <v>14</v>
      </c>
      <c r="AK27" s="122"/>
    </row>
    <row r="28" spans="1:37" x14ac:dyDescent="0.2">
      <c r="A28" s="118" t="s">
        <v>272</v>
      </c>
      <c r="B28" s="121">
        <f t="shared" si="0"/>
        <v>4.4666500000000005</v>
      </c>
      <c r="C28" s="119">
        <v>50</v>
      </c>
      <c r="D28" s="119">
        <v>50</v>
      </c>
      <c r="E28" s="120">
        <v>6</v>
      </c>
      <c r="F28" s="120">
        <v>7</v>
      </c>
      <c r="G28" s="120">
        <f t="shared" si="1"/>
        <v>3.5</v>
      </c>
      <c r="H28" s="121">
        <v>5.69</v>
      </c>
      <c r="I28" s="121">
        <v>12.84</v>
      </c>
      <c r="J28" s="121">
        <f t="shared" si="2"/>
        <v>3.6169014084507043</v>
      </c>
      <c r="K28" s="121"/>
      <c r="L28" s="121">
        <f t="shared" si="3"/>
        <v>1.5021952302101351</v>
      </c>
      <c r="M28" s="121"/>
      <c r="N28" s="121">
        <f t="shared" si="4"/>
        <v>12.84</v>
      </c>
      <c r="O28" s="121">
        <f t="shared" si="5"/>
        <v>3.6169014084507043</v>
      </c>
      <c r="P28" s="121"/>
      <c r="Q28" s="121">
        <f t="shared" si="6"/>
        <v>1.5021952302101351</v>
      </c>
      <c r="R28" s="121"/>
      <c r="S28" s="121">
        <v>20.34</v>
      </c>
      <c r="T28" s="120">
        <v>35.4</v>
      </c>
      <c r="U28" s="121">
        <f t="shared" si="7"/>
        <v>5.7457627118644075</v>
      </c>
      <c r="V28" s="121">
        <f t="shared" si="8"/>
        <v>1.8906857070603378</v>
      </c>
      <c r="W28" s="121">
        <v>5.34</v>
      </c>
      <c r="X28" s="120">
        <v>20.399999999999999</v>
      </c>
      <c r="Y28" s="121">
        <f t="shared" si="13"/>
        <v>2.6176470588235294</v>
      </c>
      <c r="Z28" s="123">
        <f t="shared" si="9"/>
        <v>0.968756200728497</v>
      </c>
      <c r="AA28" s="99">
        <f t="shared" si="10"/>
        <v>44.409358422418585</v>
      </c>
      <c r="AB28" s="99">
        <f t="shared" si="11"/>
        <v>6.3930277620024247</v>
      </c>
      <c r="AE28" s="119">
        <v>28</v>
      </c>
      <c r="AF28" s="119">
        <v>14</v>
      </c>
      <c r="AG28" s="119">
        <f t="shared" si="14"/>
        <v>28</v>
      </c>
      <c r="AH28" s="119">
        <f t="shared" si="14"/>
        <v>14</v>
      </c>
      <c r="AI28" s="120">
        <v>14.5</v>
      </c>
      <c r="AJ28" s="120">
        <f t="shared" si="12"/>
        <v>14.5</v>
      </c>
      <c r="AK28" s="122"/>
    </row>
    <row r="29" spans="1:37" x14ac:dyDescent="0.2">
      <c r="A29" s="118" t="s">
        <v>273</v>
      </c>
      <c r="B29" s="121">
        <f t="shared" si="0"/>
        <v>5.1495999999999995</v>
      </c>
      <c r="C29" s="119">
        <v>50</v>
      </c>
      <c r="D29" s="119">
        <v>50</v>
      </c>
      <c r="E29" s="120">
        <v>7</v>
      </c>
      <c r="F29" s="120">
        <v>7</v>
      </c>
      <c r="G29" s="120">
        <f t="shared" si="1"/>
        <v>3.5</v>
      </c>
      <c r="H29" s="121">
        <v>6.56</v>
      </c>
      <c r="I29" s="121">
        <v>14.61</v>
      </c>
      <c r="J29" s="121">
        <f t="shared" si="2"/>
        <v>4.1623931623931618</v>
      </c>
      <c r="K29" s="121"/>
      <c r="L29" s="121">
        <f t="shared" si="3"/>
        <v>1.4923585850396222</v>
      </c>
      <c r="M29" s="121"/>
      <c r="N29" s="121">
        <f t="shared" si="4"/>
        <v>14.61</v>
      </c>
      <c r="O29" s="121">
        <f t="shared" si="5"/>
        <v>4.1623931623931618</v>
      </c>
      <c r="P29" s="121"/>
      <c r="Q29" s="121">
        <f t="shared" si="6"/>
        <v>1.4923585850396222</v>
      </c>
      <c r="R29" s="121"/>
      <c r="S29" s="121">
        <v>23.11</v>
      </c>
      <c r="T29" s="120">
        <v>35.4</v>
      </c>
      <c r="U29" s="121">
        <f t="shared" si="7"/>
        <v>6.528248587570622</v>
      </c>
      <c r="V29" s="121">
        <f t="shared" si="8"/>
        <v>1.8769299011040708</v>
      </c>
      <c r="W29" s="121">
        <v>6.11</v>
      </c>
      <c r="X29" s="120">
        <v>21</v>
      </c>
      <c r="Y29" s="121">
        <f t="shared" si="13"/>
        <v>2.9095238095238094</v>
      </c>
      <c r="Z29" s="123">
        <f t="shared" si="9"/>
        <v>0.96509193293923579</v>
      </c>
      <c r="AA29" s="99">
        <f t="shared" si="10"/>
        <v>43.595154899935253</v>
      </c>
      <c r="AB29" s="99">
        <f t="shared" si="11"/>
        <v>7.2760066958278609</v>
      </c>
      <c r="AE29" s="119">
        <v>28</v>
      </c>
      <c r="AF29" s="119">
        <v>14</v>
      </c>
      <c r="AG29" s="119">
        <f t="shared" si="14"/>
        <v>28</v>
      </c>
      <c r="AH29" s="119">
        <f t="shared" si="14"/>
        <v>14</v>
      </c>
      <c r="AI29" s="120">
        <v>14.9</v>
      </c>
      <c r="AJ29" s="120">
        <f t="shared" si="12"/>
        <v>14.9</v>
      </c>
      <c r="AK29" s="122"/>
    </row>
    <row r="30" spans="1:37" x14ac:dyDescent="0.2">
      <c r="A30" s="118" t="s">
        <v>274</v>
      </c>
      <c r="B30" s="121">
        <f t="shared" si="0"/>
        <v>5.8168500000000005</v>
      </c>
      <c r="C30" s="119">
        <v>50</v>
      </c>
      <c r="D30" s="119">
        <v>50</v>
      </c>
      <c r="E30" s="120">
        <v>8</v>
      </c>
      <c r="F30" s="120">
        <v>7</v>
      </c>
      <c r="G30" s="120">
        <f t="shared" si="1"/>
        <v>3.5</v>
      </c>
      <c r="H30" s="121">
        <v>7.41</v>
      </c>
      <c r="I30" s="121">
        <v>16.28</v>
      </c>
      <c r="J30" s="121">
        <f t="shared" si="2"/>
        <v>4.6781609195402307</v>
      </c>
      <c r="K30" s="121"/>
      <c r="L30" s="121">
        <f t="shared" si="3"/>
        <v>1.4822385230239776</v>
      </c>
      <c r="M30" s="121"/>
      <c r="N30" s="121">
        <f t="shared" si="4"/>
        <v>16.28</v>
      </c>
      <c r="O30" s="121">
        <f t="shared" si="5"/>
        <v>4.6781609195402307</v>
      </c>
      <c r="P30" s="121"/>
      <c r="Q30" s="121">
        <f t="shared" si="6"/>
        <v>1.4822385230239776</v>
      </c>
      <c r="R30" s="121"/>
      <c r="S30" s="121">
        <v>25.69</v>
      </c>
      <c r="T30" s="120">
        <v>35.4</v>
      </c>
      <c r="U30" s="121">
        <f t="shared" si="7"/>
        <v>7.2570621468926566</v>
      </c>
      <c r="V30" s="121">
        <f t="shared" si="8"/>
        <v>1.861971152354335</v>
      </c>
      <c r="W30" s="121">
        <v>6.87</v>
      </c>
      <c r="X30" s="120">
        <v>21.6</v>
      </c>
      <c r="Y30" s="121">
        <f t="shared" si="13"/>
        <v>3.1805555555555554</v>
      </c>
      <c r="Z30" s="123">
        <f t="shared" si="9"/>
        <v>0.962873567023664</v>
      </c>
      <c r="AA30" s="99">
        <f t="shared" si="10"/>
        <v>42.809535450916016</v>
      </c>
      <c r="AB30" s="99">
        <f t="shared" si="11"/>
        <v>8.1205107107260996</v>
      </c>
      <c r="AE30" s="119">
        <v>28</v>
      </c>
      <c r="AF30" s="119">
        <v>14</v>
      </c>
      <c r="AG30" s="119">
        <f t="shared" si="14"/>
        <v>28</v>
      </c>
      <c r="AH30" s="119">
        <f t="shared" si="14"/>
        <v>14</v>
      </c>
      <c r="AI30" s="120">
        <v>15.2</v>
      </c>
      <c r="AJ30" s="120">
        <f t="shared" si="12"/>
        <v>15.2</v>
      </c>
      <c r="AK30" s="122"/>
    </row>
    <row r="31" spans="1:37" s="99" customFormat="1" x14ac:dyDescent="0.2">
      <c r="A31" s="124" t="s">
        <v>275</v>
      </c>
      <c r="B31" s="127">
        <f t="shared" si="0"/>
        <v>4.9376500000000005</v>
      </c>
      <c r="C31" s="125">
        <v>55</v>
      </c>
      <c r="D31" s="125">
        <v>55</v>
      </c>
      <c r="E31" s="126">
        <v>6</v>
      </c>
      <c r="F31" s="126">
        <v>7</v>
      </c>
      <c r="G31" s="126">
        <f t="shared" si="1"/>
        <v>3.5</v>
      </c>
      <c r="H31" s="127">
        <v>6.29</v>
      </c>
      <c r="I31" s="127">
        <v>17.399999999999999</v>
      </c>
      <c r="J31" s="127">
        <f t="shared" si="2"/>
        <v>4.4274809160305351</v>
      </c>
      <c r="K31" s="127"/>
      <c r="L31" s="127">
        <f t="shared" si="3"/>
        <v>1.6632184785746513</v>
      </c>
      <c r="M31" s="127"/>
      <c r="N31" s="127">
        <f t="shared" si="4"/>
        <v>17.399999999999999</v>
      </c>
      <c r="O31" s="127">
        <f t="shared" si="5"/>
        <v>4.4274809160305351</v>
      </c>
      <c r="P31" s="127"/>
      <c r="Q31" s="127">
        <f t="shared" si="6"/>
        <v>1.6632184785746513</v>
      </c>
      <c r="R31" s="127"/>
      <c r="S31" s="127">
        <v>27.59</v>
      </c>
      <c r="T31" s="126">
        <v>38.9</v>
      </c>
      <c r="U31" s="127">
        <f t="shared" si="7"/>
        <v>7.0925449871465291</v>
      </c>
      <c r="V31" s="127">
        <f t="shared" si="8"/>
        <v>2.0943561072498067</v>
      </c>
      <c r="W31" s="127">
        <v>7.21</v>
      </c>
      <c r="X31" s="126">
        <v>22.2</v>
      </c>
      <c r="Y31" s="127">
        <f t="shared" si="13"/>
        <v>3.2477477477477477</v>
      </c>
      <c r="Z31" s="129">
        <f t="shared" si="9"/>
        <v>1.070637151872563</v>
      </c>
      <c r="AA31" s="99">
        <f t="shared" si="10"/>
        <v>49.372144020380532</v>
      </c>
      <c r="AB31" s="99">
        <f t="shared" si="11"/>
        <v>7.8387084072177586</v>
      </c>
      <c r="AE31" s="125">
        <v>32</v>
      </c>
      <c r="AF31" s="125">
        <v>14</v>
      </c>
      <c r="AG31" s="125">
        <f t="shared" si="14"/>
        <v>32</v>
      </c>
      <c r="AH31" s="125">
        <f t="shared" si="14"/>
        <v>14</v>
      </c>
      <c r="AI31" s="126">
        <v>15.7</v>
      </c>
      <c r="AJ31" s="126">
        <f t="shared" si="12"/>
        <v>15.7</v>
      </c>
      <c r="AK31" s="128"/>
    </row>
    <row r="32" spans="1:37" s="99" customFormat="1" x14ac:dyDescent="0.2">
      <c r="A32" s="93" t="s">
        <v>276</v>
      </c>
      <c r="B32" s="96">
        <f t="shared" si="0"/>
        <v>3.66595</v>
      </c>
      <c r="C32" s="94">
        <v>60</v>
      </c>
      <c r="D32" s="94">
        <v>60</v>
      </c>
      <c r="E32" s="95">
        <v>4</v>
      </c>
      <c r="F32" s="95">
        <v>5</v>
      </c>
      <c r="G32" s="95">
        <f t="shared" si="1"/>
        <v>2.5</v>
      </c>
      <c r="H32" s="96">
        <v>4.67</v>
      </c>
      <c r="I32" s="96">
        <v>16.11</v>
      </c>
      <c r="J32" s="96">
        <f t="shared" si="2"/>
        <v>3.6864988558352398</v>
      </c>
      <c r="K32" s="96"/>
      <c r="L32" s="96">
        <f t="shared" si="3"/>
        <v>1.8573310961852039</v>
      </c>
      <c r="M32" s="96"/>
      <c r="N32" s="96">
        <f t="shared" si="4"/>
        <v>16.11</v>
      </c>
      <c r="O32" s="96">
        <f t="shared" si="5"/>
        <v>3.6864988558352398</v>
      </c>
      <c r="P32" s="96"/>
      <c r="Q32" s="96">
        <f t="shared" si="6"/>
        <v>1.8573310961852039</v>
      </c>
      <c r="R32" s="96"/>
      <c r="S32" s="96">
        <v>25.63</v>
      </c>
      <c r="T32" s="95">
        <v>42.4</v>
      </c>
      <c r="U32" s="96">
        <f t="shared" si="7"/>
        <v>6.0448113207547172</v>
      </c>
      <c r="V32" s="96">
        <f t="shared" si="8"/>
        <v>2.3426956050824881</v>
      </c>
      <c r="W32" s="96">
        <v>6.6</v>
      </c>
      <c r="X32" s="95">
        <v>23</v>
      </c>
      <c r="Y32" s="96">
        <f t="shared" si="13"/>
        <v>2.8695652173913042</v>
      </c>
      <c r="Z32" s="98">
        <f t="shared" si="9"/>
        <v>1.1888129504944769</v>
      </c>
      <c r="AA32" s="99">
        <f t="shared" si="10"/>
        <v>56.145851773801816</v>
      </c>
      <c r="AB32" s="99">
        <f t="shared" si="11"/>
        <v>6.5671816246084491</v>
      </c>
      <c r="AE32" s="94">
        <v>35</v>
      </c>
      <c r="AF32" s="94">
        <v>16</v>
      </c>
      <c r="AG32" s="94">
        <f t="shared" si="14"/>
        <v>35</v>
      </c>
      <c r="AH32" s="94">
        <f t="shared" si="14"/>
        <v>16</v>
      </c>
      <c r="AI32" s="95">
        <v>16.3</v>
      </c>
      <c r="AJ32" s="95">
        <f t="shared" si="12"/>
        <v>16.3</v>
      </c>
      <c r="AK32" s="97"/>
    </row>
    <row r="33" spans="1:37" x14ac:dyDescent="0.2">
      <c r="A33" s="118" t="s">
        <v>277</v>
      </c>
      <c r="B33" s="121">
        <f t="shared" si="0"/>
        <v>4.5451500000000005</v>
      </c>
      <c r="C33" s="119">
        <v>60</v>
      </c>
      <c r="D33" s="119">
        <v>60</v>
      </c>
      <c r="E33" s="120">
        <v>5</v>
      </c>
      <c r="F33" s="120">
        <v>6</v>
      </c>
      <c r="G33" s="120">
        <f t="shared" si="1"/>
        <v>3</v>
      </c>
      <c r="H33" s="121">
        <v>5.79</v>
      </c>
      <c r="I33" s="121">
        <v>19.61</v>
      </c>
      <c r="J33" s="121">
        <f t="shared" si="2"/>
        <v>4.5184331797235027</v>
      </c>
      <c r="K33" s="121"/>
      <c r="L33" s="121">
        <f t="shared" si="3"/>
        <v>1.840346141505091</v>
      </c>
      <c r="M33" s="121"/>
      <c r="N33" s="121">
        <f t="shared" si="4"/>
        <v>19.61</v>
      </c>
      <c r="O33" s="121">
        <f t="shared" si="5"/>
        <v>4.5184331797235027</v>
      </c>
      <c r="P33" s="121"/>
      <c r="Q33" s="121">
        <f t="shared" si="6"/>
        <v>1.840346141505091</v>
      </c>
      <c r="R33" s="121"/>
      <c r="S33" s="121">
        <v>31.16</v>
      </c>
      <c r="T33" s="120">
        <v>42.4</v>
      </c>
      <c r="U33" s="121">
        <f t="shared" si="7"/>
        <v>7.3490566037735858</v>
      </c>
      <c r="V33" s="121">
        <f t="shared" si="8"/>
        <v>2.3198475323612149</v>
      </c>
      <c r="W33" s="121">
        <v>8.06</v>
      </c>
      <c r="X33" s="120">
        <v>23.5</v>
      </c>
      <c r="Y33" s="121">
        <f t="shared" si="13"/>
        <v>3.4297872340425535</v>
      </c>
      <c r="Z33" s="123">
        <f t="shared" si="9"/>
        <v>1.1798539179504113</v>
      </c>
      <c r="AA33" s="99">
        <f t="shared" si="10"/>
        <v>55.233370214270302</v>
      </c>
      <c r="AB33" s="99">
        <f t="shared" si="11"/>
        <v>8.031322760950113</v>
      </c>
      <c r="AE33" s="119">
        <v>35</v>
      </c>
      <c r="AF33" s="119">
        <v>16</v>
      </c>
      <c r="AG33" s="119">
        <f t="shared" si="14"/>
        <v>35</v>
      </c>
      <c r="AH33" s="119">
        <f t="shared" si="14"/>
        <v>16</v>
      </c>
      <c r="AI33" s="120">
        <v>16.600000000000001</v>
      </c>
      <c r="AJ33" s="120">
        <f t="shared" si="12"/>
        <v>16.600000000000001</v>
      </c>
      <c r="AK33" s="122"/>
    </row>
    <row r="34" spans="1:37" x14ac:dyDescent="0.2">
      <c r="A34" s="118" t="s">
        <v>278</v>
      </c>
      <c r="B34" s="121">
        <f t="shared" si="0"/>
        <v>5.4243500000000004</v>
      </c>
      <c r="C34" s="119">
        <v>60</v>
      </c>
      <c r="D34" s="119">
        <v>60</v>
      </c>
      <c r="E34" s="120">
        <v>6</v>
      </c>
      <c r="F34" s="120">
        <v>8</v>
      </c>
      <c r="G34" s="120">
        <f t="shared" si="1"/>
        <v>4</v>
      </c>
      <c r="H34" s="121">
        <v>6.91</v>
      </c>
      <c r="I34" s="121">
        <v>22.79</v>
      </c>
      <c r="J34" s="121">
        <f t="shared" si="2"/>
        <v>5.2877030162412986</v>
      </c>
      <c r="K34" s="121"/>
      <c r="L34" s="121">
        <f t="shared" si="3"/>
        <v>1.8160723192087471</v>
      </c>
      <c r="M34" s="121"/>
      <c r="N34" s="121">
        <f t="shared" si="4"/>
        <v>22.79</v>
      </c>
      <c r="O34" s="121">
        <f t="shared" si="5"/>
        <v>5.2877030162412986</v>
      </c>
      <c r="P34" s="121"/>
      <c r="Q34" s="121">
        <f t="shared" si="6"/>
        <v>1.8160723192087471</v>
      </c>
      <c r="R34" s="121"/>
      <c r="S34" s="121">
        <v>36.14</v>
      </c>
      <c r="T34" s="120">
        <v>42.4</v>
      </c>
      <c r="U34" s="121">
        <f t="shared" si="7"/>
        <v>8.5235849056603765</v>
      </c>
      <c r="V34" s="121">
        <f t="shared" si="8"/>
        <v>2.2869414733351188</v>
      </c>
      <c r="W34" s="121">
        <v>9.44</v>
      </c>
      <c r="X34" s="120">
        <v>23.9</v>
      </c>
      <c r="Y34" s="121">
        <f t="shared" si="13"/>
        <v>3.9497907949790796</v>
      </c>
      <c r="Z34" s="123">
        <f t="shared" si="9"/>
        <v>1.1688182214237901</v>
      </c>
      <c r="AA34" s="99">
        <f t="shared" si="10"/>
        <v>54.31430678910683</v>
      </c>
      <c r="AB34" s="99">
        <f t="shared" si="11"/>
        <v>9.4425800523640309</v>
      </c>
      <c r="AE34" s="119">
        <v>35</v>
      </c>
      <c r="AF34" s="119">
        <v>16</v>
      </c>
      <c r="AG34" s="119">
        <f t="shared" si="14"/>
        <v>35</v>
      </c>
      <c r="AH34" s="119">
        <f t="shared" si="14"/>
        <v>16</v>
      </c>
      <c r="AI34" s="120">
        <v>16.899999999999999</v>
      </c>
      <c r="AJ34" s="120">
        <f t="shared" si="12"/>
        <v>16.899999999999999</v>
      </c>
      <c r="AK34" s="122"/>
    </row>
    <row r="35" spans="1:37" x14ac:dyDescent="0.2">
      <c r="A35" s="118" t="s">
        <v>279</v>
      </c>
      <c r="B35" s="121">
        <f t="shared" si="0"/>
        <v>6.2643000000000004</v>
      </c>
      <c r="C35" s="119">
        <v>60</v>
      </c>
      <c r="D35" s="119">
        <v>60</v>
      </c>
      <c r="E35" s="120">
        <v>7</v>
      </c>
      <c r="F35" s="120">
        <v>8</v>
      </c>
      <c r="G35" s="120">
        <f t="shared" si="1"/>
        <v>4</v>
      </c>
      <c r="H35" s="121">
        <v>7.98</v>
      </c>
      <c r="I35" s="121">
        <v>26.05</v>
      </c>
      <c r="J35" s="121">
        <f t="shared" si="2"/>
        <v>6.1007025761124121</v>
      </c>
      <c r="K35" s="121"/>
      <c r="L35" s="121">
        <f t="shared" si="3"/>
        <v>1.8067681167125245</v>
      </c>
      <c r="M35" s="121"/>
      <c r="N35" s="121">
        <f t="shared" si="4"/>
        <v>26.05</v>
      </c>
      <c r="O35" s="121">
        <f t="shared" si="5"/>
        <v>6.1007025761124121</v>
      </c>
      <c r="P35" s="121"/>
      <c r="Q35" s="121">
        <f t="shared" si="6"/>
        <v>1.8067681167125245</v>
      </c>
      <c r="R35" s="121"/>
      <c r="S35" s="121">
        <v>41.29</v>
      </c>
      <c r="T35" s="120">
        <v>42.4</v>
      </c>
      <c r="U35" s="121">
        <f t="shared" si="7"/>
        <v>9.7382075471698109</v>
      </c>
      <c r="V35" s="121">
        <f t="shared" si="8"/>
        <v>2.2746835963841536</v>
      </c>
      <c r="W35" s="121">
        <v>10.81</v>
      </c>
      <c r="X35" s="120">
        <v>24.5</v>
      </c>
      <c r="Y35" s="121">
        <f t="shared" si="13"/>
        <v>4.4122448979591837</v>
      </c>
      <c r="Z35" s="123">
        <f t="shared" si="9"/>
        <v>1.1638885648887081</v>
      </c>
      <c r="AA35" s="99">
        <f t="shared" si="10"/>
        <v>53.46913718703739</v>
      </c>
      <c r="AB35" s="99">
        <f t="shared" si="11"/>
        <v>10.781896756993548</v>
      </c>
      <c r="AE35" s="119">
        <v>35</v>
      </c>
      <c r="AF35" s="119">
        <v>16</v>
      </c>
      <c r="AG35" s="119">
        <f t="shared" si="14"/>
        <v>35</v>
      </c>
      <c r="AH35" s="119">
        <f t="shared" si="14"/>
        <v>16</v>
      </c>
      <c r="AI35" s="120">
        <v>17.3</v>
      </c>
      <c r="AJ35" s="120">
        <f t="shared" si="12"/>
        <v>17.3</v>
      </c>
      <c r="AK35" s="122"/>
    </row>
    <row r="36" spans="1:37" x14ac:dyDescent="0.2">
      <c r="A36" s="118" t="s">
        <v>280</v>
      </c>
      <c r="B36" s="121">
        <f t="shared" si="0"/>
        <v>7.0885499999999997</v>
      </c>
      <c r="C36" s="119">
        <v>60</v>
      </c>
      <c r="D36" s="119">
        <v>60</v>
      </c>
      <c r="E36" s="120">
        <v>8</v>
      </c>
      <c r="F36" s="120">
        <v>8</v>
      </c>
      <c r="G36" s="120">
        <f t="shared" si="1"/>
        <v>4</v>
      </c>
      <c r="H36" s="121">
        <v>9.0299999999999994</v>
      </c>
      <c r="I36" s="121">
        <v>29.15</v>
      </c>
      <c r="J36" s="121">
        <f t="shared" si="2"/>
        <v>6.8912529550827424</v>
      </c>
      <c r="K36" s="121"/>
      <c r="L36" s="121">
        <f t="shared" si="3"/>
        <v>1.7966993239511726</v>
      </c>
      <c r="M36" s="121"/>
      <c r="N36" s="121">
        <f t="shared" si="4"/>
        <v>29.15</v>
      </c>
      <c r="O36" s="121">
        <f t="shared" si="5"/>
        <v>6.8912529550827424</v>
      </c>
      <c r="P36" s="121"/>
      <c r="Q36" s="121">
        <f t="shared" si="6"/>
        <v>1.7966993239511726</v>
      </c>
      <c r="R36" s="121"/>
      <c r="S36" s="121">
        <v>46.15</v>
      </c>
      <c r="T36" s="120">
        <v>42.4</v>
      </c>
      <c r="U36" s="121">
        <f t="shared" si="7"/>
        <v>10.884433962264151</v>
      </c>
      <c r="V36" s="121">
        <f t="shared" si="8"/>
        <v>2.2606950195033138</v>
      </c>
      <c r="W36" s="121">
        <v>12.16</v>
      </c>
      <c r="X36" s="120">
        <v>25</v>
      </c>
      <c r="Y36" s="121">
        <f t="shared" si="13"/>
        <v>4.8639999999999999</v>
      </c>
      <c r="Z36" s="123">
        <f t="shared" si="9"/>
        <v>1.1604405929982731</v>
      </c>
      <c r="AA36" s="99">
        <f t="shared" si="10"/>
        <v>52.647787646188029</v>
      </c>
      <c r="AB36" s="99">
        <f t="shared" si="11"/>
        <v>12.068168594190681</v>
      </c>
      <c r="AE36" s="119">
        <v>35</v>
      </c>
      <c r="AF36" s="119">
        <v>16</v>
      </c>
      <c r="AG36" s="119">
        <f t="shared" si="14"/>
        <v>35</v>
      </c>
      <c r="AH36" s="119">
        <f t="shared" si="14"/>
        <v>16</v>
      </c>
      <c r="AI36" s="120">
        <v>17.7</v>
      </c>
      <c r="AJ36" s="120">
        <f t="shared" si="12"/>
        <v>17.7</v>
      </c>
      <c r="AK36" s="122"/>
    </row>
    <row r="37" spans="1:37" x14ac:dyDescent="0.2">
      <c r="A37" s="118" t="s">
        <v>281</v>
      </c>
      <c r="B37" s="121">
        <f t="shared" ref="B37:B68" si="15">0.1*7.85*H37</f>
        <v>8.7527500000000007</v>
      </c>
      <c r="C37" s="119">
        <v>60</v>
      </c>
      <c r="D37" s="119">
        <v>60</v>
      </c>
      <c r="E37" s="120">
        <v>10</v>
      </c>
      <c r="F37" s="120">
        <v>12</v>
      </c>
      <c r="G37" s="120">
        <f t="shared" si="1"/>
        <v>6</v>
      </c>
      <c r="H37" s="121">
        <v>11.15</v>
      </c>
      <c r="I37" s="121">
        <v>34.26</v>
      </c>
      <c r="J37" s="121">
        <f t="shared" ref="J37:J68" si="16">I37*10/($C37-$AI37)</f>
        <v>8.2158273381294951</v>
      </c>
      <c r="K37" s="121"/>
      <c r="L37" s="121">
        <f t="shared" ref="L37:L68" si="17">SQRT(I37/H37)</f>
        <v>1.7528963859596247</v>
      </c>
      <c r="M37" s="121"/>
      <c r="N37" s="121">
        <f t="shared" si="4"/>
        <v>34.26</v>
      </c>
      <c r="O37" s="121">
        <f t="shared" ref="O37:O68" si="18">N37*10/($D37-$AJ37)</f>
        <v>8.2158273381294951</v>
      </c>
      <c r="P37" s="121"/>
      <c r="Q37" s="121">
        <f t="shared" si="6"/>
        <v>1.7528963859596247</v>
      </c>
      <c r="R37" s="121"/>
      <c r="S37" s="121">
        <v>54.01</v>
      </c>
      <c r="T37" s="120">
        <v>42.4</v>
      </c>
      <c r="U37" s="121">
        <f t="shared" si="7"/>
        <v>12.738207547169813</v>
      </c>
      <c r="V37" s="121">
        <f t="shared" si="8"/>
        <v>2.2008966782520272</v>
      </c>
      <c r="W37" s="121">
        <v>14.5</v>
      </c>
      <c r="X37" s="120">
        <v>25.8</v>
      </c>
      <c r="Y37" s="121">
        <f t="shared" si="13"/>
        <v>5.6201550387596901</v>
      </c>
      <c r="Z37" s="123">
        <f t="shared" si="9"/>
        <v>1.1403720579237608</v>
      </c>
      <c r="AA37" s="99">
        <f t="shared" ref="AA37:AA68" si="19">C37-(C37-E37)*E37/(2*D37)-(D37-2*E37)*E37/(2*D37)-PI()*E37*E37/(4*D37)-(1-PI()/4)*F37*F37/(2*D37)</f>
        <v>50.933480857081193</v>
      </c>
      <c r="AB37" s="99">
        <f t="shared" ref="AB37:AB68" si="20">((C37-2*E37)*(AA37-C37/2)*E37+((AA37-C37+E37)^2+(C37-AA37)^2)*(D37-E37)/2+PI()*E37*E37/4*AA37+(1-PI()/4)*F37*F37*((10-3*PI())/(12-3*PI())*F37+AA37-C37+E37))/1000</f>
        <v>14.562206491243272</v>
      </c>
      <c r="AE37" s="119">
        <v>35</v>
      </c>
      <c r="AF37" s="119">
        <v>16</v>
      </c>
      <c r="AG37" s="119">
        <f t="shared" si="14"/>
        <v>35</v>
      </c>
      <c r="AH37" s="119">
        <f t="shared" si="14"/>
        <v>16</v>
      </c>
      <c r="AI37" s="120">
        <v>18.3</v>
      </c>
      <c r="AJ37" s="120">
        <f t="shared" si="12"/>
        <v>18.3</v>
      </c>
      <c r="AK37" s="122"/>
    </row>
    <row r="38" spans="1:37" s="99" customFormat="1" x14ac:dyDescent="0.2">
      <c r="A38" s="100" t="s">
        <v>282</v>
      </c>
      <c r="B38" s="103">
        <f t="shared" si="15"/>
        <v>4.9455</v>
      </c>
      <c r="C38" s="101">
        <v>65</v>
      </c>
      <c r="D38" s="101">
        <v>65</v>
      </c>
      <c r="E38" s="102">
        <v>5</v>
      </c>
      <c r="F38" s="102">
        <v>7</v>
      </c>
      <c r="G38" s="102">
        <f t="shared" si="1"/>
        <v>3.5</v>
      </c>
      <c r="H38" s="103">
        <v>6.3</v>
      </c>
      <c r="I38" s="103">
        <v>25.07</v>
      </c>
      <c r="J38" s="103">
        <f t="shared" si="16"/>
        <v>5.3114406779661012</v>
      </c>
      <c r="K38" s="103"/>
      <c r="L38" s="103">
        <f t="shared" si="17"/>
        <v>1.9948345995006902</v>
      </c>
      <c r="M38" s="103"/>
      <c r="N38" s="103">
        <f t="shared" si="4"/>
        <v>25.07</v>
      </c>
      <c r="O38" s="103">
        <f t="shared" si="18"/>
        <v>5.3114406779661012</v>
      </c>
      <c r="P38" s="103"/>
      <c r="Q38" s="103">
        <f t="shared" si="6"/>
        <v>1.9948345995006902</v>
      </c>
      <c r="R38" s="103"/>
      <c r="S38" s="103">
        <v>39.81</v>
      </c>
      <c r="T38" s="102">
        <v>46</v>
      </c>
      <c r="U38" s="103">
        <f t="shared" si="7"/>
        <v>8.6543478260869566</v>
      </c>
      <c r="V38" s="103">
        <f t="shared" si="8"/>
        <v>2.5137715924577595</v>
      </c>
      <c r="W38" s="103">
        <v>10.33</v>
      </c>
      <c r="X38" s="102">
        <v>25.1</v>
      </c>
      <c r="Y38" s="103">
        <f t="shared" si="13"/>
        <v>4.1155378486055776</v>
      </c>
      <c r="Z38" s="105">
        <f t="shared" si="9"/>
        <v>1.2805008940576885</v>
      </c>
      <c r="AA38" s="99">
        <f t="shared" si="19"/>
        <v>60.193958475666179</v>
      </c>
      <c r="AB38" s="99">
        <f t="shared" si="20"/>
        <v>9.510295174083609</v>
      </c>
      <c r="AE38" s="101">
        <v>40</v>
      </c>
      <c r="AF38" s="101">
        <v>16</v>
      </c>
      <c r="AG38" s="101">
        <f t="shared" si="14"/>
        <v>40</v>
      </c>
      <c r="AH38" s="101">
        <f t="shared" si="14"/>
        <v>16</v>
      </c>
      <c r="AI38" s="102">
        <v>17.8</v>
      </c>
      <c r="AJ38" s="102">
        <f t="shared" si="12"/>
        <v>17.8</v>
      </c>
      <c r="AK38" s="104"/>
    </row>
    <row r="39" spans="1:37" x14ac:dyDescent="0.2">
      <c r="A39" s="106" t="s">
        <v>283</v>
      </c>
      <c r="B39" s="109">
        <f t="shared" si="15"/>
        <v>5.8953499999999996</v>
      </c>
      <c r="C39" s="107">
        <v>65</v>
      </c>
      <c r="D39" s="107">
        <v>65</v>
      </c>
      <c r="E39" s="108">
        <v>6</v>
      </c>
      <c r="F39" s="108">
        <v>8</v>
      </c>
      <c r="G39" s="108">
        <f t="shared" si="1"/>
        <v>4</v>
      </c>
      <c r="H39" s="109">
        <v>7.51</v>
      </c>
      <c r="I39" s="109">
        <v>29.36</v>
      </c>
      <c r="J39" s="109">
        <f t="shared" si="16"/>
        <v>6.2601279317697234</v>
      </c>
      <c r="K39" s="109"/>
      <c r="L39" s="109">
        <f t="shared" si="17"/>
        <v>1.9772339419632834</v>
      </c>
      <c r="M39" s="109"/>
      <c r="N39" s="109">
        <f t="shared" si="4"/>
        <v>29.36</v>
      </c>
      <c r="O39" s="109">
        <f t="shared" si="18"/>
        <v>6.2601279317697234</v>
      </c>
      <c r="P39" s="109"/>
      <c r="Q39" s="109">
        <f t="shared" si="6"/>
        <v>1.9772339419632834</v>
      </c>
      <c r="R39" s="109"/>
      <c r="S39" s="109">
        <v>46.59</v>
      </c>
      <c r="T39" s="108">
        <v>46</v>
      </c>
      <c r="U39" s="109">
        <f t="shared" si="7"/>
        <v>10.128260869565219</v>
      </c>
      <c r="V39" s="109">
        <f t="shared" si="8"/>
        <v>2.4907284802209486</v>
      </c>
      <c r="W39" s="109">
        <v>12.13</v>
      </c>
      <c r="X39" s="108">
        <v>25.6</v>
      </c>
      <c r="Y39" s="109">
        <f t="shared" si="13"/>
        <v>4.73828125</v>
      </c>
      <c r="Z39" s="111">
        <f t="shared" si="9"/>
        <v>1.270897226497711</v>
      </c>
      <c r="AA39" s="99">
        <f t="shared" si="19"/>
        <v>59.290129343790923</v>
      </c>
      <c r="AB39" s="99">
        <f t="shared" si="20"/>
        <v>11.188438177315774</v>
      </c>
      <c r="AE39" s="107">
        <v>40</v>
      </c>
      <c r="AF39" s="107">
        <v>16</v>
      </c>
      <c r="AG39" s="107">
        <f t="shared" si="14"/>
        <v>40</v>
      </c>
      <c r="AH39" s="107">
        <f t="shared" si="14"/>
        <v>16</v>
      </c>
      <c r="AI39" s="108">
        <v>18.100000000000001</v>
      </c>
      <c r="AJ39" s="108">
        <f t="shared" si="12"/>
        <v>18.100000000000001</v>
      </c>
      <c r="AK39" s="110"/>
    </row>
    <row r="40" spans="1:37" x14ac:dyDescent="0.2">
      <c r="A40" s="106" t="s">
        <v>284</v>
      </c>
      <c r="B40" s="109">
        <f t="shared" si="15"/>
        <v>6.8137999999999996</v>
      </c>
      <c r="C40" s="107">
        <v>65</v>
      </c>
      <c r="D40" s="107">
        <v>65</v>
      </c>
      <c r="E40" s="108">
        <v>7</v>
      </c>
      <c r="F40" s="108">
        <v>8</v>
      </c>
      <c r="G40" s="108">
        <f t="shared" si="1"/>
        <v>4</v>
      </c>
      <c r="H40" s="109">
        <v>8.68</v>
      </c>
      <c r="I40" s="109">
        <v>33.6</v>
      </c>
      <c r="J40" s="109">
        <f t="shared" si="16"/>
        <v>7.225806451612903</v>
      </c>
      <c r="K40" s="109"/>
      <c r="L40" s="109">
        <f t="shared" si="17"/>
        <v>1.9674775073518589</v>
      </c>
      <c r="M40" s="109"/>
      <c r="N40" s="109">
        <f t="shared" si="4"/>
        <v>33.6</v>
      </c>
      <c r="O40" s="109">
        <f t="shared" si="18"/>
        <v>7.225806451612903</v>
      </c>
      <c r="P40" s="109"/>
      <c r="Q40" s="109">
        <f t="shared" si="6"/>
        <v>1.9674775073518589</v>
      </c>
      <c r="R40" s="109"/>
      <c r="S40" s="109">
        <v>53.3</v>
      </c>
      <c r="T40" s="108">
        <v>46</v>
      </c>
      <c r="U40" s="109">
        <f t="shared" si="7"/>
        <v>11.586956521739131</v>
      </c>
      <c r="V40" s="109">
        <f t="shared" si="8"/>
        <v>2.4780139215492123</v>
      </c>
      <c r="W40" s="109">
        <v>13.91</v>
      </c>
      <c r="X40" s="108">
        <v>26.2</v>
      </c>
      <c r="Y40" s="109">
        <f t="shared" si="13"/>
        <v>5.3091603053435117</v>
      </c>
      <c r="Z40" s="111">
        <f t="shared" si="9"/>
        <v>1.2659125412965864</v>
      </c>
      <c r="AA40" s="99">
        <f t="shared" si="19"/>
        <v>58.433049711111444</v>
      </c>
      <c r="AB40" s="99">
        <f t="shared" si="20"/>
        <v>12.793415245365926</v>
      </c>
      <c r="AE40" s="107">
        <v>40</v>
      </c>
      <c r="AF40" s="107">
        <v>16</v>
      </c>
      <c r="AG40" s="107">
        <f t="shared" si="14"/>
        <v>40</v>
      </c>
      <c r="AH40" s="107">
        <f t="shared" si="14"/>
        <v>16</v>
      </c>
      <c r="AI40" s="108">
        <v>18.5</v>
      </c>
      <c r="AJ40" s="108">
        <f t="shared" si="12"/>
        <v>18.5</v>
      </c>
      <c r="AK40" s="110"/>
    </row>
    <row r="41" spans="1:37" x14ac:dyDescent="0.2">
      <c r="A41" s="106" t="s">
        <v>285</v>
      </c>
      <c r="B41" s="109">
        <f t="shared" si="15"/>
        <v>7.7165500000000007</v>
      </c>
      <c r="C41" s="107">
        <v>65</v>
      </c>
      <c r="D41" s="107">
        <v>65</v>
      </c>
      <c r="E41" s="108">
        <v>8</v>
      </c>
      <c r="F41" s="108">
        <v>8</v>
      </c>
      <c r="G41" s="108">
        <f t="shared" si="1"/>
        <v>4</v>
      </c>
      <c r="H41" s="109">
        <v>9.83</v>
      </c>
      <c r="I41" s="109">
        <v>37.659999999999997</v>
      </c>
      <c r="J41" s="109">
        <f t="shared" si="16"/>
        <v>8.1691973969631224</v>
      </c>
      <c r="K41" s="109"/>
      <c r="L41" s="109">
        <f t="shared" si="17"/>
        <v>1.9573270540044505</v>
      </c>
      <c r="M41" s="109"/>
      <c r="N41" s="109">
        <f t="shared" si="4"/>
        <v>37.659999999999997</v>
      </c>
      <c r="O41" s="109">
        <f t="shared" si="18"/>
        <v>8.1691973969631224</v>
      </c>
      <c r="P41" s="109"/>
      <c r="Q41" s="109">
        <f t="shared" si="6"/>
        <v>1.9573270540044505</v>
      </c>
      <c r="R41" s="109"/>
      <c r="S41" s="109">
        <v>59.68</v>
      </c>
      <c r="T41" s="108">
        <v>46</v>
      </c>
      <c r="U41" s="109">
        <f t="shared" si="7"/>
        <v>12.973913043478261</v>
      </c>
      <c r="V41" s="109">
        <f t="shared" si="8"/>
        <v>2.4639826663062343</v>
      </c>
      <c r="W41" s="109">
        <v>15.64</v>
      </c>
      <c r="X41" s="108">
        <v>26.8</v>
      </c>
      <c r="Y41" s="109">
        <f t="shared" si="13"/>
        <v>5.8358208955223878</v>
      </c>
      <c r="Z41" s="111">
        <f t="shared" si="9"/>
        <v>1.2613674376714759</v>
      </c>
      <c r="AA41" s="99">
        <f t="shared" si="19"/>
        <v>57.597957827250482</v>
      </c>
      <c r="AB41" s="99">
        <f t="shared" si="20"/>
        <v>14.338055860181759</v>
      </c>
      <c r="AE41" s="107">
        <v>40</v>
      </c>
      <c r="AF41" s="107">
        <v>16</v>
      </c>
      <c r="AG41" s="107">
        <f t="shared" si="14"/>
        <v>40</v>
      </c>
      <c r="AH41" s="107">
        <f t="shared" si="14"/>
        <v>16</v>
      </c>
      <c r="AI41" s="108">
        <v>18.899999999999999</v>
      </c>
      <c r="AJ41" s="108">
        <f t="shared" si="12"/>
        <v>18.899999999999999</v>
      </c>
      <c r="AK41" s="110"/>
    </row>
    <row r="42" spans="1:37" x14ac:dyDescent="0.2">
      <c r="A42" s="112" t="s">
        <v>286</v>
      </c>
      <c r="B42" s="115">
        <f t="shared" si="15"/>
        <v>8.6193000000000008</v>
      </c>
      <c r="C42" s="113">
        <v>65</v>
      </c>
      <c r="D42" s="113">
        <v>65</v>
      </c>
      <c r="E42" s="114">
        <v>9</v>
      </c>
      <c r="F42" s="114">
        <v>9</v>
      </c>
      <c r="G42" s="114">
        <f t="shared" si="1"/>
        <v>4.5</v>
      </c>
      <c r="H42" s="115">
        <v>10.98</v>
      </c>
      <c r="I42" s="115">
        <v>41.37</v>
      </c>
      <c r="J42" s="115">
        <f t="shared" si="16"/>
        <v>9.052516411378555</v>
      </c>
      <c r="K42" s="115"/>
      <c r="L42" s="115">
        <f t="shared" si="17"/>
        <v>1.9410717562319868</v>
      </c>
      <c r="M42" s="115"/>
      <c r="N42" s="115">
        <f t="shared" si="4"/>
        <v>41.37</v>
      </c>
      <c r="O42" s="115">
        <f t="shared" si="18"/>
        <v>9.052516411378555</v>
      </c>
      <c r="P42" s="115"/>
      <c r="Q42" s="115">
        <f t="shared" si="6"/>
        <v>1.9410717562319868</v>
      </c>
      <c r="R42" s="115"/>
      <c r="S42" s="115">
        <v>65.45</v>
      </c>
      <c r="T42" s="114">
        <v>46</v>
      </c>
      <c r="U42" s="115">
        <f t="shared" si="7"/>
        <v>14.228260869565217</v>
      </c>
      <c r="V42" s="115">
        <f t="shared" si="8"/>
        <v>2.4414827230737055</v>
      </c>
      <c r="W42" s="115">
        <v>17.29</v>
      </c>
      <c r="X42" s="114">
        <v>27.3</v>
      </c>
      <c r="Y42" s="115">
        <f t="shared" si="13"/>
        <v>6.3333333333333321</v>
      </c>
      <c r="Z42" s="117">
        <f t="shared" si="9"/>
        <v>1.2548630357993915</v>
      </c>
      <c r="AA42" s="99">
        <f t="shared" si="19"/>
        <v>56.756790375113901</v>
      </c>
      <c r="AB42" s="99">
        <f t="shared" si="20"/>
        <v>15.838083781678526</v>
      </c>
      <c r="AE42" s="113">
        <v>40</v>
      </c>
      <c r="AF42" s="113">
        <v>16</v>
      </c>
      <c r="AG42" s="113">
        <f t="shared" si="14"/>
        <v>40</v>
      </c>
      <c r="AH42" s="113">
        <f t="shared" si="14"/>
        <v>16</v>
      </c>
      <c r="AI42" s="114">
        <v>19.3</v>
      </c>
      <c r="AJ42" s="114">
        <f t="shared" si="12"/>
        <v>19.3</v>
      </c>
      <c r="AK42" s="116"/>
    </row>
    <row r="43" spans="1:37" s="99" customFormat="1" x14ac:dyDescent="0.2">
      <c r="A43" s="93" t="s">
        <v>287</v>
      </c>
      <c r="B43" s="96">
        <f t="shared" si="15"/>
        <v>5.3301500000000006</v>
      </c>
      <c r="C43" s="94">
        <v>70</v>
      </c>
      <c r="D43" s="94">
        <v>70</v>
      </c>
      <c r="E43" s="95">
        <v>5</v>
      </c>
      <c r="F43" s="95">
        <v>6</v>
      </c>
      <c r="G43" s="95">
        <f t="shared" si="1"/>
        <v>3</v>
      </c>
      <c r="H43" s="96">
        <v>6.79</v>
      </c>
      <c r="I43" s="96">
        <v>31.76</v>
      </c>
      <c r="J43" s="96">
        <f t="shared" si="16"/>
        <v>6.2396856581532418</v>
      </c>
      <c r="K43" s="96"/>
      <c r="L43" s="96">
        <f t="shared" si="17"/>
        <v>2.1627452145442083</v>
      </c>
      <c r="M43" s="96"/>
      <c r="N43" s="96">
        <f t="shared" si="4"/>
        <v>31.76</v>
      </c>
      <c r="O43" s="96">
        <f t="shared" si="18"/>
        <v>6.2396856581532418</v>
      </c>
      <c r="P43" s="96"/>
      <c r="Q43" s="96">
        <f t="shared" si="6"/>
        <v>2.1627452145442083</v>
      </c>
      <c r="R43" s="96"/>
      <c r="S43" s="96">
        <v>50.51</v>
      </c>
      <c r="T43" s="95">
        <v>49.5</v>
      </c>
      <c r="U43" s="96">
        <f t="shared" si="7"/>
        <v>10.204040404040404</v>
      </c>
      <c r="V43" s="96">
        <f t="shared" si="8"/>
        <v>2.7274311553038224</v>
      </c>
      <c r="W43" s="96">
        <v>13.01</v>
      </c>
      <c r="X43" s="95">
        <v>27</v>
      </c>
      <c r="Y43" s="96">
        <f t="shared" si="13"/>
        <v>4.818518518518518</v>
      </c>
      <c r="Z43" s="98">
        <f t="shared" si="9"/>
        <v>1.3842156693036682</v>
      </c>
      <c r="AA43" s="99">
        <f t="shared" si="19"/>
        <v>65.200031612231683</v>
      </c>
      <c r="AB43" s="99">
        <f t="shared" si="20"/>
        <v>11.102199032874985</v>
      </c>
      <c r="AE43" s="94">
        <v>40</v>
      </c>
      <c r="AF43" s="94">
        <v>16</v>
      </c>
      <c r="AG43" s="94">
        <f t="shared" ref="AG43:AH70" si="21">AE43</f>
        <v>40</v>
      </c>
      <c r="AH43" s="94">
        <f t="shared" si="21"/>
        <v>16</v>
      </c>
      <c r="AI43" s="95">
        <v>19.100000000000001</v>
      </c>
      <c r="AJ43" s="95">
        <f t="shared" si="12"/>
        <v>19.100000000000001</v>
      </c>
      <c r="AK43" s="97"/>
    </row>
    <row r="44" spans="1:37" x14ac:dyDescent="0.2">
      <c r="A44" s="118" t="s">
        <v>288</v>
      </c>
      <c r="B44" s="121">
        <f t="shared" si="15"/>
        <v>6.3820500000000004</v>
      </c>
      <c r="C44" s="119">
        <v>70</v>
      </c>
      <c r="D44" s="119">
        <v>70</v>
      </c>
      <c r="E44" s="120">
        <v>6</v>
      </c>
      <c r="F44" s="120">
        <v>9</v>
      </c>
      <c r="G44" s="120">
        <f t="shared" si="1"/>
        <v>4.5</v>
      </c>
      <c r="H44" s="121">
        <v>8.1300000000000008</v>
      </c>
      <c r="I44" s="121">
        <v>36.880000000000003</v>
      </c>
      <c r="J44" s="121">
        <f t="shared" si="16"/>
        <v>7.2741617357001971</v>
      </c>
      <c r="K44" s="121"/>
      <c r="L44" s="121">
        <f t="shared" si="17"/>
        <v>2.1298557140927712</v>
      </c>
      <c r="M44" s="121"/>
      <c r="N44" s="121">
        <f>I44</f>
        <v>36.880000000000003</v>
      </c>
      <c r="O44" s="121">
        <f t="shared" si="18"/>
        <v>7.2741617357001971</v>
      </c>
      <c r="P44" s="121"/>
      <c r="Q44" s="121">
        <f>SQRT(N44/$H44)</f>
        <v>2.1298557140927712</v>
      </c>
      <c r="R44" s="121"/>
      <c r="S44" s="121">
        <v>58.5</v>
      </c>
      <c r="T44" s="120">
        <v>49.5</v>
      </c>
      <c r="U44" s="121">
        <f>S44*10/T44</f>
        <v>11.818181818181818</v>
      </c>
      <c r="V44" s="121">
        <f>SQRT(S44/$H44)</f>
        <v>2.6824563287627918</v>
      </c>
      <c r="W44" s="121">
        <v>15.27</v>
      </c>
      <c r="X44" s="120">
        <v>27.3</v>
      </c>
      <c r="Y44" s="121">
        <f t="shared" si="13"/>
        <v>5.5934065934065931</v>
      </c>
      <c r="Z44" s="123">
        <f>SQRT(W44/$H44)</f>
        <v>1.3704848712363893</v>
      </c>
      <c r="AA44" s="99">
        <f t="shared" si="19"/>
        <v>64.243347024789841</v>
      </c>
      <c r="AB44" s="99">
        <f t="shared" si="20"/>
        <v>13.094642067247646</v>
      </c>
      <c r="AE44" s="119">
        <v>40</v>
      </c>
      <c r="AF44" s="119">
        <v>16</v>
      </c>
      <c r="AG44" s="119">
        <f t="shared" si="21"/>
        <v>40</v>
      </c>
      <c r="AH44" s="119">
        <f t="shared" si="21"/>
        <v>16</v>
      </c>
      <c r="AI44" s="120">
        <v>19.3</v>
      </c>
      <c r="AJ44" s="120">
        <f t="shared" si="12"/>
        <v>19.3</v>
      </c>
      <c r="AK44" s="122"/>
    </row>
    <row r="45" spans="1:37" x14ac:dyDescent="0.2">
      <c r="A45" s="118" t="s">
        <v>289</v>
      </c>
      <c r="B45" s="121">
        <f t="shared" si="15"/>
        <v>7.3790000000000004</v>
      </c>
      <c r="C45" s="119">
        <v>70</v>
      </c>
      <c r="D45" s="119">
        <v>70</v>
      </c>
      <c r="E45" s="120">
        <v>7</v>
      </c>
      <c r="F45" s="120">
        <v>9</v>
      </c>
      <c r="G45" s="120">
        <f t="shared" si="1"/>
        <v>4.5</v>
      </c>
      <c r="H45" s="121">
        <v>9.4</v>
      </c>
      <c r="I45" s="121">
        <v>42.3</v>
      </c>
      <c r="J45" s="121">
        <f t="shared" si="16"/>
        <v>8.4095427435387684</v>
      </c>
      <c r="K45" s="121"/>
      <c r="L45" s="121">
        <f t="shared" si="17"/>
        <v>2.1213203435596424</v>
      </c>
      <c r="M45" s="121"/>
      <c r="N45" s="121">
        <f t="shared" ref="N45:N65" si="22">I45</f>
        <v>42.3</v>
      </c>
      <c r="O45" s="121">
        <f t="shared" si="18"/>
        <v>8.4095427435387684</v>
      </c>
      <c r="P45" s="121"/>
      <c r="Q45" s="121">
        <f t="shared" ref="Q45:Q65" si="23">SQRT(N45/$H45)</f>
        <v>2.1213203435596424</v>
      </c>
      <c r="R45" s="121"/>
      <c r="S45" s="121">
        <v>67.09</v>
      </c>
      <c r="T45" s="120">
        <v>49.5</v>
      </c>
      <c r="U45" s="121">
        <f t="shared" ref="U45:U65" si="24">S45*10/T45</f>
        <v>13.553535353535356</v>
      </c>
      <c r="V45" s="121">
        <f t="shared" ref="V45:V65" si="25">SQRT(S45/$H45)</f>
        <v>2.6715602262635203</v>
      </c>
      <c r="W45" s="121">
        <v>17.5</v>
      </c>
      <c r="X45" s="120">
        <v>27.9</v>
      </c>
      <c r="Y45" s="121">
        <f t="shared" si="13"/>
        <v>6.2724014336917566</v>
      </c>
      <c r="Z45" s="123">
        <f t="shared" ref="Z45:Z65" si="26">SQRT(W45/$H45)</f>
        <v>1.3644420572745384</v>
      </c>
      <c r="AA45" s="99">
        <f t="shared" si="19"/>
        <v>63.376058794444596</v>
      </c>
      <c r="AB45" s="99">
        <f t="shared" si="20"/>
        <v>14.990460836009236</v>
      </c>
      <c r="AE45" s="119">
        <v>40</v>
      </c>
      <c r="AF45" s="119">
        <v>16</v>
      </c>
      <c r="AG45" s="119">
        <f t="shared" si="21"/>
        <v>40</v>
      </c>
      <c r="AH45" s="119">
        <f t="shared" si="21"/>
        <v>16</v>
      </c>
      <c r="AI45" s="120">
        <v>19.7</v>
      </c>
      <c r="AJ45" s="120">
        <f t="shared" si="12"/>
        <v>19.7</v>
      </c>
      <c r="AK45" s="122"/>
    </row>
    <row r="46" spans="1:37" x14ac:dyDescent="0.2">
      <c r="A46" s="118" t="s">
        <v>290</v>
      </c>
      <c r="B46" s="121">
        <f t="shared" si="15"/>
        <v>9.325800000000001</v>
      </c>
      <c r="C46" s="119">
        <v>70</v>
      </c>
      <c r="D46" s="119">
        <v>70</v>
      </c>
      <c r="E46" s="120">
        <v>9</v>
      </c>
      <c r="F46" s="120">
        <v>9</v>
      </c>
      <c r="G46" s="120">
        <f t="shared" si="1"/>
        <v>4.5</v>
      </c>
      <c r="H46" s="121">
        <v>11.88</v>
      </c>
      <c r="I46" s="121">
        <v>52.47</v>
      </c>
      <c r="J46" s="121">
        <f t="shared" si="16"/>
        <v>10.600000000000001</v>
      </c>
      <c r="K46" s="121"/>
      <c r="L46" s="121">
        <f t="shared" si="17"/>
        <v>2.1015867021530816</v>
      </c>
      <c r="M46" s="121"/>
      <c r="N46" s="121">
        <f t="shared" si="22"/>
        <v>52.47</v>
      </c>
      <c r="O46" s="121">
        <f t="shared" si="18"/>
        <v>10.600000000000001</v>
      </c>
      <c r="P46" s="121"/>
      <c r="Q46" s="121">
        <f t="shared" si="23"/>
        <v>2.1015867021530816</v>
      </c>
      <c r="R46" s="121"/>
      <c r="S46" s="121">
        <v>83.09</v>
      </c>
      <c r="T46" s="120">
        <v>49.5</v>
      </c>
      <c r="U46" s="121">
        <f t="shared" si="24"/>
        <v>16.785858585858588</v>
      </c>
      <c r="V46" s="121">
        <f t="shared" si="25"/>
        <v>2.6446375449402786</v>
      </c>
      <c r="W46" s="121">
        <v>21.84</v>
      </c>
      <c r="X46" s="120">
        <v>29</v>
      </c>
      <c r="Y46" s="121">
        <f t="shared" si="13"/>
        <v>7.5310344827586206</v>
      </c>
      <c r="Z46" s="123">
        <f t="shared" si="26"/>
        <v>1.3558701406786118</v>
      </c>
      <c r="AA46" s="99">
        <f t="shared" si="19"/>
        <v>61.702733919748617</v>
      </c>
      <c r="AB46" s="99">
        <f t="shared" si="20"/>
        <v>18.584220996909934</v>
      </c>
      <c r="AE46" s="119">
        <v>40</v>
      </c>
      <c r="AF46" s="119">
        <v>16</v>
      </c>
      <c r="AG46" s="119">
        <f t="shared" si="21"/>
        <v>40</v>
      </c>
      <c r="AH46" s="119">
        <f t="shared" si="21"/>
        <v>16</v>
      </c>
      <c r="AI46" s="120">
        <v>20.5</v>
      </c>
      <c r="AJ46" s="120">
        <f t="shared" si="12"/>
        <v>20.5</v>
      </c>
      <c r="AK46" s="122"/>
    </row>
    <row r="47" spans="1:37" s="99" customFormat="1" x14ac:dyDescent="0.2">
      <c r="A47" s="100" t="s">
        <v>291</v>
      </c>
      <c r="B47" s="103">
        <f t="shared" si="15"/>
        <v>5.7226500000000007</v>
      </c>
      <c r="C47" s="101">
        <v>75</v>
      </c>
      <c r="D47" s="101">
        <v>75</v>
      </c>
      <c r="E47" s="102">
        <v>5</v>
      </c>
      <c r="F47" s="102">
        <v>6</v>
      </c>
      <c r="G47" s="102">
        <f t="shared" si="1"/>
        <v>3</v>
      </c>
      <c r="H47" s="103">
        <v>7.29</v>
      </c>
      <c r="I47" s="103">
        <v>39.369999999999997</v>
      </c>
      <c r="J47" s="103">
        <f t="shared" si="16"/>
        <v>7.2106227106227099</v>
      </c>
      <c r="K47" s="103"/>
      <c r="L47" s="103">
        <f t="shared" si="17"/>
        <v>2.3239080654890358</v>
      </c>
      <c r="M47" s="103"/>
      <c r="N47" s="103">
        <f t="shared" si="22"/>
        <v>39.369999999999997</v>
      </c>
      <c r="O47" s="103">
        <f t="shared" si="18"/>
        <v>7.2106227106227099</v>
      </c>
      <c r="P47" s="103"/>
      <c r="Q47" s="103">
        <f t="shared" si="23"/>
        <v>2.3239080654890358</v>
      </c>
      <c r="R47" s="103"/>
      <c r="S47" s="103">
        <v>62.64</v>
      </c>
      <c r="T47" s="102">
        <v>53</v>
      </c>
      <c r="U47" s="103">
        <f t="shared" si="24"/>
        <v>11.818867924528302</v>
      </c>
      <c r="V47" s="103">
        <f t="shared" si="25"/>
        <v>2.9313124351717601</v>
      </c>
      <c r="W47" s="103">
        <v>16.100000000000001</v>
      </c>
      <c r="X47" s="102">
        <v>28.8</v>
      </c>
      <c r="Y47" s="103">
        <f t="shared" si="13"/>
        <v>5.5902777777777777</v>
      </c>
      <c r="Z47" s="105">
        <f t="shared" si="26"/>
        <v>1.4861038998325096</v>
      </c>
      <c r="AA47" s="99">
        <f t="shared" si="19"/>
        <v>70.186696171416244</v>
      </c>
      <c r="AB47" s="99">
        <f t="shared" si="20"/>
        <v>12.825181383635186</v>
      </c>
      <c r="AE47" s="101">
        <v>40</v>
      </c>
      <c r="AF47" s="101">
        <v>16</v>
      </c>
      <c r="AG47" s="101">
        <f t="shared" si="21"/>
        <v>40</v>
      </c>
      <c r="AH47" s="101">
        <f t="shared" si="21"/>
        <v>16</v>
      </c>
      <c r="AI47" s="102">
        <v>20.399999999999999</v>
      </c>
      <c r="AJ47" s="102">
        <f t="shared" si="12"/>
        <v>20.399999999999999</v>
      </c>
      <c r="AK47" s="104"/>
    </row>
    <row r="48" spans="1:37" x14ac:dyDescent="0.2">
      <c r="A48" s="106" t="s">
        <v>292</v>
      </c>
      <c r="B48" s="109">
        <f t="shared" si="15"/>
        <v>6.8530500000000005</v>
      </c>
      <c r="C48" s="107">
        <v>75</v>
      </c>
      <c r="D48" s="107">
        <v>75</v>
      </c>
      <c r="E48" s="108">
        <v>6</v>
      </c>
      <c r="F48" s="108">
        <v>9</v>
      </c>
      <c r="G48" s="108">
        <f t="shared" si="1"/>
        <v>4.5</v>
      </c>
      <c r="H48" s="109">
        <v>8.73</v>
      </c>
      <c r="I48" s="109">
        <v>45.83</v>
      </c>
      <c r="J48" s="109">
        <f t="shared" si="16"/>
        <v>8.4091743119266038</v>
      </c>
      <c r="K48" s="109"/>
      <c r="L48" s="109">
        <f t="shared" si="17"/>
        <v>2.2912253558209699</v>
      </c>
      <c r="M48" s="109"/>
      <c r="N48" s="109">
        <f t="shared" si="22"/>
        <v>45.83</v>
      </c>
      <c r="O48" s="109">
        <f t="shared" si="18"/>
        <v>8.4091743119266038</v>
      </c>
      <c r="P48" s="109"/>
      <c r="Q48" s="109">
        <f t="shared" si="23"/>
        <v>2.2912253558209699</v>
      </c>
      <c r="R48" s="109"/>
      <c r="S48" s="109">
        <v>72.72</v>
      </c>
      <c r="T48" s="108">
        <v>53</v>
      </c>
      <c r="U48" s="109">
        <f t="shared" si="24"/>
        <v>13.720754716981133</v>
      </c>
      <c r="V48" s="109">
        <f t="shared" si="25"/>
        <v>2.8861560781109006</v>
      </c>
      <c r="W48" s="109">
        <v>18.940000000000001</v>
      </c>
      <c r="X48" s="108">
        <v>29</v>
      </c>
      <c r="Y48" s="109">
        <f t="shared" si="13"/>
        <v>6.5310344827586206</v>
      </c>
      <c r="Z48" s="111">
        <f t="shared" si="26"/>
        <v>1.4729325697727529</v>
      </c>
      <c r="AA48" s="99">
        <f t="shared" si="19"/>
        <v>69.227123889803835</v>
      </c>
      <c r="AB48" s="99">
        <f t="shared" si="20"/>
        <v>15.140626513968547</v>
      </c>
      <c r="AE48" s="107">
        <v>40</v>
      </c>
      <c r="AF48" s="107">
        <v>16</v>
      </c>
      <c r="AG48" s="107">
        <f t="shared" si="21"/>
        <v>40</v>
      </c>
      <c r="AH48" s="107">
        <f t="shared" si="21"/>
        <v>16</v>
      </c>
      <c r="AI48" s="108">
        <v>20.5</v>
      </c>
      <c r="AJ48" s="108">
        <f t="shared" si="12"/>
        <v>20.5</v>
      </c>
      <c r="AK48" s="110"/>
    </row>
    <row r="49" spans="1:37" x14ac:dyDescent="0.2">
      <c r="A49" s="106" t="s">
        <v>293</v>
      </c>
      <c r="B49" s="109">
        <f t="shared" si="15"/>
        <v>7.9284999999999997</v>
      </c>
      <c r="C49" s="107">
        <v>75</v>
      </c>
      <c r="D49" s="107">
        <v>75</v>
      </c>
      <c r="E49" s="108">
        <v>7</v>
      </c>
      <c r="F49" s="108">
        <v>9</v>
      </c>
      <c r="G49" s="108">
        <f t="shared" si="1"/>
        <v>4.5</v>
      </c>
      <c r="H49" s="109">
        <v>10.1</v>
      </c>
      <c r="I49" s="109">
        <v>52.61</v>
      </c>
      <c r="J49" s="109">
        <f t="shared" si="16"/>
        <v>9.7425925925925938</v>
      </c>
      <c r="K49" s="109"/>
      <c r="L49" s="109">
        <f t="shared" si="17"/>
        <v>2.2823038559948823</v>
      </c>
      <c r="M49" s="109"/>
      <c r="N49" s="109">
        <f t="shared" si="22"/>
        <v>52.61</v>
      </c>
      <c r="O49" s="109">
        <f t="shared" si="18"/>
        <v>9.7425925925925938</v>
      </c>
      <c r="P49" s="109"/>
      <c r="Q49" s="109">
        <f t="shared" si="23"/>
        <v>2.2823038559948823</v>
      </c>
      <c r="R49" s="109"/>
      <c r="S49" s="109">
        <v>83.49</v>
      </c>
      <c r="T49" s="108">
        <v>53</v>
      </c>
      <c r="U49" s="109">
        <f t="shared" si="24"/>
        <v>15.752830188679244</v>
      </c>
      <c r="V49" s="109">
        <f t="shared" si="25"/>
        <v>2.8751237597125043</v>
      </c>
      <c r="W49" s="109">
        <v>21.73</v>
      </c>
      <c r="X49" s="108">
        <v>29.6</v>
      </c>
      <c r="Y49" s="109">
        <f t="shared" si="13"/>
        <v>7.3412162162162167</v>
      </c>
      <c r="Z49" s="111">
        <f t="shared" si="26"/>
        <v>1.4667941738754118</v>
      </c>
      <c r="AA49" s="99">
        <f t="shared" si="19"/>
        <v>68.350988208148294</v>
      </c>
      <c r="AB49" s="99">
        <f t="shared" si="20"/>
        <v>17.352178851288201</v>
      </c>
      <c r="AE49" s="107">
        <v>40</v>
      </c>
      <c r="AF49" s="107">
        <v>16</v>
      </c>
      <c r="AG49" s="107">
        <f t="shared" si="21"/>
        <v>40</v>
      </c>
      <c r="AH49" s="107">
        <f t="shared" si="21"/>
        <v>16</v>
      </c>
      <c r="AI49" s="108">
        <v>21</v>
      </c>
      <c r="AJ49" s="108">
        <f t="shared" si="12"/>
        <v>21</v>
      </c>
      <c r="AK49" s="110"/>
    </row>
    <row r="50" spans="1:37" x14ac:dyDescent="0.2">
      <c r="A50" s="106" t="s">
        <v>294</v>
      </c>
      <c r="B50" s="109">
        <f t="shared" si="15"/>
        <v>8.988249999999999</v>
      </c>
      <c r="C50" s="107">
        <v>75</v>
      </c>
      <c r="D50" s="107">
        <v>75</v>
      </c>
      <c r="E50" s="108">
        <v>8</v>
      </c>
      <c r="F50" s="108">
        <v>9</v>
      </c>
      <c r="G50" s="108">
        <f t="shared" si="1"/>
        <v>4.5</v>
      </c>
      <c r="H50" s="109">
        <v>11.45</v>
      </c>
      <c r="I50" s="109">
        <v>59.13</v>
      </c>
      <c r="J50" s="109">
        <f t="shared" si="16"/>
        <v>11.031716417910449</v>
      </c>
      <c r="K50" s="109"/>
      <c r="L50" s="109">
        <f t="shared" si="17"/>
        <v>2.2724858942880135</v>
      </c>
      <c r="M50" s="109"/>
      <c r="N50" s="109">
        <f t="shared" si="22"/>
        <v>59.13</v>
      </c>
      <c r="O50" s="109">
        <f t="shared" si="18"/>
        <v>11.031716417910449</v>
      </c>
      <c r="P50" s="109"/>
      <c r="Q50" s="109">
        <f t="shared" si="23"/>
        <v>2.2724858942880135</v>
      </c>
      <c r="R50" s="109"/>
      <c r="S50" s="109">
        <v>93.8</v>
      </c>
      <c r="T50" s="108">
        <v>53</v>
      </c>
      <c r="U50" s="109">
        <f t="shared" si="24"/>
        <v>17.69811320754717</v>
      </c>
      <c r="V50" s="109">
        <f t="shared" si="25"/>
        <v>2.8621914223180926</v>
      </c>
      <c r="W50" s="109">
        <v>24.46</v>
      </c>
      <c r="X50" s="108">
        <v>30.2</v>
      </c>
      <c r="Y50" s="109">
        <f t="shared" si="13"/>
        <v>8.0993377483443716</v>
      </c>
      <c r="Z50" s="111">
        <f t="shared" si="26"/>
        <v>1.4615897309042358</v>
      </c>
      <c r="AA50" s="99">
        <f t="shared" si="19"/>
        <v>67.493908575468794</v>
      </c>
      <c r="AB50" s="99">
        <f t="shared" si="20"/>
        <v>19.488878316839227</v>
      </c>
      <c r="AE50" s="107">
        <v>40</v>
      </c>
      <c r="AF50" s="107">
        <v>16</v>
      </c>
      <c r="AG50" s="107">
        <f t="shared" si="21"/>
        <v>40</v>
      </c>
      <c r="AH50" s="107">
        <f t="shared" si="21"/>
        <v>16</v>
      </c>
      <c r="AI50" s="108">
        <v>21.4</v>
      </c>
      <c r="AJ50" s="108">
        <f t="shared" si="12"/>
        <v>21.4</v>
      </c>
      <c r="AK50" s="110"/>
    </row>
    <row r="51" spans="1:37" x14ac:dyDescent="0.2">
      <c r="A51" s="112" t="s">
        <v>295</v>
      </c>
      <c r="B51" s="115">
        <f t="shared" si="15"/>
        <v>11.07635</v>
      </c>
      <c r="C51" s="113">
        <v>75</v>
      </c>
      <c r="D51" s="113">
        <v>75</v>
      </c>
      <c r="E51" s="114">
        <v>10</v>
      </c>
      <c r="F51" s="114">
        <v>10</v>
      </c>
      <c r="G51" s="114">
        <f t="shared" si="1"/>
        <v>5</v>
      </c>
      <c r="H51" s="115">
        <v>14.11</v>
      </c>
      <c r="I51" s="115">
        <v>71.17</v>
      </c>
      <c r="J51" s="115">
        <f t="shared" si="16"/>
        <v>13.453686200378073</v>
      </c>
      <c r="K51" s="115"/>
      <c r="L51" s="115">
        <f t="shared" si="17"/>
        <v>2.2458718725148517</v>
      </c>
      <c r="M51" s="115"/>
      <c r="N51" s="115">
        <f t="shared" si="22"/>
        <v>71.17</v>
      </c>
      <c r="O51" s="115">
        <f t="shared" si="18"/>
        <v>13.453686200378073</v>
      </c>
      <c r="P51" s="115"/>
      <c r="Q51" s="115">
        <f t="shared" si="23"/>
        <v>2.2458718725148517</v>
      </c>
      <c r="R51" s="115"/>
      <c r="S51" s="115">
        <v>112.66</v>
      </c>
      <c r="T51" s="114">
        <v>53</v>
      </c>
      <c r="U51" s="115">
        <f t="shared" si="24"/>
        <v>21.256603773584903</v>
      </c>
      <c r="V51" s="115">
        <f t="shared" si="25"/>
        <v>2.8256695173214741</v>
      </c>
      <c r="W51" s="115">
        <v>29.69</v>
      </c>
      <c r="X51" s="114">
        <v>31.3</v>
      </c>
      <c r="Y51" s="115">
        <f t="shared" si="13"/>
        <v>9.4856230031948883</v>
      </c>
      <c r="Z51" s="117">
        <f t="shared" si="26"/>
        <v>1.4505796881277457</v>
      </c>
      <c r="AA51" s="99">
        <f t="shared" si="19"/>
        <v>65.809734557735027</v>
      </c>
      <c r="AB51" s="99">
        <f t="shared" si="20"/>
        <v>23.570641785528672</v>
      </c>
      <c r="AE51" s="113">
        <v>40</v>
      </c>
      <c r="AF51" s="113">
        <v>16</v>
      </c>
      <c r="AG51" s="113">
        <f t="shared" si="21"/>
        <v>40</v>
      </c>
      <c r="AH51" s="113">
        <f t="shared" si="21"/>
        <v>16</v>
      </c>
      <c r="AI51" s="114">
        <v>22.1</v>
      </c>
      <c r="AJ51" s="114">
        <f t="shared" si="12"/>
        <v>22.1</v>
      </c>
      <c r="AK51" s="116"/>
    </row>
    <row r="52" spans="1:37" s="99" customFormat="1" x14ac:dyDescent="0.2">
      <c r="A52" s="93" t="s">
        <v>296</v>
      </c>
      <c r="B52" s="96">
        <f t="shared" si="15"/>
        <v>6.1151499999999999</v>
      </c>
      <c r="C52" s="94">
        <v>80</v>
      </c>
      <c r="D52" s="94">
        <v>80</v>
      </c>
      <c r="E52" s="95">
        <v>5</v>
      </c>
      <c r="F52" s="95">
        <v>6</v>
      </c>
      <c r="G52" s="95">
        <f t="shared" si="1"/>
        <v>3</v>
      </c>
      <c r="H52" s="96">
        <v>7.79</v>
      </c>
      <c r="I52" s="96">
        <v>48.11</v>
      </c>
      <c r="J52" s="96">
        <f t="shared" si="16"/>
        <v>8.2380136986301373</v>
      </c>
      <c r="K52" s="96"/>
      <c r="L52" s="96">
        <f t="shared" si="17"/>
        <v>2.4851290701907338</v>
      </c>
      <c r="M52" s="96"/>
      <c r="N52" s="96">
        <f t="shared" si="22"/>
        <v>48.11</v>
      </c>
      <c r="O52" s="96">
        <f t="shared" si="18"/>
        <v>8.2380136986301373</v>
      </c>
      <c r="P52" s="96"/>
      <c r="Q52" s="96">
        <f t="shared" si="23"/>
        <v>2.4851290701907338</v>
      </c>
      <c r="R52" s="96"/>
      <c r="S52" s="96">
        <v>76.58</v>
      </c>
      <c r="T52" s="95">
        <v>56.6</v>
      </c>
      <c r="U52" s="96">
        <f t="shared" si="24"/>
        <v>13.530035335689044</v>
      </c>
      <c r="V52" s="96">
        <f t="shared" si="25"/>
        <v>3.1353711087733176</v>
      </c>
      <c r="W52" s="96">
        <v>19.649999999999999</v>
      </c>
      <c r="X52" s="95">
        <v>30.5</v>
      </c>
      <c r="Y52" s="96">
        <f t="shared" si="13"/>
        <v>6.442622950819672</v>
      </c>
      <c r="Z52" s="98">
        <f t="shared" si="26"/>
        <v>1.5882269039187045</v>
      </c>
      <c r="AA52" s="99">
        <f t="shared" si="19"/>
        <v>75.175027660702725</v>
      </c>
      <c r="AB52" s="99">
        <f t="shared" si="20"/>
        <v>14.673186328059071</v>
      </c>
      <c r="AE52" s="94">
        <v>45</v>
      </c>
      <c r="AF52" s="94">
        <v>20</v>
      </c>
      <c r="AG52" s="94">
        <f t="shared" si="21"/>
        <v>45</v>
      </c>
      <c r="AH52" s="94">
        <f t="shared" si="21"/>
        <v>20</v>
      </c>
      <c r="AI52" s="95">
        <v>21.6</v>
      </c>
      <c r="AJ52" s="95">
        <f t="shared" si="12"/>
        <v>21.6</v>
      </c>
      <c r="AK52" s="97"/>
    </row>
    <row r="53" spans="1:37" x14ac:dyDescent="0.2">
      <c r="A53" s="118" t="s">
        <v>297</v>
      </c>
      <c r="B53" s="121">
        <f t="shared" si="15"/>
        <v>6.7510000000000003</v>
      </c>
      <c r="C53" s="119">
        <v>80</v>
      </c>
      <c r="D53" s="119">
        <v>80</v>
      </c>
      <c r="E53" s="120">
        <v>5.5</v>
      </c>
      <c r="F53" s="119">
        <v>10</v>
      </c>
      <c r="G53" s="120">
        <f t="shared" si="1"/>
        <v>5</v>
      </c>
      <c r="H53" s="121">
        <v>8.6</v>
      </c>
      <c r="I53" s="121">
        <v>51.52</v>
      </c>
      <c r="J53" s="121">
        <f t="shared" si="16"/>
        <v>8.7918088737201376</v>
      </c>
      <c r="K53" s="121"/>
      <c r="L53" s="121">
        <f t="shared" si="17"/>
        <v>2.4475901769737933</v>
      </c>
      <c r="M53" s="121"/>
      <c r="N53" s="121">
        <f t="shared" si="22"/>
        <v>51.52</v>
      </c>
      <c r="O53" s="121">
        <f t="shared" si="18"/>
        <v>8.7918088737201376</v>
      </c>
      <c r="P53" s="121"/>
      <c r="Q53" s="121">
        <f t="shared" si="23"/>
        <v>2.4475901769737933</v>
      </c>
      <c r="R53" s="121"/>
      <c r="S53" s="121">
        <v>81.66</v>
      </c>
      <c r="T53" s="120">
        <v>56.6</v>
      </c>
      <c r="U53" s="121">
        <f t="shared" si="24"/>
        <v>14.427561837455828</v>
      </c>
      <c r="V53" s="121">
        <f t="shared" si="25"/>
        <v>3.0814523908717626</v>
      </c>
      <c r="W53" s="121">
        <v>21.39</v>
      </c>
      <c r="X53" s="120">
        <v>30.3</v>
      </c>
      <c r="Y53" s="121">
        <f t="shared" si="13"/>
        <v>7.0594059405940595</v>
      </c>
      <c r="Z53" s="123">
        <f t="shared" si="26"/>
        <v>1.5770888695078604</v>
      </c>
      <c r="AA53" s="99">
        <f t="shared" si="19"/>
        <v>74.636082671588738</v>
      </c>
      <c r="AB53" s="99">
        <f t="shared" si="20"/>
        <v>16.04090718417859</v>
      </c>
      <c r="AE53" s="119">
        <v>45</v>
      </c>
      <c r="AF53" s="119">
        <v>20</v>
      </c>
      <c r="AG53" s="119">
        <f t="shared" si="21"/>
        <v>45</v>
      </c>
      <c r="AH53" s="119">
        <f t="shared" si="21"/>
        <v>20</v>
      </c>
      <c r="AI53" s="120">
        <v>21.4</v>
      </c>
      <c r="AJ53" s="120">
        <f t="shared" si="12"/>
        <v>21.4</v>
      </c>
      <c r="AK53" s="122"/>
    </row>
    <row r="54" spans="1:37" x14ac:dyDescent="0.2">
      <c r="A54" s="118" t="s">
        <v>298</v>
      </c>
      <c r="B54" s="121">
        <f t="shared" si="15"/>
        <v>7.3397500000000004</v>
      </c>
      <c r="C54" s="119">
        <v>80</v>
      </c>
      <c r="D54" s="119">
        <v>80</v>
      </c>
      <c r="E54" s="120">
        <v>6</v>
      </c>
      <c r="F54" s="119">
        <v>10</v>
      </c>
      <c r="G54" s="120">
        <f t="shared" si="1"/>
        <v>5</v>
      </c>
      <c r="H54" s="121">
        <v>9.35</v>
      </c>
      <c r="I54" s="121">
        <v>55.82</v>
      </c>
      <c r="J54" s="121">
        <f t="shared" si="16"/>
        <v>9.5746140651801035</v>
      </c>
      <c r="K54" s="121"/>
      <c r="L54" s="121">
        <f t="shared" si="17"/>
        <v>2.443369287671397</v>
      </c>
      <c r="M54" s="121"/>
      <c r="N54" s="121">
        <f t="shared" si="22"/>
        <v>55.82</v>
      </c>
      <c r="O54" s="121">
        <f t="shared" si="18"/>
        <v>9.5746140651801035</v>
      </c>
      <c r="P54" s="121"/>
      <c r="Q54" s="121">
        <f t="shared" si="23"/>
        <v>2.443369287671397</v>
      </c>
      <c r="R54" s="121"/>
      <c r="S54" s="121">
        <v>88.52</v>
      </c>
      <c r="T54" s="120">
        <v>56.6</v>
      </c>
      <c r="U54" s="121">
        <f t="shared" si="24"/>
        <v>15.639575971731448</v>
      </c>
      <c r="V54" s="121">
        <f t="shared" si="25"/>
        <v>3.0769107362977537</v>
      </c>
      <c r="W54" s="121">
        <v>23.13</v>
      </c>
      <c r="X54" s="120">
        <v>30.7</v>
      </c>
      <c r="Y54" s="121">
        <f t="shared" si="13"/>
        <v>7.5342019543973935</v>
      </c>
      <c r="Z54" s="123">
        <f t="shared" si="26"/>
        <v>1.572830820986113</v>
      </c>
      <c r="AA54" s="99">
        <f t="shared" si="19"/>
        <v>74.187444678594545</v>
      </c>
      <c r="AB54" s="99">
        <f t="shared" si="20"/>
        <v>17.349410367010577</v>
      </c>
      <c r="AE54" s="119">
        <v>45</v>
      </c>
      <c r="AF54" s="119">
        <v>20</v>
      </c>
      <c r="AG54" s="119">
        <f t="shared" si="21"/>
        <v>45</v>
      </c>
      <c r="AH54" s="119">
        <f t="shared" si="21"/>
        <v>20</v>
      </c>
      <c r="AI54" s="120">
        <v>21.7</v>
      </c>
      <c r="AJ54" s="120">
        <f t="shared" si="12"/>
        <v>21.7</v>
      </c>
      <c r="AK54" s="122"/>
    </row>
    <row r="55" spans="1:37" x14ac:dyDescent="0.2">
      <c r="A55" s="118" t="s">
        <v>299</v>
      </c>
      <c r="B55" s="121">
        <f t="shared" si="15"/>
        <v>7.9128000000000007</v>
      </c>
      <c r="C55" s="119">
        <v>80</v>
      </c>
      <c r="D55" s="119">
        <v>80</v>
      </c>
      <c r="E55" s="120">
        <v>6.5</v>
      </c>
      <c r="F55" s="119">
        <v>10</v>
      </c>
      <c r="G55" s="120">
        <f t="shared" si="1"/>
        <v>5</v>
      </c>
      <c r="H55" s="121">
        <v>10.08</v>
      </c>
      <c r="I55" s="121">
        <v>60.04</v>
      </c>
      <c r="J55" s="121">
        <f t="shared" si="16"/>
        <v>10.333907056798623</v>
      </c>
      <c r="K55" s="121"/>
      <c r="L55" s="121">
        <f t="shared" si="17"/>
        <v>2.4405632969356086</v>
      </c>
      <c r="M55" s="121"/>
      <c r="N55" s="121">
        <f t="shared" si="22"/>
        <v>60.04</v>
      </c>
      <c r="O55" s="121">
        <f t="shared" si="18"/>
        <v>10.333907056798623</v>
      </c>
      <c r="P55" s="121"/>
      <c r="Q55" s="121">
        <f t="shared" si="23"/>
        <v>2.4405632969356086</v>
      </c>
      <c r="R55" s="121"/>
      <c r="S55" s="121">
        <v>95.24</v>
      </c>
      <c r="T55" s="120">
        <v>56.6</v>
      </c>
      <c r="U55" s="121">
        <f t="shared" si="24"/>
        <v>16.82685512367491</v>
      </c>
      <c r="V55" s="121">
        <f t="shared" si="25"/>
        <v>3.0738270443231999</v>
      </c>
      <c r="W55" s="121">
        <v>24.85</v>
      </c>
      <c r="X55" s="120">
        <v>31</v>
      </c>
      <c r="Y55" s="121">
        <f t="shared" si="13"/>
        <v>8.0161290322580641</v>
      </c>
      <c r="Z55" s="123">
        <f t="shared" si="26"/>
        <v>1.5701203067847311</v>
      </c>
      <c r="AA55" s="99">
        <f t="shared" si="19"/>
        <v>73.74327294707912</v>
      </c>
      <c r="AB55" s="99">
        <f t="shared" si="20"/>
        <v>18.636193292441153</v>
      </c>
      <c r="AE55" s="119">
        <v>45</v>
      </c>
      <c r="AF55" s="119">
        <v>20</v>
      </c>
      <c r="AG55" s="119">
        <f t="shared" si="21"/>
        <v>45</v>
      </c>
      <c r="AH55" s="119">
        <f t="shared" si="21"/>
        <v>20</v>
      </c>
      <c r="AI55" s="120">
        <v>21.9</v>
      </c>
      <c r="AJ55" s="120">
        <f t="shared" si="12"/>
        <v>21.9</v>
      </c>
      <c r="AK55" s="122"/>
    </row>
    <row r="56" spans="1:37" x14ac:dyDescent="0.2">
      <c r="A56" s="118" t="s">
        <v>300</v>
      </c>
      <c r="B56" s="121">
        <f t="shared" si="15"/>
        <v>9.6319499999999998</v>
      </c>
      <c r="C56" s="119">
        <v>80</v>
      </c>
      <c r="D56" s="119">
        <v>80</v>
      </c>
      <c r="E56" s="120">
        <v>8</v>
      </c>
      <c r="F56" s="119">
        <v>10</v>
      </c>
      <c r="G56" s="120">
        <f t="shared" si="1"/>
        <v>5</v>
      </c>
      <c r="H56" s="121">
        <v>12.27</v>
      </c>
      <c r="I56" s="121">
        <v>72.25</v>
      </c>
      <c r="J56" s="121">
        <f t="shared" si="16"/>
        <v>12.587108013937282</v>
      </c>
      <c r="K56" s="121"/>
      <c r="L56" s="121">
        <f t="shared" si="17"/>
        <v>2.4265913455446531</v>
      </c>
      <c r="M56" s="121"/>
      <c r="N56" s="121">
        <f t="shared" si="22"/>
        <v>72.25</v>
      </c>
      <c r="O56" s="121">
        <f t="shared" si="18"/>
        <v>12.587108013937282</v>
      </c>
      <c r="P56" s="121"/>
      <c r="Q56" s="121">
        <f t="shared" si="23"/>
        <v>2.4265913455446531</v>
      </c>
      <c r="R56" s="121"/>
      <c r="S56" s="121">
        <v>114.61</v>
      </c>
      <c r="T56" s="120">
        <v>56.6</v>
      </c>
      <c r="U56" s="121">
        <f t="shared" si="24"/>
        <v>20.24911660777385</v>
      </c>
      <c r="V56" s="121">
        <f t="shared" si="25"/>
        <v>3.0562506927047912</v>
      </c>
      <c r="W56" s="121">
        <v>29.88</v>
      </c>
      <c r="X56" s="120">
        <v>31.9</v>
      </c>
      <c r="Y56" s="121">
        <f t="shared" si="13"/>
        <v>9.3667711598746095</v>
      </c>
      <c r="Z56" s="123">
        <f t="shared" si="26"/>
        <v>1.5605152431043023</v>
      </c>
      <c r="AA56" s="99">
        <f t="shared" si="19"/>
        <v>72.437555321405441</v>
      </c>
      <c r="AB56" s="99">
        <f t="shared" si="20"/>
        <v>22.37221504866142</v>
      </c>
      <c r="AE56" s="119">
        <v>45</v>
      </c>
      <c r="AF56" s="119">
        <v>20</v>
      </c>
      <c r="AG56" s="119">
        <f t="shared" si="21"/>
        <v>45</v>
      </c>
      <c r="AH56" s="119">
        <f t="shared" si="21"/>
        <v>20</v>
      </c>
      <c r="AI56" s="120">
        <v>22.6</v>
      </c>
      <c r="AJ56" s="120">
        <f t="shared" si="12"/>
        <v>22.6</v>
      </c>
      <c r="AK56" s="122"/>
    </row>
    <row r="57" spans="1:37" x14ac:dyDescent="0.2">
      <c r="A57" s="118" t="s">
        <v>301</v>
      </c>
      <c r="B57" s="121">
        <f t="shared" si="15"/>
        <v>11.86135</v>
      </c>
      <c r="C57" s="119">
        <v>80</v>
      </c>
      <c r="D57" s="119">
        <v>80</v>
      </c>
      <c r="E57" s="120">
        <v>10</v>
      </c>
      <c r="F57" s="119">
        <v>10</v>
      </c>
      <c r="G57" s="120">
        <f t="shared" si="1"/>
        <v>5</v>
      </c>
      <c r="H57" s="121">
        <v>15.11</v>
      </c>
      <c r="I57" s="121">
        <v>87.5</v>
      </c>
      <c r="J57" s="121">
        <f t="shared" si="16"/>
        <v>15.459363957597173</v>
      </c>
      <c r="K57" s="121"/>
      <c r="L57" s="121">
        <f t="shared" si="17"/>
        <v>2.4064220277235049</v>
      </c>
      <c r="M57" s="121"/>
      <c r="N57" s="121">
        <f t="shared" si="22"/>
        <v>87.5</v>
      </c>
      <c r="O57" s="121">
        <f t="shared" si="18"/>
        <v>15.459363957597173</v>
      </c>
      <c r="P57" s="121"/>
      <c r="Q57" s="121">
        <f t="shared" si="23"/>
        <v>2.4064220277235049</v>
      </c>
      <c r="R57" s="121"/>
      <c r="S57" s="121">
        <v>138.63</v>
      </c>
      <c r="T57" s="120">
        <v>56.6</v>
      </c>
      <c r="U57" s="121">
        <f t="shared" si="24"/>
        <v>24.492932862190813</v>
      </c>
      <c r="V57" s="121">
        <f t="shared" si="25"/>
        <v>3.028979816591443</v>
      </c>
      <c r="W57" s="121">
        <v>36.369999999999997</v>
      </c>
      <c r="X57" s="120">
        <v>33</v>
      </c>
      <c r="Y57" s="121">
        <f t="shared" si="13"/>
        <v>11.021212121212121</v>
      </c>
      <c r="Z57" s="123">
        <f t="shared" si="26"/>
        <v>1.5514558394319442</v>
      </c>
      <c r="AA57" s="99">
        <f t="shared" si="19"/>
        <v>70.759126147876586</v>
      </c>
      <c r="AB57" s="99">
        <f t="shared" si="20"/>
        <v>27.086061389305321</v>
      </c>
      <c r="AE57" s="119">
        <v>45</v>
      </c>
      <c r="AF57" s="119">
        <v>20</v>
      </c>
      <c r="AG57" s="119">
        <f t="shared" si="21"/>
        <v>45</v>
      </c>
      <c r="AH57" s="119">
        <f t="shared" si="21"/>
        <v>20</v>
      </c>
      <c r="AI57" s="120">
        <v>23.4</v>
      </c>
      <c r="AJ57" s="120">
        <f t="shared" si="12"/>
        <v>23.4</v>
      </c>
      <c r="AK57" s="122"/>
    </row>
    <row r="58" spans="1:37" s="99" customFormat="1" x14ac:dyDescent="0.2">
      <c r="A58" s="100" t="s">
        <v>302</v>
      </c>
      <c r="B58" s="103">
        <f t="shared" si="15"/>
        <v>8.2974500000000013</v>
      </c>
      <c r="C58" s="101">
        <v>90</v>
      </c>
      <c r="D58" s="101">
        <v>90</v>
      </c>
      <c r="E58" s="102">
        <v>6</v>
      </c>
      <c r="F58" s="101">
        <v>11</v>
      </c>
      <c r="G58" s="102">
        <f t="shared" si="1"/>
        <v>5.5</v>
      </c>
      <c r="H58" s="103">
        <v>10.57</v>
      </c>
      <c r="I58" s="103">
        <v>80.31</v>
      </c>
      <c r="J58" s="103">
        <f t="shared" si="16"/>
        <v>12.186646433990894</v>
      </c>
      <c r="K58" s="103"/>
      <c r="L58" s="103">
        <f t="shared" si="17"/>
        <v>2.7564322298314785</v>
      </c>
      <c r="M58" s="103"/>
      <c r="N58" s="103">
        <f t="shared" si="22"/>
        <v>80.31</v>
      </c>
      <c r="O58" s="103">
        <f t="shared" si="18"/>
        <v>12.186646433990894</v>
      </c>
      <c r="P58" s="103"/>
      <c r="Q58" s="103">
        <f t="shared" si="23"/>
        <v>2.7564322298314785</v>
      </c>
      <c r="R58" s="103"/>
      <c r="S58" s="103">
        <v>127.29</v>
      </c>
      <c r="T58" s="102">
        <v>63.6</v>
      </c>
      <c r="U58" s="103">
        <f t="shared" si="24"/>
        <v>20.014150943396228</v>
      </c>
      <c r="V58" s="103">
        <f t="shared" si="25"/>
        <v>3.4702411041192827</v>
      </c>
      <c r="W58" s="103">
        <v>33.340000000000003</v>
      </c>
      <c r="X58" s="102">
        <v>34</v>
      </c>
      <c r="Y58" s="103">
        <f t="shared" si="13"/>
        <v>9.8058823529411772</v>
      </c>
      <c r="Z58" s="105">
        <f t="shared" si="26"/>
        <v>1.7760095800367222</v>
      </c>
      <c r="AA58" s="99">
        <f t="shared" si="19"/>
        <v>84.141580611147091</v>
      </c>
      <c r="AB58" s="99">
        <f t="shared" si="20"/>
        <v>22.207112137162838</v>
      </c>
      <c r="AE58" s="101">
        <v>50</v>
      </c>
      <c r="AF58" s="101">
        <v>22</v>
      </c>
      <c r="AG58" s="101">
        <f t="shared" si="21"/>
        <v>50</v>
      </c>
      <c r="AH58" s="101">
        <f t="shared" si="21"/>
        <v>22</v>
      </c>
      <c r="AI58" s="102">
        <v>24.1</v>
      </c>
      <c r="AJ58" s="102">
        <f t="shared" si="12"/>
        <v>24.1</v>
      </c>
      <c r="AK58" s="104"/>
    </row>
    <row r="59" spans="1:37" x14ac:dyDescent="0.2">
      <c r="A59" s="106" t="s">
        <v>303</v>
      </c>
      <c r="B59" s="109">
        <f t="shared" si="15"/>
        <v>9.6084000000000014</v>
      </c>
      <c r="C59" s="107">
        <v>90</v>
      </c>
      <c r="D59" s="107">
        <v>90</v>
      </c>
      <c r="E59" s="108">
        <v>7</v>
      </c>
      <c r="F59" s="107">
        <v>11</v>
      </c>
      <c r="G59" s="108">
        <f t="shared" si="1"/>
        <v>5.5</v>
      </c>
      <c r="H59" s="109">
        <v>12.24</v>
      </c>
      <c r="I59" s="109">
        <v>92.55</v>
      </c>
      <c r="J59" s="109">
        <f t="shared" si="16"/>
        <v>14.129770992366412</v>
      </c>
      <c r="K59" s="109"/>
      <c r="L59" s="109">
        <f t="shared" si="17"/>
        <v>2.7497771745732273</v>
      </c>
      <c r="M59" s="109"/>
      <c r="N59" s="109">
        <f t="shared" si="22"/>
        <v>92.55</v>
      </c>
      <c r="O59" s="109">
        <f t="shared" si="18"/>
        <v>14.129770992366412</v>
      </c>
      <c r="P59" s="109"/>
      <c r="Q59" s="109">
        <f t="shared" si="23"/>
        <v>2.7497771745732273</v>
      </c>
      <c r="R59" s="109"/>
      <c r="S59" s="109">
        <v>146.81</v>
      </c>
      <c r="T59" s="108">
        <v>63.6</v>
      </c>
      <c r="U59" s="109">
        <f t="shared" si="24"/>
        <v>23.083333333333332</v>
      </c>
      <c r="V59" s="109">
        <f t="shared" si="25"/>
        <v>3.4632760568212917</v>
      </c>
      <c r="W59" s="109">
        <v>38.29</v>
      </c>
      <c r="X59" s="108">
        <v>34.700000000000003</v>
      </c>
      <c r="Y59" s="109">
        <f t="shared" si="13"/>
        <v>11.034582132564839</v>
      </c>
      <c r="Z59" s="111">
        <f t="shared" si="26"/>
        <v>1.7686910340294624</v>
      </c>
      <c r="AA59" s="99">
        <f t="shared" si="19"/>
        <v>83.244800876434113</v>
      </c>
      <c r="AB59" s="99">
        <f t="shared" si="20"/>
        <v>25.516272521330929</v>
      </c>
      <c r="AE59" s="107">
        <v>50</v>
      </c>
      <c r="AF59" s="107">
        <v>22</v>
      </c>
      <c r="AG59" s="107">
        <f t="shared" si="21"/>
        <v>50</v>
      </c>
      <c r="AH59" s="107">
        <f t="shared" si="21"/>
        <v>22</v>
      </c>
      <c r="AI59" s="108">
        <v>24.5</v>
      </c>
      <c r="AJ59" s="108">
        <f t="shared" si="12"/>
        <v>24.5</v>
      </c>
      <c r="AK59" s="110"/>
    </row>
    <row r="60" spans="1:37" x14ac:dyDescent="0.2">
      <c r="A60" s="106" t="s">
        <v>304</v>
      </c>
      <c r="B60" s="109">
        <f t="shared" si="15"/>
        <v>10.903650000000001</v>
      </c>
      <c r="C60" s="107">
        <v>90</v>
      </c>
      <c r="D60" s="107">
        <v>90</v>
      </c>
      <c r="E60" s="108">
        <v>8</v>
      </c>
      <c r="F60" s="107">
        <v>11</v>
      </c>
      <c r="G60" s="108">
        <f t="shared" si="1"/>
        <v>5.5</v>
      </c>
      <c r="H60" s="109">
        <v>13.89</v>
      </c>
      <c r="I60" s="109">
        <v>104.38</v>
      </c>
      <c r="J60" s="109">
        <f t="shared" si="16"/>
        <v>16.058461538461536</v>
      </c>
      <c r="K60" s="109"/>
      <c r="L60" s="109">
        <f t="shared" si="17"/>
        <v>2.7413060426180906</v>
      </c>
      <c r="M60" s="109"/>
      <c r="N60" s="109">
        <f t="shared" si="22"/>
        <v>104.38</v>
      </c>
      <c r="O60" s="109">
        <f t="shared" si="18"/>
        <v>16.058461538461536</v>
      </c>
      <c r="P60" s="109"/>
      <c r="Q60" s="109">
        <f t="shared" si="23"/>
        <v>2.7413060426180906</v>
      </c>
      <c r="R60" s="109"/>
      <c r="S60" s="109">
        <v>165.63</v>
      </c>
      <c r="T60" s="108">
        <v>63.6</v>
      </c>
      <c r="U60" s="109">
        <f t="shared" si="24"/>
        <v>26.04245283018868</v>
      </c>
      <c r="V60" s="109">
        <f t="shared" si="25"/>
        <v>3.4531733300713707</v>
      </c>
      <c r="W60" s="109">
        <v>43.13</v>
      </c>
      <c r="X60" s="108">
        <v>35.299999999999997</v>
      </c>
      <c r="Y60" s="109">
        <f t="shared" si="13"/>
        <v>12.218130311614733</v>
      </c>
      <c r="Z60" s="111">
        <f t="shared" si="26"/>
        <v>1.762132682595926</v>
      </c>
      <c r="AA60" s="99">
        <f t="shared" si="19"/>
        <v>82.363901182534548</v>
      </c>
      <c r="AB60" s="99">
        <f t="shared" si="20"/>
        <v>28.728881396628257</v>
      </c>
      <c r="AE60" s="107">
        <v>50</v>
      </c>
      <c r="AF60" s="107">
        <v>22</v>
      </c>
      <c r="AG60" s="107">
        <f t="shared" si="21"/>
        <v>50</v>
      </c>
      <c r="AH60" s="107">
        <f t="shared" si="21"/>
        <v>22</v>
      </c>
      <c r="AI60" s="108">
        <v>25</v>
      </c>
      <c r="AJ60" s="108">
        <f t="shared" si="12"/>
        <v>25</v>
      </c>
      <c r="AK60" s="110"/>
    </row>
    <row r="61" spans="1:37" x14ac:dyDescent="0.2">
      <c r="A61" s="106" t="s">
        <v>305</v>
      </c>
      <c r="B61" s="109">
        <f t="shared" si="15"/>
        <v>12.183199999999999</v>
      </c>
      <c r="C61" s="107">
        <v>90</v>
      </c>
      <c r="D61" s="107">
        <v>90</v>
      </c>
      <c r="E61" s="108">
        <v>9</v>
      </c>
      <c r="F61" s="107">
        <v>11</v>
      </c>
      <c r="G61" s="108">
        <f t="shared" si="1"/>
        <v>5.5</v>
      </c>
      <c r="H61" s="109">
        <v>15.52</v>
      </c>
      <c r="I61" s="109">
        <v>115.83</v>
      </c>
      <c r="J61" s="109">
        <f t="shared" si="16"/>
        <v>17.930340557275542</v>
      </c>
      <c r="K61" s="109"/>
      <c r="L61" s="109">
        <f t="shared" si="17"/>
        <v>2.7318991921145788</v>
      </c>
      <c r="M61" s="109"/>
      <c r="N61" s="109">
        <f t="shared" si="22"/>
        <v>115.83</v>
      </c>
      <c r="O61" s="109">
        <f t="shared" si="18"/>
        <v>17.930340557275542</v>
      </c>
      <c r="P61" s="109"/>
      <c r="Q61" s="109">
        <f t="shared" si="23"/>
        <v>2.7318991921145788</v>
      </c>
      <c r="R61" s="109"/>
      <c r="S61" s="109">
        <v>183.78</v>
      </c>
      <c r="T61" s="108">
        <v>63.6</v>
      </c>
      <c r="U61" s="109">
        <f t="shared" si="24"/>
        <v>28.89622641509434</v>
      </c>
      <c r="V61" s="109">
        <f t="shared" si="25"/>
        <v>3.4411473152657712</v>
      </c>
      <c r="W61" s="109">
        <v>47.88</v>
      </c>
      <c r="X61" s="108">
        <v>35.9</v>
      </c>
      <c r="Y61" s="109">
        <f t="shared" si="13"/>
        <v>13.337047353760447</v>
      </c>
      <c r="Z61" s="111">
        <f t="shared" si="26"/>
        <v>1.7564314806993619</v>
      </c>
      <c r="AA61" s="99">
        <f t="shared" si="19"/>
        <v>81.498881529448369</v>
      </c>
      <c r="AB61" s="99">
        <f t="shared" si="20"/>
        <v>31.849741002148392</v>
      </c>
      <c r="AE61" s="107">
        <v>50</v>
      </c>
      <c r="AF61" s="107">
        <v>22</v>
      </c>
      <c r="AG61" s="107">
        <f t="shared" si="21"/>
        <v>50</v>
      </c>
      <c r="AH61" s="107">
        <f t="shared" si="21"/>
        <v>22</v>
      </c>
      <c r="AI61" s="108">
        <v>25.4</v>
      </c>
      <c r="AJ61" s="108">
        <f t="shared" si="12"/>
        <v>25.4</v>
      </c>
      <c r="AK61" s="110"/>
    </row>
    <row r="62" spans="1:37" x14ac:dyDescent="0.2">
      <c r="A62" s="106" t="s">
        <v>306</v>
      </c>
      <c r="B62" s="109">
        <f t="shared" si="15"/>
        <v>13.447049999999999</v>
      </c>
      <c r="C62" s="107">
        <v>90</v>
      </c>
      <c r="D62" s="107">
        <v>90</v>
      </c>
      <c r="E62" s="107">
        <v>10</v>
      </c>
      <c r="F62" s="107">
        <v>11</v>
      </c>
      <c r="G62" s="108">
        <f t="shared" si="1"/>
        <v>5.5</v>
      </c>
      <c r="H62" s="109">
        <v>17.13</v>
      </c>
      <c r="I62" s="109">
        <v>126.91</v>
      </c>
      <c r="J62" s="109">
        <f t="shared" si="16"/>
        <v>19.767912772585667</v>
      </c>
      <c r="K62" s="109"/>
      <c r="L62" s="109">
        <f t="shared" si="17"/>
        <v>2.7218816677425983</v>
      </c>
      <c r="M62" s="109"/>
      <c r="N62" s="109">
        <f t="shared" si="22"/>
        <v>126.91</v>
      </c>
      <c r="O62" s="109">
        <f t="shared" si="18"/>
        <v>19.767912772585667</v>
      </c>
      <c r="P62" s="109"/>
      <c r="Q62" s="109">
        <f t="shared" si="23"/>
        <v>2.7218816677425983</v>
      </c>
      <c r="R62" s="109"/>
      <c r="S62" s="109">
        <v>201.28</v>
      </c>
      <c r="T62" s="108">
        <v>63.6</v>
      </c>
      <c r="U62" s="109">
        <f t="shared" si="24"/>
        <v>31.647798742138363</v>
      </c>
      <c r="V62" s="109">
        <f t="shared" si="25"/>
        <v>3.4278485880783047</v>
      </c>
      <c r="W62" s="109">
        <v>52.55</v>
      </c>
      <c r="X62" s="108">
        <v>36.5</v>
      </c>
      <c r="Y62" s="109">
        <f t="shared" si="13"/>
        <v>14.397260273972602</v>
      </c>
      <c r="Z62" s="111">
        <f t="shared" si="26"/>
        <v>1.7514900669880304</v>
      </c>
      <c r="AA62" s="99">
        <f t="shared" si="19"/>
        <v>80.649741917175575</v>
      </c>
      <c r="AB62" s="99">
        <f t="shared" si="20"/>
        <v>34.883688335062658</v>
      </c>
      <c r="AE62" s="107">
        <v>50</v>
      </c>
      <c r="AF62" s="107">
        <v>22</v>
      </c>
      <c r="AG62" s="107">
        <f t="shared" si="21"/>
        <v>50</v>
      </c>
      <c r="AH62" s="107">
        <f t="shared" si="21"/>
        <v>22</v>
      </c>
      <c r="AI62" s="108">
        <v>25.8</v>
      </c>
      <c r="AJ62" s="108">
        <f t="shared" si="12"/>
        <v>25.8</v>
      </c>
      <c r="AK62" s="110"/>
    </row>
    <row r="63" spans="1:37" x14ac:dyDescent="0.2">
      <c r="A63" s="106" t="s">
        <v>307</v>
      </c>
      <c r="B63" s="109">
        <f t="shared" si="15"/>
        <v>13.9102</v>
      </c>
      <c r="C63" s="107">
        <v>90</v>
      </c>
      <c r="D63" s="107">
        <v>90</v>
      </c>
      <c r="E63" s="107">
        <v>11</v>
      </c>
      <c r="F63" s="107">
        <v>11</v>
      </c>
      <c r="G63" s="108">
        <f t="shared" si="1"/>
        <v>5.5</v>
      </c>
      <c r="H63" s="109">
        <v>17.72</v>
      </c>
      <c r="I63" s="109">
        <v>137.63999999999999</v>
      </c>
      <c r="J63" s="109">
        <f t="shared" si="16"/>
        <v>21.573667711598745</v>
      </c>
      <c r="K63" s="109"/>
      <c r="L63" s="109">
        <f t="shared" si="17"/>
        <v>2.7870224894426565</v>
      </c>
      <c r="M63" s="109"/>
      <c r="N63" s="109">
        <f t="shared" si="22"/>
        <v>137.63999999999999</v>
      </c>
      <c r="O63" s="109">
        <f t="shared" si="18"/>
        <v>21.573667711598745</v>
      </c>
      <c r="P63" s="109"/>
      <c r="Q63" s="109">
        <f t="shared" si="23"/>
        <v>2.7870224894426565</v>
      </c>
      <c r="R63" s="109"/>
      <c r="S63" s="109">
        <v>218.13</v>
      </c>
      <c r="T63" s="108">
        <v>63.6</v>
      </c>
      <c r="U63" s="109">
        <f t="shared" si="24"/>
        <v>34.297169811320757</v>
      </c>
      <c r="V63" s="109">
        <f t="shared" si="25"/>
        <v>3.508535223293697</v>
      </c>
      <c r="W63" s="109">
        <v>57.15</v>
      </c>
      <c r="X63" s="108">
        <v>37</v>
      </c>
      <c r="Y63" s="109">
        <f t="shared" si="13"/>
        <v>15.445945945945946</v>
      </c>
      <c r="Z63" s="111">
        <f t="shared" si="26"/>
        <v>1.7958756360688604</v>
      </c>
      <c r="AA63" s="99">
        <f t="shared" si="19"/>
        <v>79.816482345716167</v>
      </c>
      <c r="AB63" s="99">
        <f t="shared" si="20"/>
        <v>37.835587585349295</v>
      </c>
      <c r="AE63" s="107">
        <v>50</v>
      </c>
      <c r="AF63" s="107">
        <v>22</v>
      </c>
      <c r="AG63" s="107">
        <f t="shared" si="21"/>
        <v>50</v>
      </c>
      <c r="AH63" s="107">
        <f t="shared" si="21"/>
        <v>22</v>
      </c>
      <c r="AI63" s="108">
        <v>26.2</v>
      </c>
      <c r="AJ63" s="108">
        <f t="shared" si="12"/>
        <v>26.2</v>
      </c>
      <c r="AK63" s="110"/>
    </row>
    <row r="64" spans="1:37" x14ac:dyDescent="0.2">
      <c r="A64" s="112" t="s">
        <v>308</v>
      </c>
      <c r="B64" s="115">
        <f t="shared" si="15"/>
        <v>15.92765</v>
      </c>
      <c r="C64" s="113">
        <v>90</v>
      </c>
      <c r="D64" s="113">
        <v>90</v>
      </c>
      <c r="E64" s="113">
        <v>12</v>
      </c>
      <c r="F64" s="113">
        <v>11</v>
      </c>
      <c r="G64" s="114">
        <f t="shared" si="1"/>
        <v>5.5</v>
      </c>
      <c r="H64" s="115">
        <v>20.29</v>
      </c>
      <c r="I64" s="115">
        <v>148.03</v>
      </c>
      <c r="J64" s="115">
        <f t="shared" si="16"/>
        <v>23.348580441640379</v>
      </c>
      <c r="K64" s="115"/>
      <c r="L64" s="115">
        <f t="shared" si="17"/>
        <v>2.7010576027705286</v>
      </c>
      <c r="M64" s="115"/>
      <c r="N64" s="115">
        <f t="shared" si="22"/>
        <v>148.03</v>
      </c>
      <c r="O64" s="115">
        <f t="shared" si="18"/>
        <v>23.348580441640379</v>
      </c>
      <c r="P64" s="115"/>
      <c r="Q64" s="115">
        <f t="shared" si="23"/>
        <v>2.7010576027705286</v>
      </c>
      <c r="R64" s="115"/>
      <c r="S64" s="115">
        <v>234.36</v>
      </c>
      <c r="T64" s="114">
        <v>63.6</v>
      </c>
      <c r="U64" s="115">
        <f t="shared" si="24"/>
        <v>36.84905660377359</v>
      </c>
      <c r="V64" s="115">
        <f t="shared" si="25"/>
        <v>3.3986052280757173</v>
      </c>
      <c r="W64" s="115">
        <v>61.7</v>
      </c>
      <c r="X64" s="114">
        <v>37.6</v>
      </c>
      <c r="Y64" s="115">
        <f t="shared" si="13"/>
        <v>16.409574468085104</v>
      </c>
      <c r="Z64" s="117">
        <f t="shared" si="26"/>
        <v>1.7438196152886205</v>
      </c>
      <c r="AA64" s="99">
        <f t="shared" si="19"/>
        <v>78.999102815070145</v>
      </c>
      <c r="AB64" s="99">
        <f t="shared" si="20"/>
        <v>40.710322570522543</v>
      </c>
      <c r="AE64" s="113">
        <v>50</v>
      </c>
      <c r="AF64" s="113">
        <v>22</v>
      </c>
      <c r="AG64" s="113">
        <f t="shared" si="21"/>
        <v>50</v>
      </c>
      <c r="AH64" s="113">
        <f t="shared" si="21"/>
        <v>22</v>
      </c>
      <c r="AI64" s="114">
        <v>26.6</v>
      </c>
      <c r="AJ64" s="114">
        <f t="shared" si="12"/>
        <v>26.6</v>
      </c>
      <c r="AK64" s="116"/>
    </row>
    <row r="65" spans="1:37" s="99" customFormat="1" x14ac:dyDescent="0.2">
      <c r="A65" s="93" t="s">
        <v>309</v>
      </c>
      <c r="B65" s="96">
        <f t="shared" si="15"/>
        <v>10.723100000000001</v>
      </c>
      <c r="C65" s="94">
        <v>100</v>
      </c>
      <c r="D65" s="94">
        <v>100</v>
      </c>
      <c r="E65" s="94">
        <v>7</v>
      </c>
      <c r="F65" s="94">
        <v>12</v>
      </c>
      <c r="G65" s="95">
        <f t="shared" si="1"/>
        <v>6</v>
      </c>
      <c r="H65" s="96">
        <v>13.66</v>
      </c>
      <c r="I65" s="96">
        <v>128.19999999999999</v>
      </c>
      <c r="J65" s="96">
        <f t="shared" si="16"/>
        <v>17.537619699042409</v>
      </c>
      <c r="K65" s="96"/>
      <c r="L65" s="96">
        <f t="shared" si="17"/>
        <v>3.0635054897613534</v>
      </c>
      <c r="M65" s="96"/>
      <c r="N65" s="96">
        <f t="shared" si="22"/>
        <v>128.19999999999999</v>
      </c>
      <c r="O65" s="96">
        <f t="shared" si="18"/>
        <v>17.537619699042409</v>
      </c>
      <c r="P65" s="96"/>
      <c r="Q65" s="96">
        <f t="shared" si="23"/>
        <v>3.0635054897613534</v>
      </c>
      <c r="R65" s="96"/>
      <c r="S65" s="96">
        <v>203.3</v>
      </c>
      <c r="T65" s="95">
        <v>70.7</v>
      </c>
      <c r="U65" s="96">
        <f t="shared" si="24"/>
        <v>28.755304101838753</v>
      </c>
      <c r="V65" s="96">
        <f t="shared" si="25"/>
        <v>3.8578322530318685</v>
      </c>
      <c r="W65" s="96">
        <v>53.11</v>
      </c>
      <c r="X65" s="95">
        <v>38.1</v>
      </c>
      <c r="Y65" s="96">
        <f t="shared" si="13"/>
        <v>13.939632545931758</v>
      </c>
      <c r="Z65" s="98">
        <f t="shared" si="26"/>
        <v>1.9717997219506413</v>
      </c>
      <c r="AA65" s="99">
        <f t="shared" si="19"/>
        <v>93.195641577581412</v>
      </c>
      <c r="AB65" s="99">
        <f t="shared" si="20"/>
        <v>31.833939616528241</v>
      </c>
      <c r="AE65" s="94">
        <v>55</v>
      </c>
      <c r="AF65" s="94">
        <v>24</v>
      </c>
      <c r="AG65" s="94">
        <f t="shared" si="21"/>
        <v>55</v>
      </c>
      <c r="AH65" s="94">
        <f t="shared" si="21"/>
        <v>24</v>
      </c>
      <c r="AI65" s="95">
        <v>26.9</v>
      </c>
      <c r="AJ65" s="95">
        <f t="shared" si="12"/>
        <v>26.9</v>
      </c>
      <c r="AK65" s="97"/>
    </row>
    <row r="66" spans="1:37" x14ac:dyDescent="0.2">
      <c r="A66" s="118" t="s">
        <v>310</v>
      </c>
      <c r="B66" s="121">
        <f t="shared" si="15"/>
        <v>12.17535</v>
      </c>
      <c r="C66" s="119">
        <v>100</v>
      </c>
      <c r="D66" s="119">
        <v>100</v>
      </c>
      <c r="E66" s="119">
        <v>8</v>
      </c>
      <c r="F66" s="119">
        <v>12</v>
      </c>
      <c r="G66" s="120">
        <f t="shared" si="1"/>
        <v>6</v>
      </c>
      <c r="H66" s="121">
        <v>15.51</v>
      </c>
      <c r="I66" s="121">
        <v>144.84</v>
      </c>
      <c r="J66" s="121">
        <f t="shared" si="16"/>
        <v>19.950413223140497</v>
      </c>
      <c r="K66" s="121"/>
      <c r="L66" s="121">
        <f t="shared" si="17"/>
        <v>3.0558945164940012</v>
      </c>
      <c r="M66" s="121"/>
      <c r="N66" s="121">
        <f>I66</f>
        <v>144.84</v>
      </c>
      <c r="O66" s="121">
        <f t="shared" si="18"/>
        <v>19.950413223140497</v>
      </c>
      <c r="P66" s="121"/>
      <c r="Q66" s="121">
        <f>SQRT(N66/$H66)</f>
        <v>3.0558945164940012</v>
      </c>
      <c r="R66" s="121"/>
      <c r="S66" s="121">
        <v>229.82</v>
      </c>
      <c r="T66" s="120">
        <v>70.7</v>
      </c>
      <c r="U66" s="121">
        <f>S66*10/T66</f>
        <v>32.506364922206501</v>
      </c>
      <c r="V66" s="121">
        <f>SQRT(S66/$H66)</f>
        <v>3.8493554100467553</v>
      </c>
      <c r="W66" s="121">
        <v>59.86</v>
      </c>
      <c r="X66" s="120">
        <v>38.700000000000003</v>
      </c>
      <c r="Y66" s="121">
        <f t="shared" si="13"/>
        <v>15.467700258397933</v>
      </c>
      <c r="Z66" s="123">
        <f>SQRT(W66/$H66)</f>
        <v>1.9645471536768944</v>
      </c>
      <c r="AA66" s="99">
        <f t="shared" si="19"/>
        <v>92.302831853071794</v>
      </c>
      <c r="AB66" s="99">
        <f t="shared" si="20"/>
        <v>35.888892477555068</v>
      </c>
      <c r="AE66" s="119">
        <v>55</v>
      </c>
      <c r="AF66" s="119">
        <v>24</v>
      </c>
      <c r="AG66" s="119">
        <f t="shared" si="21"/>
        <v>55</v>
      </c>
      <c r="AH66" s="119">
        <f t="shared" si="21"/>
        <v>24</v>
      </c>
      <c r="AI66" s="120">
        <v>27.4</v>
      </c>
      <c r="AJ66" s="120">
        <f t="shared" si="12"/>
        <v>27.4</v>
      </c>
      <c r="AK66" s="122"/>
    </row>
    <row r="67" spans="1:37" x14ac:dyDescent="0.2">
      <c r="A67" s="118" t="s">
        <v>311</v>
      </c>
      <c r="B67" s="121">
        <f t="shared" si="15"/>
        <v>13.6119</v>
      </c>
      <c r="C67" s="119">
        <v>100</v>
      </c>
      <c r="D67" s="119">
        <v>100</v>
      </c>
      <c r="E67" s="119">
        <v>9</v>
      </c>
      <c r="F67" s="119">
        <v>12</v>
      </c>
      <c r="G67" s="120">
        <f t="shared" si="1"/>
        <v>6</v>
      </c>
      <c r="H67" s="121">
        <v>17.34</v>
      </c>
      <c r="I67" s="121">
        <v>161</v>
      </c>
      <c r="J67" s="121">
        <f t="shared" si="16"/>
        <v>22.29916897506925</v>
      </c>
      <c r="K67" s="121"/>
      <c r="L67" s="121">
        <f t="shared" si="17"/>
        <v>3.0471118172392262</v>
      </c>
      <c r="M67" s="121"/>
      <c r="N67" s="121">
        <f t="shared" ref="N67:N73" si="27">I67</f>
        <v>161</v>
      </c>
      <c r="O67" s="121">
        <f t="shared" si="18"/>
        <v>22.29916897506925</v>
      </c>
      <c r="P67" s="121"/>
      <c r="Q67" s="121">
        <f t="shared" ref="Q67:Q73" si="28">SQRT(N67/$H67)</f>
        <v>3.0471118172392262</v>
      </c>
      <c r="R67" s="121"/>
      <c r="S67" s="121">
        <v>255.5</v>
      </c>
      <c r="T67" s="120">
        <v>70.7</v>
      </c>
      <c r="U67" s="121">
        <f t="shared" ref="U67:U73" si="29">S67*10/T67</f>
        <v>36.138613861386141</v>
      </c>
      <c r="V67" s="121">
        <f t="shared" ref="V67:V73" si="30">SQRT(S67/$H67)</f>
        <v>3.8385827353827242</v>
      </c>
      <c r="W67" s="121">
        <v>66.489999999999995</v>
      </c>
      <c r="X67" s="120">
        <v>39.299999999999997</v>
      </c>
      <c r="Y67" s="121">
        <f t="shared" si="13"/>
        <v>16.918575063613233</v>
      </c>
      <c r="Z67" s="123">
        <f t="shared" ref="Z67:Z73" si="31">SQRT(W67/$H67)</f>
        <v>1.958184551024448</v>
      </c>
      <c r="AA67" s="99">
        <f t="shared" si="19"/>
        <v>91.424314165294234</v>
      </c>
      <c r="AB67" s="99">
        <f t="shared" si="20"/>
        <v>39.837622396288538</v>
      </c>
      <c r="AE67" s="119">
        <v>55</v>
      </c>
      <c r="AF67" s="119">
        <v>24</v>
      </c>
      <c r="AG67" s="119">
        <f t="shared" si="21"/>
        <v>55</v>
      </c>
      <c r="AH67" s="119">
        <f t="shared" si="21"/>
        <v>24</v>
      </c>
      <c r="AI67" s="120">
        <v>27.8</v>
      </c>
      <c r="AJ67" s="120">
        <f t="shared" si="12"/>
        <v>27.8</v>
      </c>
      <c r="AK67" s="122"/>
    </row>
    <row r="68" spans="1:37" x14ac:dyDescent="0.2">
      <c r="A68" s="118" t="s">
        <v>312</v>
      </c>
      <c r="B68" s="121">
        <f t="shared" si="15"/>
        <v>15.03275</v>
      </c>
      <c r="C68" s="119">
        <v>100</v>
      </c>
      <c r="D68" s="119">
        <v>100</v>
      </c>
      <c r="E68" s="119">
        <v>10</v>
      </c>
      <c r="F68" s="119">
        <v>12</v>
      </c>
      <c r="G68" s="120">
        <f t="shared" si="1"/>
        <v>6</v>
      </c>
      <c r="H68" s="121">
        <v>19.149999999999999</v>
      </c>
      <c r="I68" s="121">
        <v>175.68</v>
      </c>
      <c r="J68" s="121">
        <f t="shared" si="16"/>
        <v>24.46796657381616</v>
      </c>
      <c r="K68" s="121"/>
      <c r="L68" s="121">
        <f t="shared" si="17"/>
        <v>3.0288430694616038</v>
      </c>
      <c r="M68" s="121"/>
      <c r="N68" s="121">
        <f t="shared" si="27"/>
        <v>175.68</v>
      </c>
      <c r="O68" s="121">
        <f t="shared" si="18"/>
        <v>24.46796657381616</v>
      </c>
      <c r="P68" s="121"/>
      <c r="Q68" s="121">
        <f t="shared" si="28"/>
        <v>3.0288430694616038</v>
      </c>
      <c r="R68" s="121"/>
      <c r="S68" s="121">
        <v>280.35000000000002</v>
      </c>
      <c r="T68" s="120">
        <v>70.7</v>
      </c>
      <c r="U68" s="121">
        <f t="shared" si="29"/>
        <v>39.653465346534652</v>
      </c>
      <c r="V68" s="121">
        <f t="shared" si="30"/>
        <v>3.8261843505081021</v>
      </c>
      <c r="W68" s="121">
        <v>73.010000000000005</v>
      </c>
      <c r="X68" s="120">
        <v>39.9</v>
      </c>
      <c r="Y68" s="121">
        <f t="shared" si="13"/>
        <v>18.298245614035089</v>
      </c>
      <c r="Z68" s="123">
        <f t="shared" si="31"/>
        <v>1.9525707764574678</v>
      </c>
      <c r="AA68" s="99">
        <f t="shared" si="19"/>
        <v>90.560088514248719</v>
      </c>
      <c r="AB68" s="99">
        <f t="shared" si="20"/>
        <v>43.684936992215626</v>
      </c>
      <c r="AE68" s="119">
        <v>55</v>
      </c>
      <c r="AF68" s="119">
        <v>24</v>
      </c>
      <c r="AG68" s="119">
        <f t="shared" si="21"/>
        <v>55</v>
      </c>
      <c r="AH68" s="119">
        <f t="shared" si="21"/>
        <v>24</v>
      </c>
      <c r="AI68" s="120">
        <v>28.2</v>
      </c>
      <c r="AJ68" s="120">
        <f t="shared" si="12"/>
        <v>28.2</v>
      </c>
      <c r="AK68" s="122"/>
    </row>
    <row r="69" spans="1:37" x14ac:dyDescent="0.2">
      <c r="A69" s="118" t="s">
        <v>313</v>
      </c>
      <c r="B69" s="121">
        <f t="shared" ref="B69:B97" si="32">0.1*7.85*H69</f>
        <v>16.437900000000003</v>
      </c>
      <c r="C69" s="119">
        <v>100</v>
      </c>
      <c r="D69" s="119">
        <v>100</v>
      </c>
      <c r="E69" s="119">
        <v>11</v>
      </c>
      <c r="F69" s="119">
        <v>12</v>
      </c>
      <c r="G69" s="120">
        <f t="shared" si="1"/>
        <v>6</v>
      </c>
      <c r="H69" s="121">
        <v>20.94</v>
      </c>
      <c r="I69" s="121">
        <v>191.9</v>
      </c>
      <c r="J69" s="121">
        <f t="shared" ref="J69:J97" si="33">I69*10/($C69-$AI69)</f>
        <v>26.876750700280109</v>
      </c>
      <c r="K69" s="121"/>
      <c r="L69" s="121">
        <f t="shared" ref="L69:L97" si="34">SQRT(I69/H69)</f>
        <v>3.0272560004189581</v>
      </c>
      <c r="M69" s="121"/>
      <c r="N69" s="121">
        <f t="shared" si="27"/>
        <v>191.9</v>
      </c>
      <c r="O69" s="121">
        <f t="shared" ref="O69:O97" si="35">N69*10/($D69-$AJ69)</f>
        <v>26.876750700280109</v>
      </c>
      <c r="P69" s="121"/>
      <c r="Q69" s="121">
        <f t="shared" si="28"/>
        <v>3.0272560004189581</v>
      </c>
      <c r="R69" s="121"/>
      <c r="S69" s="121">
        <v>304.38</v>
      </c>
      <c r="T69" s="120">
        <v>70.7</v>
      </c>
      <c r="U69" s="121">
        <f t="shared" si="29"/>
        <v>43.052333804809052</v>
      </c>
      <c r="V69" s="121">
        <f t="shared" si="30"/>
        <v>3.8125866047751851</v>
      </c>
      <c r="W69" s="121">
        <v>79.42</v>
      </c>
      <c r="X69" s="120">
        <v>40.5</v>
      </c>
      <c r="Y69" s="121">
        <f t="shared" si="13"/>
        <v>19.609876543209879</v>
      </c>
      <c r="Z69" s="123">
        <f t="shared" si="31"/>
        <v>1.9474961271422344</v>
      </c>
      <c r="AA69" s="99">
        <f t="shared" ref="AA69:AA97" si="36">C69-(C69-E69)*E69/(2*D69)-(D69-2*E69)*E69/(2*D69)-PI()*E69*E69/(4*D69)-(1-PI()/4)*F69*F69/(2*D69)</f>
        <v>89.710154899935247</v>
      </c>
      <c r="AB69" s="99">
        <f t="shared" ref="AB69:AB97" si="37">((C69-2*E69)*(AA69-C69/2)*E69+((AA69-C69+E69)^2+(C69-AA69)^2)*(D69-E69)/2+PI()*E69*E69/4*AA69+(1-PI()/4)*F69*F69*((10-3*PI())/(12-3*PI())*F69+AA69-C69+E69))/1000</f>
        <v>47.435674486218971</v>
      </c>
      <c r="AE69" s="119">
        <v>55</v>
      </c>
      <c r="AF69" s="119">
        <v>24</v>
      </c>
      <c r="AG69" s="119">
        <f t="shared" si="21"/>
        <v>55</v>
      </c>
      <c r="AH69" s="119">
        <f t="shared" si="21"/>
        <v>24</v>
      </c>
      <c r="AI69" s="120">
        <v>28.6</v>
      </c>
      <c r="AJ69" s="120">
        <f t="shared" ref="AJ69:AJ97" si="38">AI69</f>
        <v>28.6</v>
      </c>
      <c r="AK69" s="122"/>
    </row>
    <row r="70" spans="1:37" x14ac:dyDescent="0.2">
      <c r="A70" s="118" t="s">
        <v>314</v>
      </c>
      <c r="B70" s="121">
        <f t="shared" si="32"/>
        <v>17.827350000000003</v>
      </c>
      <c r="C70" s="119">
        <v>100</v>
      </c>
      <c r="D70" s="119">
        <v>100</v>
      </c>
      <c r="E70" s="119">
        <v>12</v>
      </c>
      <c r="F70" s="119">
        <v>12</v>
      </c>
      <c r="G70" s="120">
        <f t="shared" si="1"/>
        <v>6</v>
      </c>
      <c r="H70" s="121">
        <v>22.71</v>
      </c>
      <c r="I70" s="121">
        <v>206.69</v>
      </c>
      <c r="J70" s="121">
        <f t="shared" si="33"/>
        <v>29.111267605633802</v>
      </c>
      <c r="K70" s="121"/>
      <c r="L70" s="121">
        <f t="shared" si="34"/>
        <v>3.0168322741739519</v>
      </c>
      <c r="M70" s="121"/>
      <c r="N70" s="121">
        <f t="shared" si="27"/>
        <v>206.69</v>
      </c>
      <c r="O70" s="121">
        <f t="shared" si="35"/>
        <v>29.111267605633802</v>
      </c>
      <c r="P70" s="121"/>
      <c r="Q70" s="121">
        <f t="shared" si="28"/>
        <v>3.0168322741739519</v>
      </c>
      <c r="R70" s="121"/>
      <c r="S70" s="121">
        <v>327.63</v>
      </c>
      <c r="T70" s="120">
        <v>70.7</v>
      </c>
      <c r="U70" s="121">
        <f t="shared" si="29"/>
        <v>46.340876944837341</v>
      </c>
      <c r="V70" s="121">
        <f t="shared" si="30"/>
        <v>3.7982475274859113</v>
      </c>
      <c r="W70" s="121">
        <v>85.75</v>
      </c>
      <c r="X70" s="120">
        <v>41.1</v>
      </c>
      <c r="Y70" s="121">
        <f t="shared" ref="Y70:Y128" si="39">W70*10/X70</f>
        <v>20.863746958637471</v>
      </c>
      <c r="Z70" s="123">
        <f t="shared" si="31"/>
        <v>1.9431597106111262</v>
      </c>
      <c r="AA70" s="99">
        <f t="shared" si="36"/>
        <v>88.874513322353835</v>
      </c>
      <c r="AB70" s="99">
        <f t="shared" si="37"/>
        <v>51.094697572707418</v>
      </c>
      <c r="AE70" s="119">
        <v>55</v>
      </c>
      <c r="AF70" s="119">
        <v>24</v>
      </c>
      <c r="AG70" s="119">
        <f t="shared" si="21"/>
        <v>55</v>
      </c>
      <c r="AH70" s="119">
        <f t="shared" si="21"/>
        <v>24</v>
      </c>
      <c r="AI70" s="120">
        <v>29</v>
      </c>
      <c r="AJ70" s="120">
        <f t="shared" si="38"/>
        <v>29</v>
      </c>
      <c r="AK70" s="122"/>
    </row>
    <row r="71" spans="1:37" s="99" customFormat="1" x14ac:dyDescent="0.2">
      <c r="A71" s="100" t="s">
        <v>315</v>
      </c>
      <c r="B71" s="103">
        <f t="shared" si="32"/>
        <v>16.626300000000001</v>
      </c>
      <c r="C71" s="101">
        <v>110</v>
      </c>
      <c r="D71" s="101">
        <v>110</v>
      </c>
      <c r="E71" s="101">
        <v>10</v>
      </c>
      <c r="F71" s="101">
        <v>13</v>
      </c>
      <c r="G71" s="102">
        <f t="shared" si="1"/>
        <v>6.5</v>
      </c>
      <c r="H71" s="103">
        <v>21.18</v>
      </c>
      <c r="I71" s="103">
        <v>237.98</v>
      </c>
      <c r="J71" s="103">
        <f t="shared" si="33"/>
        <v>29.972292191435763</v>
      </c>
      <c r="K71" s="103"/>
      <c r="L71" s="103">
        <f t="shared" si="34"/>
        <v>3.3520250246405991</v>
      </c>
      <c r="M71" s="103"/>
      <c r="N71" s="103">
        <f t="shared" si="27"/>
        <v>237.98</v>
      </c>
      <c r="O71" s="103">
        <f t="shared" si="35"/>
        <v>29.972292191435763</v>
      </c>
      <c r="P71" s="103"/>
      <c r="Q71" s="103">
        <f t="shared" si="28"/>
        <v>3.3520250246405991</v>
      </c>
      <c r="R71" s="103"/>
      <c r="S71" s="103">
        <v>377.71</v>
      </c>
      <c r="T71" s="102">
        <v>77.8</v>
      </c>
      <c r="U71" s="103">
        <f t="shared" si="29"/>
        <v>48.548843187660673</v>
      </c>
      <c r="V71" s="103">
        <f t="shared" si="30"/>
        <v>4.2229531531066424</v>
      </c>
      <c r="W71" s="103">
        <v>98.25</v>
      </c>
      <c r="X71" s="102">
        <v>43.3</v>
      </c>
      <c r="Y71" s="103">
        <f t="shared" si="39"/>
        <v>22.690531177829101</v>
      </c>
      <c r="Z71" s="105">
        <f t="shared" si="31"/>
        <v>2.1537897293608501</v>
      </c>
      <c r="AA71" s="99">
        <f t="shared" si="36"/>
        <v>100.48478480424853</v>
      </c>
      <c r="AB71" s="99">
        <f t="shared" si="37"/>
        <v>53.489975296911716</v>
      </c>
      <c r="AE71" s="101">
        <v>55</v>
      </c>
      <c r="AF71" s="101">
        <v>24</v>
      </c>
      <c r="AG71" s="101">
        <f t="shared" ref="AG71:AH86" si="40">AE71</f>
        <v>55</v>
      </c>
      <c r="AH71" s="101">
        <f t="shared" si="40"/>
        <v>24</v>
      </c>
      <c r="AI71" s="102">
        <v>30.6</v>
      </c>
      <c r="AJ71" s="102">
        <f t="shared" si="38"/>
        <v>30.6</v>
      </c>
      <c r="AK71" s="104"/>
    </row>
    <row r="72" spans="1:37" x14ac:dyDescent="0.2">
      <c r="A72" s="112" t="s">
        <v>316</v>
      </c>
      <c r="B72" s="115">
        <f t="shared" si="32"/>
        <v>19.7349</v>
      </c>
      <c r="C72" s="113">
        <v>110</v>
      </c>
      <c r="D72" s="113">
        <v>110</v>
      </c>
      <c r="E72" s="113">
        <v>12</v>
      </c>
      <c r="F72" s="113">
        <v>13</v>
      </c>
      <c r="G72" s="114">
        <f t="shared" si="1"/>
        <v>6.5</v>
      </c>
      <c r="H72" s="115">
        <v>25.14</v>
      </c>
      <c r="I72" s="115">
        <v>279.11</v>
      </c>
      <c r="J72" s="115">
        <f t="shared" si="33"/>
        <v>35.555414012738858</v>
      </c>
      <c r="K72" s="115"/>
      <c r="L72" s="115">
        <f t="shared" si="34"/>
        <v>3.3320005290898758</v>
      </c>
      <c r="M72" s="115"/>
      <c r="N72" s="115">
        <f t="shared" si="27"/>
        <v>279.11</v>
      </c>
      <c r="O72" s="115">
        <f t="shared" si="35"/>
        <v>35.555414012738858</v>
      </c>
      <c r="P72" s="115"/>
      <c r="Q72" s="115">
        <f t="shared" si="28"/>
        <v>3.3320005290898758</v>
      </c>
      <c r="R72" s="115"/>
      <c r="S72" s="115">
        <v>442.77</v>
      </c>
      <c r="T72" s="114">
        <v>77.8</v>
      </c>
      <c r="U72" s="115">
        <f t="shared" si="29"/>
        <v>56.911311053984576</v>
      </c>
      <c r="V72" s="115">
        <f t="shared" si="30"/>
        <v>4.1966858159396239</v>
      </c>
      <c r="W72" s="115">
        <v>115.46</v>
      </c>
      <c r="X72" s="114">
        <v>44.5</v>
      </c>
      <c r="Y72" s="115">
        <f t="shared" si="39"/>
        <v>25.946067415730337</v>
      </c>
      <c r="Z72" s="117">
        <f t="shared" si="31"/>
        <v>2.143054125885703</v>
      </c>
      <c r="AA72" s="99">
        <f t="shared" si="36"/>
        <v>98.770625538889561</v>
      </c>
      <c r="AB72" s="99">
        <f t="shared" si="37"/>
        <v>62.683185536289891</v>
      </c>
      <c r="AE72" s="113">
        <v>55</v>
      </c>
      <c r="AF72" s="113">
        <v>24</v>
      </c>
      <c r="AG72" s="113">
        <f t="shared" si="40"/>
        <v>55</v>
      </c>
      <c r="AH72" s="113">
        <f t="shared" si="40"/>
        <v>24</v>
      </c>
      <c r="AI72" s="114">
        <v>31.5</v>
      </c>
      <c r="AJ72" s="114">
        <f t="shared" si="38"/>
        <v>31.5</v>
      </c>
      <c r="AK72" s="116"/>
    </row>
    <row r="73" spans="1:37" s="99" customFormat="1" x14ac:dyDescent="0.2">
      <c r="A73" s="93" t="s">
        <v>317</v>
      </c>
      <c r="B73" s="96">
        <f t="shared" si="32"/>
        <v>14.710899999999999</v>
      </c>
      <c r="C73" s="94">
        <v>120</v>
      </c>
      <c r="D73" s="94">
        <v>120</v>
      </c>
      <c r="E73" s="94">
        <v>8</v>
      </c>
      <c r="F73" s="94">
        <v>13</v>
      </c>
      <c r="G73" s="95">
        <f t="shared" si="1"/>
        <v>6.5</v>
      </c>
      <c r="H73" s="96">
        <v>18.739999999999998</v>
      </c>
      <c r="I73" s="96">
        <v>255.43</v>
      </c>
      <c r="J73" s="96">
        <f t="shared" si="33"/>
        <v>29.125427594070697</v>
      </c>
      <c r="K73" s="96"/>
      <c r="L73" s="96">
        <f t="shared" si="34"/>
        <v>3.6919104505409166</v>
      </c>
      <c r="M73" s="96"/>
      <c r="N73" s="96">
        <f t="shared" si="27"/>
        <v>255.43</v>
      </c>
      <c r="O73" s="96">
        <f t="shared" si="35"/>
        <v>29.125427594070697</v>
      </c>
      <c r="P73" s="96"/>
      <c r="Q73" s="96">
        <f t="shared" si="28"/>
        <v>3.6919104505409166</v>
      </c>
      <c r="R73" s="96"/>
      <c r="S73" s="96">
        <v>405.39</v>
      </c>
      <c r="T73" s="95">
        <v>84.9</v>
      </c>
      <c r="U73" s="96">
        <f t="shared" si="29"/>
        <v>47.749116607773843</v>
      </c>
      <c r="V73" s="96">
        <f t="shared" si="30"/>
        <v>4.6510576481625643</v>
      </c>
      <c r="W73" s="96">
        <v>105.47</v>
      </c>
      <c r="X73" s="95">
        <v>45.6</v>
      </c>
      <c r="Y73" s="96">
        <f t="shared" si="39"/>
        <v>23.129385964912281</v>
      </c>
      <c r="Z73" s="98">
        <f t="shared" si="31"/>
        <v>2.3723550120281289</v>
      </c>
      <c r="AA73" s="99">
        <f t="shared" si="36"/>
        <v>112.23000551958039</v>
      </c>
      <c r="AB73" s="99">
        <f t="shared" si="37"/>
        <v>52.59415544668196</v>
      </c>
      <c r="AE73" s="94">
        <v>65</v>
      </c>
      <c r="AF73" s="94">
        <v>24</v>
      </c>
      <c r="AG73" s="94">
        <f t="shared" si="40"/>
        <v>65</v>
      </c>
      <c r="AH73" s="94">
        <f t="shared" si="40"/>
        <v>24</v>
      </c>
      <c r="AI73" s="95">
        <v>32.299999999999997</v>
      </c>
      <c r="AJ73" s="95">
        <f t="shared" si="38"/>
        <v>32.299999999999997</v>
      </c>
      <c r="AK73" s="97"/>
    </row>
    <row r="74" spans="1:37" x14ac:dyDescent="0.2">
      <c r="A74" s="118" t="s">
        <v>318</v>
      </c>
      <c r="B74" s="121">
        <f t="shared" si="32"/>
        <v>16.461449999999999</v>
      </c>
      <c r="C74" s="119">
        <v>120</v>
      </c>
      <c r="D74" s="119">
        <v>120</v>
      </c>
      <c r="E74" s="119">
        <v>9</v>
      </c>
      <c r="F74" s="119">
        <v>13</v>
      </c>
      <c r="G74" s="120">
        <f t="shared" si="1"/>
        <v>6.5</v>
      </c>
      <c r="H74" s="121">
        <v>20.97</v>
      </c>
      <c r="I74" s="121">
        <v>284.54000000000002</v>
      </c>
      <c r="J74" s="121">
        <f t="shared" si="33"/>
        <v>32.593356242840784</v>
      </c>
      <c r="K74" s="121"/>
      <c r="L74" s="121">
        <f t="shared" si="34"/>
        <v>3.6835998647732833</v>
      </c>
      <c r="M74" s="121"/>
      <c r="N74" s="121">
        <f>I74</f>
        <v>284.54000000000002</v>
      </c>
      <c r="O74" s="121">
        <f t="shared" si="35"/>
        <v>32.593356242840784</v>
      </c>
      <c r="P74" s="121"/>
      <c r="Q74" s="121">
        <f>SQRT(N74/$H74)</f>
        <v>3.6835998647732833</v>
      </c>
      <c r="R74" s="121"/>
      <c r="S74" s="121">
        <v>451.8</v>
      </c>
      <c r="T74" s="120">
        <v>84.9</v>
      </c>
      <c r="U74" s="121">
        <f>S74*10/T74</f>
        <v>53.215547703180206</v>
      </c>
      <c r="V74" s="121">
        <f>SQRT(S74/$H74)</f>
        <v>4.6416661208753913</v>
      </c>
      <c r="W74" s="121">
        <v>117.28</v>
      </c>
      <c r="X74" s="120">
        <v>46.2</v>
      </c>
      <c r="Y74" s="121">
        <f t="shared" si="39"/>
        <v>25.385281385281381</v>
      </c>
      <c r="Z74" s="123">
        <f>SQRT(W74/$H74)</f>
        <v>2.3648999027090123</v>
      </c>
      <c r="AA74" s="99">
        <f t="shared" si="36"/>
        <v>111.33124077976576</v>
      </c>
      <c r="AB74" s="99">
        <f t="shared" si="37"/>
        <v>58.498762895282759</v>
      </c>
      <c r="AE74" s="119">
        <v>65</v>
      </c>
      <c r="AF74" s="119">
        <v>24</v>
      </c>
      <c r="AG74" s="119">
        <f t="shared" si="40"/>
        <v>65</v>
      </c>
      <c r="AH74" s="119">
        <f t="shared" si="40"/>
        <v>24</v>
      </c>
      <c r="AI74" s="120">
        <v>32.700000000000003</v>
      </c>
      <c r="AJ74" s="120">
        <f t="shared" si="38"/>
        <v>32.700000000000003</v>
      </c>
      <c r="AK74" s="122"/>
    </row>
    <row r="75" spans="1:37" x14ac:dyDescent="0.2">
      <c r="A75" s="118" t="s">
        <v>319</v>
      </c>
      <c r="B75" s="121">
        <f t="shared" si="32"/>
        <v>18.196300000000001</v>
      </c>
      <c r="C75" s="119">
        <v>120</v>
      </c>
      <c r="D75" s="119">
        <v>120</v>
      </c>
      <c r="E75" s="119">
        <v>10</v>
      </c>
      <c r="F75" s="119">
        <v>13</v>
      </c>
      <c r="G75" s="120">
        <f t="shared" si="1"/>
        <v>6.5</v>
      </c>
      <c r="H75" s="121">
        <v>23.18</v>
      </c>
      <c r="I75" s="121">
        <v>312.94</v>
      </c>
      <c r="J75" s="121">
        <f t="shared" si="33"/>
        <v>36.011507479861912</v>
      </c>
      <c r="K75" s="121"/>
      <c r="L75" s="121">
        <f t="shared" si="34"/>
        <v>3.674293320678796</v>
      </c>
      <c r="M75" s="121"/>
      <c r="N75" s="121">
        <f t="shared" ref="N75:N83" si="41">I75</f>
        <v>312.94</v>
      </c>
      <c r="O75" s="121">
        <f t="shared" si="35"/>
        <v>36.011507479861912</v>
      </c>
      <c r="P75" s="121"/>
      <c r="Q75" s="121">
        <f t="shared" ref="Q75:Q83" si="42">SQRT(N75/$H75)</f>
        <v>3.674293320678796</v>
      </c>
      <c r="R75" s="121"/>
      <c r="S75" s="121">
        <v>496.98</v>
      </c>
      <c r="T75" s="120">
        <v>84.9</v>
      </c>
      <c r="U75" s="121">
        <f t="shared" ref="U75:U83" si="43">S75*10/T75</f>
        <v>58.53710247349823</v>
      </c>
      <c r="V75" s="121">
        <f t="shared" ref="V75:V83" si="44">SQRT(S75/$H75)</f>
        <v>4.6303384878981344</v>
      </c>
      <c r="W75" s="121">
        <v>128.9</v>
      </c>
      <c r="X75" s="120">
        <v>46.9</v>
      </c>
      <c r="Y75" s="121">
        <f t="shared" si="39"/>
        <v>27.484008528784649</v>
      </c>
      <c r="Z75" s="123">
        <f t="shared" ref="Z75:Z82" si="45">SQRT(W75/$H75)</f>
        <v>2.358140856746866</v>
      </c>
      <c r="AA75" s="99">
        <f t="shared" si="36"/>
        <v>110.44438607056117</v>
      </c>
      <c r="AB75" s="99">
        <f t="shared" si="37"/>
        <v>64.272996312105349</v>
      </c>
      <c r="AE75" s="119">
        <v>65</v>
      </c>
      <c r="AF75" s="119">
        <v>24</v>
      </c>
      <c r="AG75" s="119">
        <f t="shared" si="40"/>
        <v>65</v>
      </c>
      <c r="AH75" s="119">
        <f t="shared" si="40"/>
        <v>24</v>
      </c>
      <c r="AI75" s="120">
        <v>33.1</v>
      </c>
      <c r="AJ75" s="120">
        <f t="shared" si="38"/>
        <v>33.1</v>
      </c>
      <c r="AK75" s="122"/>
    </row>
    <row r="76" spans="1:37" x14ac:dyDescent="0.2">
      <c r="A76" s="118" t="s">
        <v>320</v>
      </c>
      <c r="B76" s="121">
        <f t="shared" si="32"/>
        <v>19.91545</v>
      </c>
      <c r="C76" s="119">
        <v>120</v>
      </c>
      <c r="D76" s="119">
        <v>120</v>
      </c>
      <c r="E76" s="119">
        <v>11</v>
      </c>
      <c r="F76" s="119">
        <v>13</v>
      </c>
      <c r="G76" s="120">
        <f t="shared" si="1"/>
        <v>6.5</v>
      </c>
      <c r="H76" s="121">
        <v>25.37</v>
      </c>
      <c r="I76" s="121">
        <v>340.64</v>
      </c>
      <c r="J76" s="121">
        <f t="shared" si="33"/>
        <v>39.425925925925917</v>
      </c>
      <c r="K76" s="121"/>
      <c r="L76" s="121">
        <f t="shared" si="34"/>
        <v>3.664271024946828</v>
      </c>
      <c r="M76" s="121"/>
      <c r="N76" s="121">
        <f t="shared" si="41"/>
        <v>340.64</v>
      </c>
      <c r="O76" s="121">
        <f t="shared" si="35"/>
        <v>39.425925925925917</v>
      </c>
      <c r="P76" s="121"/>
      <c r="Q76" s="121">
        <f t="shared" si="42"/>
        <v>3.664271024946828</v>
      </c>
      <c r="R76" s="121"/>
      <c r="S76" s="121">
        <v>540.94000000000005</v>
      </c>
      <c r="T76" s="120">
        <v>84.9</v>
      </c>
      <c r="U76" s="121">
        <f t="shared" si="43"/>
        <v>63.714958775029451</v>
      </c>
      <c r="V76" s="121">
        <f t="shared" si="44"/>
        <v>4.6175787917809359</v>
      </c>
      <c r="W76" s="121">
        <v>140.34</v>
      </c>
      <c r="X76" s="120">
        <v>47.5</v>
      </c>
      <c r="Y76" s="121">
        <f t="shared" si="39"/>
        <v>29.545263157894738</v>
      </c>
      <c r="Z76" s="123">
        <f t="shared" si="45"/>
        <v>2.3519630928704376</v>
      </c>
      <c r="AA76" s="99">
        <f t="shared" si="36"/>
        <v>109.56944139196661</v>
      </c>
      <c r="AB76" s="99">
        <f t="shared" si="37"/>
        <v>69.921640418867099</v>
      </c>
      <c r="AE76" s="119">
        <v>65</v>
      </c>
      <c r="AF76" s="119">
        <v>24</v>
      </c>
      <c r="AG76" s="119">
        <f t="shared" si="40"/>
        <v>65</v>
      </c>
      <c r="AH76" s="119">
        <f t="shared" si="40"/>
        <v>24</v>
      </c>
      <c r="AI76" s="120">
        <v>33.6</v>
      </c>
      <c r="AJ76" s="120">
        <f t="shared" si="38"/>
        <v>33.6</v>
      </c>
      <c r="AK76" s="122"/>
    </row>
    <row r="77" spans="1:37" x14ac:dyDescent="0.2">
      <c r="A77" s="118" t="s">
        <v>321</v>
      </c>
      <c r="B77" s="121">
        <f t="shared" si="32"/>
        <v>21.6189</v>
      </c>
      <c r="C77" s="119">
        <v>120</v>
      </c>
      <c r="D77" s="119">
        <v>120</v>
      </c>
      <c r="E77" s="119">
        <v>12</v>
      </c>
      <c r="F77" s="119">
        <v>13</v>
      </c>
      <c r="G77" s="120">
        <f t="shared" si="1"/>
        <v>6.5</v>
      </c>
      <c r="H77" s="121">
        <v>27.54</v>
      </c>
      <c r="I77" s="121">
        <v>367.67</v>
      </c>
      <c r="J77" s="121">
        <f t="shared" si="33"/>
        <v>42.752325581395354</v>
      </c>
      <c r="K77" s="121"/>
      <c r="L77" s="121">
        <f t="shared" si="34"/>
        <v>3.6538198394319981</v>
      </c>
      <c r="M77" s="121"/>
      <c r="N77" s="121">
        <f t="shared" si="41"/>
        <v>367.67</v>
      </c>
      <c r="O77" s="121">
        <f t="shared" si="35"/>
        <v>42.752325581395354</v>
      </c>
      <c r="P77" s="121"/>
      <c r="Q77" s="121">
        <f t="shared" si="42"/>
        <v>3.6538198394319981</v>
      </c>
      <c r="R77" s="121"/>
      <c r="S77" s="121">
        <v>583.71</v>
      </c>
      <c r="T77" s="120">
        <v>84.9</v>
      </c>
      <c r="U77" s="121">
        <f t="shared" si="43"/>
        <v>68.752650176678443</v>
      </c>
      <c r="V77" s="121">
        <f t="shared" si="44"/>
        <v>4.6038015928962244</v>
      </c>
      <c r="W77" s="121">
        <v>151.62</v>
      </c>
      <c r="X77" s="120">
        <v>48</v>
      </c>
      <c r="Y77" s="121">
        <f t="shared" si="39"/>
        <v>31.587500000000002</v>
      </c>
      <c r="Z77" s="123">
        <f t="shared" si="45"/>
        <v>2.3463688165106702</v>
      </c>
      <c r="AA77" s="99">
        <f t="shared" si="36"/>
        <v>108.70640674398209</v>
      </c>
      <c r="AB77" s="99">
        <f t="shared" si="37"/>
        <v>75.449508842820308</v>
      </c>
      <c r="AE77" s="119">
        <v>65</v>
      </c>
      <c r="AF77" s="119">
        <v>24</v>
      </c>
      <c r="AG77" s="119">
        <f t="shared" si="40"/>
        <v>65</v>
      </c>
      <c r="AH77" s="119">
        <f t="shared" si="40"/>
        <v>24</v>
      </c>
      <c r="AI77" s="120">
        <v>34</v>
      </c>
      <c r="AJ77" s="120">
        <f t="shared" si="38"/>
        <v>34</v>
      </c>
      <c r="AK77" s="122"/>
    </row>
    <row r="78" spans="1:37" x14ac:dyDescent="0.2">
      <c r="A78" s="118" t="s">
        <v>322</v>
      </c>
      <c r="B78" s="121">
        <f t="shared" si="32"/>
        <v>23.306650000000001</v>
      </c>
      <c r="C78" s="119">
        <v>120</v>
      </c>
      <c r="D78" s="119">
        <v>120</v>
      </c>
      <c r="E78" s="119">
        <v>13</v>
      </c>
      <c r="F78" s="119">
        <v>13</v>
      </c>
      <c r="G78" s="120">
        <f t="shared" si="1"/>
        <v>6.5</v>
      </c>
      <c r="H78" s="121">
        <v>29.69</v>
      </c>
      <c r="I78" s="121">
        <v>394.04</v>
      </c>
      <c r="J78" s="121">
        <f t="shared" si="33"/>
        <v>46.032710280373834</v>
      </c>
      <c r="K78" s="121"/>
      <c r="L78" s="121">
        <f t="shared" si="34"/>
        <v>3.6430493669170261</v>
      </c>
      <c r="M78" s="121"/>
      <c r="N78" s="121">
        <f t="shared" si="41"/>
        <v>394.04</v>
      </c>
      <c r="O78" s="121">
        <f t="shared" si="35"/>
        <v>46.032710280373834</v>
      </c>
      <c r="P78" s="121"/>
      <c r="Q78" s="121">
        <f t="shared" si="42"/>
        <v>3.6430493669170261</v>
      </c>
      <c r="R78" s="121"/>
      <c r="S78" s="121">
        <v>625.32000000000005</v>
      </c>
      <c r="T78" s="120">
        <v>84.9</v>
      </c>
      <c r="U78" s="121">
        <f t="shared" si="43"/>
        <v>73.653710247349821</v>
      </c>
      <c r="V78" s="121">
        <f t="shared" si="44"/>
        <v>4.5892959062132963</v>
      </c>
      <c r="W78" s="121">
        <v>162.76</v>
      </c>
      <c r="X78" s="120">
        <v>48.6</v>
      </c>
      <c r="Y78" s="121">
        <f t="shared" si="39"/>
        <v>33.489711934156375</v>
      </c>
      <c r="Z78" s="123">
        <f t="shared" si="45"/>
        <v>2.34136295024991</v>
      </c>
      <c r="AA78" s="99">
        <f t="shared" si="36"/>
        <v>107.85528212660762</v>
      </c>
      <c r="AB78" s="99">
        <f t="shared" si="37"/>
        <v>80.861439861287309</v>
      </c>
      <c r="AE78" s="119">
        <v>65</v>
      </c>
      <c r="AF78" s="119">
        <v>24</v>
      </c>
      <c r="AG78" s="119">
        <f t="shared" si="40"/>
        <v>65</v>
      </c>
      <c r="AH78" s="119">
        <f t="shared" si="40"/>
        <v>24</v>
      </c>
      <c r="AI78" s="120">
        <v>34.4</v>
      </c>
      <c r="AJ78" s="120">
        <f t="shared" si="38"/>
        <v>34.4</v>
      </c>
      <c r="AK78" s="122"/>
    </row>
    <row r="79" spans="1:37" x14ac:dyDescent="0.2">
      <c r="A79" s="118" t="s">
        <v>323</v>
      </c>
      <c r="B79" s="121">
        <f t="shared" si="32"/>
        <v>24.9787</v>
      </c>
      <c r="C79" s="119">
        <v>120</v>
      </c>
      <c r="D79" s="119">
        <v>120</v>
      </c>
      <c r="E79" s="119">
        <v>14</v>
      </c>
      <c r="F79" s="119">
        <v>13</v>
      </c>
      <c r="G79" s="120">
        <f t="shared" si="1"/>
        <v>6.5</v>
      </c>
      <c r="H79" s="121">
        <v>31.82</v>
      </c>
      <c r="I79" s="121">
        <v>419.77</v>
      </c>
      <c r="J79" s="121">
        <f t="shared" si="33"/>
        <v>49.268779342723001</v>
      </c>
      <c r="K79" s="121"/>
      <c r="L79" s="121">
        <f t="shared" si="34"/>
        <v>3.6320817170039472</v>
      </c>
      <c r="M79" s="121"/>
      <c r="N79" s="121">
        <f t="shared" si="41"/>
        <v>419.77</v>
      </c>
      <c r="O79" s="121">
        <f t="shared" si="35"/>
        <v>49.268779342723001</v>
      </c>
      <c r="P79" s="121"/>
      <c r="Q79" s="121">
        <f t="shared" si="42"/>
        <v>3.6320817170039472</v>
      </c>
      <c r="R79" s="121"/>
      <c r="S79" s="121">
        <v>665.78</v>
      </c>
      <c r="T79" s="120">
        <v>84.9</v>
      </c>
      <c r="U79" s="121">
        <f t="shared" si="43"/>
        <v>78.419316843345101</v>
      </c>
      <c r="V79" s="121">
        <f t="shared" si="44"/>
        <v>4.5742014240197939</v>
      </c>
      <c r="W79" s="121">
        <v>173.76</v>
      </c>
      <c r="X79" s="120">
        <v>49.2</v>
      </c>
      <c r="Y79" s="121">
        <f t="shared" si="39"/>
        <v>35.317073170731703</v>
      </c>
      <c r="Z79" s="123">
        <f t="shared" si="45"/>
        <v>2.3368176074490647</v>
      </c>
      <c r="AA79" s="99">
        <f t="shared" si="36"/>
        <v>107.01606753984321</v>
      </c>
      <c r="AB79" s="99">
        <f t="shared" si="37"/>
        <v>86.162292146195583</v>
      </c>
      <c r="AE79" s="119">
        <v>65</v>
      </c>
      <c r="AF79" s="119">
        <v>24</v>
      </c>
      <c r="AG79" s="119">
        <f t="shared" si="40"/>
        <v>65</v>
      </c>
      <c r="AH79" s="119">
        <f t="shared" si="40"/>
        <v>24</v>
      </c>
      <c r="AI79" s="120">
        <v>34.799999999999997</v>
      </c>
      <c r="AJ79" s="120">
        <f t="shared" si="38"/>
        <v>34.799999999999997</v>
      </c>
      <c r="AK79" s="122"/>
    </row>
    <row r="80" spans="1:37" x14ac:dyDescent="0.2">
      <c r="A80" s="118" t="s">
        <v>324</v>
      </c>
      <c r="B80" s="121">
        <f t="shared" si="32"/>
        <v>26.63505</v>
      </c>
      <c r="C80" s="119">
        <v>120</v>
      </c>
      <c r="D80" s="119">
        <v>120</v>
      </c>
      <c r="E80" s="119">
        <v>15</v>
      </c>
      <c r="F80" s="119">
        <v>13</v>
      </c>
      <c r="G80" s="120">
        <f t="shared" si="1"/>
        <v>6.5</v>
      </c>
      <c r="H80" s="121">
        <v>33.93</v>
      </c>
      <c r="I80" s="121">
        <v>444.89</v>
      </c>
      <c r="J80" s="121">
        <f t="shared" si="33"/>
        <v>52.401648998822139</v>
      </c>
      <c r="K80" s="121"/>
      <c r="L80" s="121">
        <f t="shared" si="34"/>
        <v>3.6210489204661509</v>
      </c>
      <c r="M80" s="121"/>
      <c r="N80" s="121">
        <f t="shared" si="41"/>
        <v>444.89</v>
      </c>
      <c r="O80" s="121">
        <f t="shared" si="35"/>
        <v>52.401648998822139</v>
      </c>
      <c r="P80" s="121"/>
      <c r="Q80" s="121">
        <f t="shared" si="42"/>
        <v>3.6210489204661509</v>
      </c>
      <c r="R80" s="121"/>
      <c r="S80" s="121">
        <v>705.11</v>
      </c>
      <c r="T80" s="120">
        <v>84.9</v>
      </c>
      <c r="U80" s="121">
        <f t="shared" si="43"/>
        <v>83.051825677267374</v>
      </c>
      <c r="V80" s="121">
        <f t="shared" si="44"/>
        <v>4.5586527034826467</v>
      </c>
      <c r="W80" s="121">
        <v>184.66</v>
      </c>
      <c r="X80" s="120">
        <v>49.7</v>
      </c>
      <c r="Y80" s="121">
        <f t="shared" si="39"/>
        <v>37.154929577464785</v>
      </c>
      <c r="Z80" s="123">
        <f t="shared" si="45"/>
        <v>2.3328912047962835</v>
      </c>
      <c r="AA80" s="99">
        <f t="shared" si="36"/>
        <v>106.18876298368882</v>
      </c>
      <c r="AB80" s="99">
        <f t="shared" si="37"/>
        <v>91.356940508612936</v>
      </c>
      <c r="AE80" s="119">
        <v>65</v>
      </c>
      <c r="AF80" s="119">
        <v>24</v>
      </c>
      <c r="AG80" s="119">
        <f t="shared" si="40"/>
        <v>65</v>
      </c>
      <c r="AH80" s="119">
        <f t="shared" si="40"/>
        <v>24</v>
      </c>
      <c r="AI80" s="120">
        <v>35.1</v>
      </c>
      <c r="AJ80" s="120">
        <f t="shared" si="38"/>
        <v>35.1</v>
      </c>
      <c r="AK80" s="122"/>
    </row>
    <row r="81" spans="1:37" s="99" customFormat="1" x14ac:dyDescent="0.2">
      <c r="A81" s="124" t="s">
        <v>325</v>
      </c>
      <c r="B81" s="127">
        <f t="shared" si="32"/>
        <v>23.526450000000001</v>
      </c>
      <c r="C81" s="125">
        <v>130</v>
      </c>
      <c r="D81" s="125">
        <v>130</v>
      </c>
      <c r="E81" s="125">
        <v>12</v>
      </c>
      <c r="F81" s="125">
        <v>14</v>
      </c>
      <c r="G81" s="126">
        <f t="shared" si="1"/>
        <v>7</v>
      </c>
      <c r="H81" s="127">
        <v>29.97</v>
      </c>
      <c r="I81" s="127">
        <v>472.17</v>
      </c>
      <c r="J81" s="127">
        <f t="shared" si="33"/>
        <v>50.445512820512825</v>
      </c>
      <c r="K81" s="127"/>
      <c r="L81" s="127">
        <f t="shared" si="34"/>
        <v>3.9692259641842962</v>
      </c>
      <c r="M81" s="127"/>
      <c r="N81" s="127">
        <f t="shared" si="41"/>
        <v>472.17</v>
      </c>
      <c r="O81" s="127">
        <f t="shared" si="35"/>
        <v>50.445512820512825</v>
      </c>
      <c r="P81" s="127"/>
      <c r="Q81" s="127">
        <f t="shared" si="42"/>
        <v>3.9692259641842962</v>
      </c>
      <c r="R81" s="127"/>
      <c r="S81" s="127">
        <v>749.83</v>
      </c>
      <c r="T81" s="126">
        <v>91.9</v>
      </c>
      <c r="U81" s="127">
        <f t="shared" si="43"/>
        <v>81.591947769314473</v>
      </c>
      <c r="V81" s="127">
        <f t="shared" si="44"/>
        <v>5.001934894220371</v>
      </c>
      <c r="W81" s="127">
        <v>194.52</v>
      </c>
      <c r="X81" s="126">
        <v>51.5</v>
      </c>
      <c r="Y81" s="127">
        <f t="shared" si="39"/>
        <v>37.770873786407769</v>
      </c>
      <c r="Z81" s="129">
        <f t="shared" si="45"/>
        <v>2.5476441059320849</v>
      </c>
      <c r="AA81" s="99">
        <f t="shared" si="36"/>
        <v>118.62978218833628</v>
      </c>
      <c r="AB81" s="99">
        <f t="shared" si="37"/>
        <v>89.442849445655867</v>
      </c>
      <c r="AE81" s="125">
        <v>70</v>
      </c>
      <c r="AF81" s="125">
        <v>24</v>
      </c>
      <c r="AG81" s="125">
        <f t="shared" si="40"/>
        <v>70</v>
      </c>
      <c r="AH81" s="125">
        <f t="shared" si="40"/>
        <v>24</v>
      </c>
      <c r="AI81" s="126">
        <v>36.4</v>
      </c>
      <c r="AJ81" s="126">
        <f t="shared" si="38"/>
        <v>36.4</v>
      </c>
      <c r="AK81" s="128"/>
    </row>
    <row r="82" spans="1:37" s="99" customFormat="1" x14ac:dyDescent="0.2">
      <c r="A82" s="93" t="s">
        <v>326</v>
      </c>
      <c r="B82" s="96">
        <f t="shared" si="32"/>
        <v>27.435750000000002</v>
      </c>
      <c r="C82" s="94">
        <v>140</v>
      </c>
      <c r="D82" s="94">
        <v>140</v>
      </c>
      <c r="E82" s="94">
        <v>13</v>
      </c>
      <c r="F82" s="94">
        <v>15</v>
      </c>
      <c r="G82" s="95">
        <f t="shared" si="1"/>
        <v>7.5</v>
      </c>
      <c r="H82" s="96">
        <v>34.950000000000003</v>
      </c>
      <c r="I82" s="96">
        <v>638.54</v>
      </c>
      <c r="J82" s="96">
        <f t="shared" si="33"/>
        <v>63.347222222222221</v>
      </c>
      <c r="K82" s="96"/>
      <c r="L82" s="96">
        <f t="shared" si="34"/>
        <v>4.2743537690581386</v>
      </c>
      <c r="M82" s="96"/>
      <c r="N82" s="96">
        <f t="shared" si="41"/>
        <v>638.54</v>
      </c>
      <c r="O82" s="96">
        <f t="shared" si="35"/>
        <v>63.347222222222221</v>
      </c>
      <c r="P82" s="96"/>
      <c r="Q82" s="96">
        <f t="shared" si="42"/>
        <v>4.2743537690581386</v>
      </c>
      <c r="R82" s="96"/>
      <c r="S82" s="95">
        <v>1014.04</v>
      </c>
      <c r="T82" s="95">
        <v>99</v>
      </c>
      <c r="U82" s="96">
        <f t="shared" si="43"/>
        <v>102.42828282828282</v>
      </c>
      <c r="V82" s="96">
        <f t="shared" si="44"/>
        <v>5.3864663768199925</v>
      </c>
      <c r="W82" s="96">
        <v>263.02999999999997</v>
      </c>
      <c r="X82" s="95">
        <v>55.5</v>
      </c>
      <c r="Y82" s="96">
        <f t="shared" si="39"/>
        <v>47.39279279279279</v>
      </c>
      <c r="Z82" s="98">
        <f t="shared" si="45"/>
        <v>2.7433363145042615</v>
      </c>
      <c r="AA82" s="99">
        <f t="shared" si="36"/>
        <v>127.69017859834317</v>
      </c>
      <c r="AB82" s="99">
        <f t="shared" si="37"/>
        <v>112.29307234603777</v>
      </c>
      <c r="AE82" s="94">
        <v>70</v>
      </c>
      <c r="AF82" s="94">
        <v>24</v>
      </c>
      <c r="AG82" s="94">
        <f t="shared" si="40"/>
        <v>70</v>
      </c>
      <c r="AH82" s="94">
        <f t="shared" si="40"/>
        <v>24</v>
      </c>
      <c r="AI82" s="95">
        <v>39.200000000000003</v>
      </c>
      <c r="AJ82" s="95">
        <f t="shared" si="38"/>
        <v>39.200000000000003</v>
      </c>
      <c r="AK82" s="97"/>
    </row>
    <row r="83" spans="1:37" s="99" customFormat="1" x14ac:dyDescent="0.2">
      <c r="A83" s="100" t="s">
        <v>327</v>
      </c>
      <c r="B83" s="103">
        <f t="shared" si="32"/>
        <v>22.976950000000002</v>
      </c>
      <c r="C83" s="101">
        <v>150</v>
      </c>
      <c r="D83" s="101">
        <v>150</v>
      </c>
      <c r="E83" s="101">
        <v>10</v>
      </c>
      <c r="F83" s="101">
        <v>16</v>
      </c>
      <c r="G83" s="102">
        <f t="shared" si="1"/>
        <v>8</v>
      </c>
      <c r="H83" s="103">
        <v>29.27</v>
      </c>
      <c r="I83" s="103">
        <v>624.04</v>
      </c>
      <c r="J83" s="103">
        <f t="shared" si="33"/>
        <v>56.886052871467633</v>
      </c>
      <c r="K83" s="103"/>
      <c r="L83" s="103">
        <f t="shared" si="34"/>
        <v>4.6173718707534723</v>
      </c>
      <c r="M83" s="103"/>
      <c r="N83" s="103">
        <f t="shared" si="41"/>
        <v>624.04</v>
      </c>
      <c r="O83" s="103">
        <f t="shared" si="35"/>
        <v>56.886052871467633</v>
      </c>
      <c r="P83" s="103"/>
      <c r="Q83" s="103">
        <f t="shared" si="42"/>
        <v>4.6173718707534723</v>
      </c>
      <c r="R83" s="103"/>
      <c r="S83" s="103">
        <v>990.57</v>
      </c>
      <c r="T83" s="130">
        <v>106.1</v>
      </c>
      <c r="U83" s="103">
        <f t="shared" si="43"/>
        <v>93.361922714420373</v>
      </c>
      <c r="V83" s="103">
        <f t="shared" si="44"/>
        <v>5.8174307777675223</v>
      </c>
      <c r="W83" s="103">
        <v>257.52</v>
      </c>
      <c r="X83" s="102">
        <v>57.1</v>
      </c>
      <c r="Y83" s="103">
        <f t="shared" si="39"/>
        <v>45.099824868651481</v>
      </c>
      <c r="Z83" s="105">
        <f>SQRT(W83/$H83)</f>
        <v>2.966156903852402</v>
      </c>
      <c r="AA83" s="99">
        <f t="shared" si="36"/>
        <v>140.2932743238342</v>
      </c>
      <c r="AB83" s="99">
        <f t="shared" si="37"/>
        <v>102.71377632421415</v>
      </c>
      <c r="AE83" s="101">
        <v>85</v>
      </c>
      <c r="AF83" s="101">
        <v>27</v>
      </c>
      <c r="AG83" s="101">
        <f t="shared" si="40"/>
        <v>85</v>
      </c>
      <c r="AH83" s="101">
        <f t="shared" si="40"/>
        <v>27</v>
      </c>
      <c r="AI83" s="102">
        <v>40.299999999999997</v>
      </c>
      <c r="AJ83" s="102">
        <f t="shared" si="38"/>
        <v>40.299999999999997</v>
      </c>
      <c r="AK83" s="104"/>
    </row>
    <row r="84" spans="1:37" x14ac:dyDescent="0.2">
      <c r="A84" s="106" t="s">
        <v>328</v>
      </c>
      <c r="B84" s="109">
        <f t="shared" si="32"/>
        <v>27.341549999999998</v>
      </c>
      <c r="C84" s="107">
        <v>150</v>
      </c>
      <c r="D84" s="107">
        <v>150</v>
      </c>
      <c r="E84" s="107">
        <v>12</v>
      </c>
      <c r="F84" s="107">
        <v>16</v>
      </c>
      <c r="G84" s="108">
        <f t="shared" si="1"/>
        <v>8</v>
      </c>
      <c r="H84" s="109">
        <v>34.83</v>
      </c>
      <c r="I84" s="109">
        <v>736.91</v>
      </c>
      <c r="J84" s="109">
        <f t="shared" si="33"/>
        <v>67.730698529411768</v>
      </c>
      <c r="K84" s="109"/>
      <c r="L84" s="109">
        <f t="shared" si="34"/>
        <v>4.5997103854703552</v>
      </c>
      <c r="M84" s="109"/>
      <c r="N84" s="109">
        <f>I84</f>
        <v>736.91</v>
      </c>
      <c r="O84" s="109">
        <f t="shared" si="35"/>
        <v>67.730698529411768</v>
      </c>
      <c r="P84" s="109"/>
      <c r="Q84" s="109">
        <f>SQRT(N84/$H84)</f>
        <v>4.5997103854703552</v>
      </c>
      <c r="R84" s="109"/>
      <c r="S84" s="108">
        <v>1170.3800000000001</v>
      </c>
      <c r="T84" s="131">
        <v>106.1</v>
      </c>
      <c r="U84" s="109">
        <f>S84*10/T84</f>
        <v>110.30914231856741</v>
      </c>
      <c r="V84" s="109">
        <f>SQRT(S84/$H84)</f>
        <v>5.7967785364882642</v>
      </c>
      <c r="W84" s="109">
        <v>303.45</v>
      </c>
      <c r="X84" s="108">
        <v>58.3</v>
      </c>
      <c r="Y84" s="109">
        <f t="shared" si="39"/>
        <v>52.049742710120071</v>
      </c>
      <c r="Z84" s="111">
        <f>SQRT(W84/$H84)</f>
        <v>2.9516634239240291</v>
      </c>
      <c r="AA84" s="99">
        <f t="shared" si="36"/>
        <v>138.50289086257092</v>
      </c>
      <c r="AB84" s="99">
        <f t="shared" si="37"/>
        <v>121.04276203730863</v>
      </c>
      <c r="AE84" s="107">
        <v>85</v>
      </c>
      <c r="AF84" s="107">
        <v>27</v>
      </c>
      <c r="AG84" s="107">
        <f t="shared" si="40"/>
        <v>85</v>
      </c>
      <c r="AH84" s="107">
        <f t="shared" si="40"/>
        <v>27</v>
      </c>
      <c r="AI84" s="108">
        <v>41.2</v>
      </c>
      <c r="AJ84" s="108">
        <f t="shared" si="38"/>
        <v>41.2</v>
      </c>
      <c r="AK84" s="110"/>
    </row>
    <row r="85" spans="1:37" x14ac:dyDescent="0.2">
      <c r="A85" s="106" t="s">
        <v>329</v>
      </c>
      <c r="B85" s="109">
        <f t="shared" si="32"/>
        <v>31.643350000000002</v>
      </c>
      <c r="C85" s="107">
        <v>150</v>
      </c>
      <c r="D85" s="107">
        <v>150</v>
      </c>
      <c r="E85" s="107">
        <v>14</v>
      </c>
      <c r="F85" s="107">
        <v>16</v>
      </c>
      <c r="G85" s="108">
        <f t="shared" si="1"/>
        <v>8</v>
      </c>
      <c r="H85" s="109">
        <v>40.31</v>
      </c>
      <c r="I85" s="109">
        <v>845.5</v>
      </c>
      <c r="J85" s="109">
        <f t="shared" si="33"/>
        <v>78.359592215013905</v>
      </c>
      <c r="K85" s="109"/>
      <c r="L85" s="109">
        <f t="shared" si="34"/>
        <v>4.57984106521012</v>
      </c>
      <c r="M85" s="109"/>
      <c r="N85" s="109">
        <f t="shared" ref="N85:N97" si="46">I85</f>
        <v>845.5</v>
      </c>
      <c r="O85" s="109">
        <f t="shared" si="35"/>
        <v>78.359592215013905</v>
      </c>
      <c r="P85" s="109"/>
      <c r="Q85" s="109">
        <f t="shared" ref="Q85:Q97" si="47">SQRT(N85/$H85)</f>
        <v>4.57984106521012</v>
      </c>
      <c r="R85" s="109"/>
      <c r="S85" s="108">
        <v>1342.57</v>
      </c>
      <c r="T85" s="131">
        <v>106.1</v>
      </c>
      <c r="U85" s="109">
        <f t="shared" ref="U85:U128" si="48">S85*10/T85</f>
        <v>126.53817153628651</v>
      </c>
      <c r="V85" s="109">
        <f t="shared" ref="V85:V97" si="49">SQRT(S85/$H85)</f>
        <v>5.7711461176947925</v>
      </c>
      <c r="W85" s="109">
        <v>348.23</v>
      </c>
      <c r="X85" s="108">
        <v>59.5</v>
      </c>
      <c r="Y85" s="109">
        <f t="shared" si="39"/>
        <v>58.526050420168069</v>
      </c>
      <c r="Z85" s="111">
        <f t="shared" ref="Z85:Z97" si="50">SQRT(W85/$H85)</f>
        <v>2.9391834419415335</v>
      </c>
      <c r="AA85" s="99">
        <f t="shared" si="36"/>
        <v>136.75061949925984</v>
      </c>
      <c r="AB85" s="99">
        <f t="shared" si="37"/>
        <v>138.73420738901061</v>
      </c>
      <c r="AE85" s="107">
        <v>85</v>
      </c>
      <c r="AF85" s="107">
        <v>27</v>
      </c>
      <c r="AG85" s="107">
        <f t="shared" si="40"/>
        <v>85</v>
      </c>
      <c r="AH85" s="107">
        <f t="shared" si="40"/>
        <v>27</v>
      </c>
      <c r="AI85" s="108">
        <v>42.1</v>
      </c>
      <c r="AJ85" s="108">
        <f t="shared" si="38"/>
        <v>42.1</v>
      </c>
      <c r="AK85" s="110"/>
    </row>
    <row r="86" spans="1:37" x14ac:dyDescent="0.2">
      <c r="A86" s="106" t="s">
        <v>330</v>
      </c>
      <c r="B86" s="109">
        <f t="shared" si="32"/>
        <v>33.770700000000005</v>
      </c>
      <c r="C86" s="107">
        <v>150</v>
      </c>
      <c r="D86" s="107">
        <v>150</v>
      </c>
      <c r="E86" s="107">
        <v>15</v>
      </c>
      <c r="F86" s="107">
        <v>16</v>
      </c>
      <c r="G86" s="108">
        <f t="shared" ref="G86:G97" si="51">F86/2</f>
        <v>8</v>
      </c>
      <c r="H86" s="109">
        <v>43.02</v>
      </c>
      <c r="I86" s="109">
        <v>898.05</v>
      </c>
      <c r="J86" s="109">
        <f t="shared" si="33"/>
        <v>83.539534883720933</v>
      </c>
      <c r="K86" s="109"/>
      <c r="L86" s="109">
        <f t="shared" si="34"/>
        <v>4.5689357992334969</v>
      </c>
      <c r="M86" s="109"/>
      <c r="N86" s="109">
        <f t="shared" si="46"/>
        <v>898.05</v>
      </c>
      <c r="O86" s="109">
        <f t="shared" si="35"/>
        <v>83.539534883720933</v>
      </c>
      <c r="P86" s="109"/>
      <c r="Q86" s="109">
        <f t="shared" si="47"/>
        <v>4.5689357992334969</v>
      </c>
      <c r="R86" s="109"/>
      <c r="S86" s="108">
        <v>1425.87</v>
      </c>
      <c r="T86" s="131">
        <v>106.1</v>
      </c>
      <c r="U86" s="109">
        <f t="shared" si="48"/>
        <v>134.38925541941563</v>
      </c>
      <c r="V86" s="109">
        <f t="shared" si="49"/>
        <v>5.7571131189542504</v>
      </c>
      <c r="W86" s="109">
        <v>370.24</v>
      </c>
      <c r="X86" s="108">
        <v>60.1</v>
      </c>
      <c r="Y86" s="109">
        <f t="shared" si="39"/>
        <v>61.603993344425959</v>
      </c>
      <c r="Z86" s="111">
        <f t="shared" si="50"/>
        <v>2.9336376157635704</v>
      </c>
      <c r="AA86" s="99">
        <f t="shared" si="36"/>
        <v>135.8887758543363</v>
      </c>
      <c r="AB86" s="99">
        <f t="shared" si="37"/>
        <v>147.35286393020451</v>
      </c>
      <c r="AE86" s="107">
        <v>85</v>
      </c>
      <c r="AF86" s="107">
        <v>27</v>
      </c>
      <c r="AG86" s="107">
        <f t="shared" si="40"/>
        <v>85</v>
      </c>
      <c r="AH86" s="107">
        <f t="shared" si="40"/>
        <v>27</v>
      </c>
      <c r="AI86" s="108">
        <v>42.5</v>
      </c>
      <c r="AJ86" s="108">
        <f t="shared" si="38"/>
        <v>42.5</v>
      </c>
      <c r="AK86" s="110"/>
    </row>
    <row r="87" spans="1:37" x14ac:dyDescent="0.2">
      <c r="A87" s="106" t="s">
        <v>331</v>
      </c>
      <c r="B87" s="109">
        <f t="shared" si="32"/>
        <v>35.882350000000002</v>
      </c>
      <c r="C87" s="107">
        <v>150</v>
      </c>
      <c r="D87" s="107">
        <v>150</v>
      </c>
      <c r="E87" s="107">
        <v>16</v>
      </c>
      <c r="F87" s="107">
        <v>16</v>
      </c>
      <c r="G87" s="108">
        <f t="shared" si="51"/>
        <v>8</v>
      </c>
      <c r="H87" s="109">
        <v>45.71</v>
      </c>
      <c r="I87" s="109">
        <v>949.68</v>
      </c>
      <c r="J87" s="109">
        <f t="shared" si="33"/>
        <v>88.672268907563023</v>
      </c>
      <c r="K87" s="109"/>
      <c r="L87" s="109">
        <f t="shared" si="34"/>
        <v>4.5580914611864474</v>
      </c>
      <c r="M87" s="109"/>
      <c r="N87" s="109">
        <f t="shared" si="46"/>
        <v>949.68</v>
      </c>
      <c r="O87" s="109">
        <f t="shared" si="35"/>
        <v>88.672268907563023</v>
      </c>
      <c r="P87" s="109"/>
      <c r="Q87" s="109">
        <f t="shared" si="47"/>
        <v>4.5580914611864474</v>
      </c>
      <c r="R87" s="109"/>
      <c r="S87" s="108">
        <v>1507.34</v>
      </c>
      <c r="T87" s="131">
        <v>106.1</v>
      </c>
      <c r="U87" s="109">
        <f t="shared" si="48"/>
        <v>142.06786050895383</v>
      </c>
      <c r="V87" s="109">
        <f t="shared" si="49"/>
        <v>5.7424867448204751</v>
      </c>
      <c r="W87" s="109">
        <v>392.02</v>
      </c>
      <c r="X87" s="108">
        <v>60.6</v>
      </c>
      <c r="Y87" s="109">
        <f t="shared" si="39"/>
        <v>64.689768976897682</v>
      </c>
      <c r="Z87" s="111">
        <f t="shared" si="50"/>
        <v>2.9285220713941609</v>
      </c>
      <c r="AA87" s="99">
        <f t="shared" si="36"/>
        <v>135.03646023390084</v>
      </c>
      <c r="AB87" s="99">
        <f t="shared" si="37"/>
        <v>155.82659052864881</v>
      </c>
      <c r="AE87" s="107">
        <v>85</v>
      </c>
      <c r="AF87" s="107">
        <v>27</v>
      </c>
      <c r="AG87" s="107">
        <f t="shared" ref="AG87:AH97" si="52">AE87</f>
        <v>85</v>
      </c>
      <c r="AH87" s="107">
        <f t="shared" si="52"/>
        <v>27</v>
      </c>
      <c r="AI87" s="108">
        <v>42.9</v>
      </c>
      <c r="AJ87" s="108">
        <f t="shared" si="38"/>
        <v>42.9</v>
      </c>
      <c r="AK87" s="110"/>
    </row>
    <row r="88" spans="1:37" x14ac:dyDescent="0.2">
      <c r="A88" s="112" t="s">
        <v>332</v>
      </c>
      <c r="B88" s="115">
        <f t="shared" si="32"/>
        <v>40.058550000000004</v>
      </c>
      <c r="C88" s="113">
        <v>150</v>
      </c>
      <c r="D88" s="113">
        <v>150</v>
      </c>
      <c r="E88" s="113">
        <v>18</v>
      </c>
      <c r="F88" s="113">
        <v>16</v>
      </c>
      <c r="G88" s="114">
        <f t="shared" si="51"/>
        <v>8</v>
      </c>
      <c r="H88" s="115">
        <v>51.03</v>
      </c>
      <c r="I88" s="114">
        <v>1049.97</v>
      </c>
      <c r="J88" s="115">
        <f t="shared" si="33"/>
        <v>98.774223894637828</v>
      </c>
      <c r="K88" s="115"/>
      <c r="L88" s="115">
        <f t="shared" si="34"/>
        <v>4.5360273144863248</v>
      </c>
      <c r="M88" s="115"/>
      <c r="N88" s="114">
        <f t="shared" si="46"/>
        <v>1049.97</v>
      </c>
      <c r="O88" s="115">
        <f t="shared" si="35"/>
        <v>98.774223894637828</v>
      </c>
      <c r="P88" s="115"/>
      <c r="Q88" s="115">
        <f t="shared" si="47"/>
        <v>4.5360273144863248</v>
      </c>
      <c r="R88" s="115"/>
      <c r="S88" s="114">
        <v>1664.92</v>
      </c>
      <c r="T88" s="132">
        <v>106.1</v>
      </c>
      <c r="U88" s="115">
        <f t="shared" si="48"/>
        <v>156.91988689915175</v>
      </c>
      <c r="V88" s="115">
        <f t="shared" si="49"/>
        <v>5.7119434745039177</v>
      </c>
      <c r="W88" s="115">
        <v>435.01</v>
      </c>
      <c r="X88" s="114">
        <v>61.7</v>
      </c>
      <c r="Y88" s="115">
        <f t="shared" si="39"/>
        <v>70.50405186385737</v>
      </c>
      <c r="Z88" s="117">
        <f t="shared" si="50"/>
        <v>2.9196906302629442</v>
      </c>
      <c r="AA88" s="99">
        <f t="shared" si="36"/>
        <v>133.360413066494</v>
      </c>
      <c r="AB88" s="99">
        <f t="shared" si="37"/>
        <v>172.3586942324585</v>
      </c>
      <c r="AE88" s="113">
        <v>85</v>
      </c>
      <c r="AF88" s="113">
        <v>27</v>
      </c>
      <c r="AG88" s="113">
        <f t="shared" si="52"/>
        <v>85</v>
      </c>
      <c r="AH88" s="113">
        <f t="shared" si="52"/>
        <v>27</v>
      </c>
      <c r="AI88" s="114">
        <v>43.7</v>
      </c>
      <c r="AJ88" s="114">
        <f t="shared" si="38"/>
        <v>43.7</v>
      </c>
      <c r="AK88" s="116"/>
    </row>
    <row r="89" spans="1:37" s="99" customFormat="1" x14ac:dyDescent="0.2">
      <c r="A89" s="93" t="s">
        <v>333</v>
      </c>
      <c r="B89" s="96">
        <f t="shared" si="32"/>
        <v>36.1571</v>
      </c>
      <c r="C89" s="94">
        <v>160</v>
      </c>
      <c r="D89" s="94">
        <v>160</v>
      </c>
      <c r="E89" s="94">
        <v>15</v>
      </c>
      <c r="F89" s="94">
        <v>17</v>
      </c>
      <c r="G89" s="95">
        <f t="shared" si="51"/>
        <v>8.5</v>
      </c>
      <c r="H89" s="96">
        <v>46.06</v>
      </c>
      <c r="I89" s="95">
        <v>1098.83</v>
      </c>
      <c r="J89" s="96">
        <f t="shared" si="33"/>
        <v>95.467419635099915</v>
      </c>
      <c r="K89" s="96"/>
      <c r="L89" s="96">
        <f t="shared" si="34"/>
        <v>4.8843107530933496</v>
      </c>
      <c r="M89" s="96"/>
      <c r="N89" s="95">
        <f t="shared" si="46"/>
        <v>1098.83</v>
      </c>
      <c r="O89" s="96">
        <f t="shared" si="35"/>
        <v>95.467419635099915</v>
      </c>
      <c r="P89" s="96"/>
      <c r="Q89" s="96">
        <f t="shared" si="47"/>
        <v>4.8843107530933496</v>
      </c>
      <c r="R89" s="96"/>
      <c r="S89" s="95">
        <v>1745.07</v>
      </c>
      <c r="T89" s="133">
        <v>113.1</v>
      </c>
      <c r="U89" s="96">
        <f t="shared" si="48"/>
        <v>154.29442970822282</v>
      </c>
      <c r="V89" s="96">
        <f t="shared" si="49"/>
        <v>6.155232462674455</v>
      </c>
      <c r="W89" s="96">
        <v>452.6</v>
      </c>
      <c r="X89" s="95">
        <v>63.5</v>
      </c>
      <c r="Y89" s="96">
        <f t="shared" si="39"/>
        <v>71.275590551181097</v>
      </c>
      <c r="Z89" s="98">
        <f t="shared" si="50"/>
        <v>3.134695121399377</v>
      </c>
      <c r="AA89" s="99">
        <f t="shared" si="36"/>
        <v>145.81109654904068</v>
      </c>
      <c r="AB89" s="99">
        <f t="shared" si="37"/>
        <v>169.0281528442388</v>
      </c>
      <c r="AE89" s="94">
        <v>85</v>
      </c>
      <c r="AF89" s="94">
        <v>27</v>
      </c>
      <c r="AG89" s="94">
        <f t="shared" si="52"/>
        <v>85</v>
      </c>
      <c r="AH89" s="94">
        <f t="shared" si="52"/>
        <v>27</v>
      </c>
      <c r="AI89" s="95">
        <v>44.9</v>
      </c>
      <c r="AJ89" s="95">
        <f t="shared" si="38"/>
        <v>44.9</v>
      </c>
      <c r="AK89" s="97"/>
    </row>
    <row r="90" spans="1:37" x14ac:dyDescent="0.2">
      <c r="A90" s="118" t="s">
        <v>334</v>
      </c>
      <c r="B90" s="121">
        <f t="shared" si="32"/>
        <v>40.678699999999999</v>
      </c>
      <c r="C90" s="119">
        <v>160</v>
      </c>
      <c r="D90" s="119">
        <v>160</v>
      </c>
      <c r="E90" s="119">
        <v>17</v>
      </c>
      <c r="F90" s="119">
        <v>17</v>
      </c>
      <c r="G90" s="120">
        <f t="shared" si="51"/>
        <v>8.5</v>
      </c>
      <c r="H90" s="121">
        <v>51.82</v>
      </c>
      <c r="I90" s="120">
        <v>1225.4000000000001</v>
      </c>
      <c r="J90" s="121">
        <f t="shared" si="33"/>
        <v>107.20909886264218</v>
      </c>
      <c r="K90" s="121"/>
      <c r="L90" s="121">
        <f t="shared" si="34"/>
        <v>4.8628428360068963</v>
      </c>
      <c r="M90" s="121"/>
      <c r="N90" s="120">
        <f t="shared" si="46"/>
        <v>1225.4000000000001</v>
      </c>
      <c r="O90" s="121">
        <f t="shared" si="35"/>
        <v>107.20909886264218</v>
      </c>
      <c r="P90" s="121"/>
      <c r="Q90" s="121">
        <f t="shared" si="47"/>
        <v>4.8628428360068963</v>
      </c>
      <c r="R90" s="121"/>
      <c r="S90" s="120">
        <v>1945.03</v>
      </c>
      <c r="T90" s="134">
        <v>113.1</v>
      </c>
      <c r="U90" s="121">
        <f t="shared" si="48"/>
        <v>171.97435897435898</v>
      </c>
      <c r="V90" s="121">
        <f t="shared" si="49"/>
        <v>6.1265283539653463</v>
      </c>
      <c r="W90" s="121">
        <v>505.76</v>
      </c>
      <c r="X90" s="120">
        <v>64.599999999999994</v>
      </c>
      <c r="Y90" s="121">
        <f t="shared" si="39"/>
        <v>78.291021671826641</v>
      </c>
      <c r="Z90" s="123">
        <f t="shared" si="50"/>
        <v>3.1240899871451813</v>
      </c>
      <c r="AA90" s="99">
        <f t="shared" si="36"/>
        <v>144.09693728368168</v>
      </c>
      <c r="AB90" s="99">
        <f t="shared" si="37"/>
        <v>188.47522319944068</v>
      </c>
      <c r="AE90" s="119">
        <v>85</v>
      </c>
      <c r="AF90" s="119">
        <v>27</v>
      </c>
      <c r="AG90" s="119">
        <f t="shared" si="52"/>
        <v>85</v>
      </c>
      <c r="AH90" s="119">
        <f t="shared" si="52"/>
        <v>27</v>
      </c>
      <c r="AI90" s="120">
        <v>45.7</v>
      </c>
      <c r="AJ90" s="120">
        <f t="shared" si="38"/>
        <v>45.7</v>
      </c>
      <c r="AK90" s="122"/>
    </row>
    <row r="91" spans="1:37" s="99" customFormat="1" x14ac:dyDescent="0.2">
      <c r="A91" s="100" t="s">
        <v>335</v>
      </c>
      <c r="B91" s="103">
        <f t="shared" si="32"/>
        <v>43.48115</v>
      </c>
      <c r="C91" s="101">
        <v>180</v>
      </c>
      <c r="D91" s="101">
        <v>180</v>
      </c>
      <c r="E91" s="101">
        <v>16</v>
      </c>
      <c r="F91" s="101">
        <v>18</v>
      </c>
      <c r="G91" s="102">
        <f t="shared" si="51"/>
        <v>9</v>
      </c>
      <c r="H91" s="103">
        <v>55.39</v>
      </c>
      <c r="I91" s="102">
        <v>1682.43</v>
      </c>
      <c r="J91" s="103">
        <f t="shared" si="33"/>
        <v>129.61710323574729</v>
      </c>
      <c r="K91" s="103"/>
      <c r="L91" s="103">
        <f t="shared" si="34"/>
        <v>5.5112843585444393</v>
      </c>
      <c r="M91" s="103"/>
      <c r="N91" s="102">
        <f t="shared" si="46"/>
        <v>1682.43</v>
      </c>
      <c r="O91" s="103">
        <f t="shared" si="35"/>
        <v>129.61710323574729</v>
      </c>
      <c r="P91" s="103"/>
      <c r="Q91" s="103">
        <f t="shared" si="47"/>
        <v>5.5112843585444393</v>
      </c>
      <c r="R91" s="103"/>
      <c r="S91" s="102">
        <v>2673.07</v>
      </c>
      <c r="T91" s="130">
        <v>127.3</v>
      </c>
      <c r="U91" s="103">
        <f t="shared" si="48"/>
        <v>209.98193244304792</v>
      </c>
      <c r="V91" s="103">
        <f t="shared" si="49"/>
        <v>6.9468749833765759</v>
      </c>
      <c r="W91" s="103">
        <v>691.79</v>
      </c>
      <c r="X91" s="102">
        <v>71</v>
      </c>
      <c r="Y91" s="103">
        <f t="shared" si="39"/>
        <v>97.435211267605624</v>
      </c>
      <c r="Z91" s="105">
        <f t="shared" si="50"/>
        <v>3.534039972440874</v>
      </c>
      <c r="AA91" s="99">
        <f t="shared" si="36"/>
        <v>164.82318095911467</v>
      </c>
      <c r="AB91" s="99">
        <f t="shared" si="37"/>
        <v>229.60085783124859</v>
      </c>
      <c r="AE91" s="101">
        <v>90</v>
      </c>
      <c r="AF91" s="101">
        <v>27</v>
      </c>
      <c r="AG91" s="101">
        <f t="shared" si="52"/>
        <v>90</v>
      </c>
      <c r="AH91" s="101">
        <f t="shared" si="52"/>
        <v>27</v>
      </c>
      <c r="AI91" s="102">
        <v>50.2</v>
      </c>
      <c r="AJ91" s="102">
        <f t="shared" si="38"/>
        <v>50.2</v>
      </c>
      <c r="AK91" s="104"/>
    </row>
    <row r="92" spans="1:37" x14ac:dyDescent="0.2">
      <c r="A92" s="106" t="s">
        <v>336</v>
      </c>
      <c r="B92" s="109">
        <f t="shared" si="32"/>
        <v>48.599350000000001</v>
      </c>
      <c r="C92" s="107">
        <v>180</v>
      </c>
      <c r="D92" s="107">
        <v>180</v>
      </c>
      <c r="E92" s="107">
        <v>18</v>
      </c>
      <c r="F92" s="107">
        <v>18</v>
      </c>
      <c r="G92" s="108">
        <f t="shared" si="51"/>
        <v>9</v>
      </c>
      <c r="H92" s="109">
        <v>61.91</v>
      </c>
      <c r="I92" s="108">
        <v>1865.6</v>
      </c>
      <c r="J92" s="109">
        <f t="shared" si="33"/>
        <v>144.62015503875969</v>
      </c>
      <c r="K92" s="109"/>
      <c r="L92" s="109">
        <f t="shared" si="34"/>
        <v>5.4894503895259303</v>
      </c>
      <c r="M92" s="109"/>
      <c r="N92" s="108">
        <f t="shared" si="46"/>
        <v>1865.6</v>
      </c>
      <c r="O92" s="109">
        <f t="shared" si="35"/>
        <v>144.62015503875969</v>
      </c>
      <c r="P92" s="109"/>
      <c r="Q92" s="109">
        <f t="shared" si="47"/>
        <v>5.4894503895259303</v>
      </c>
      <c r="R92" s="109"/>
      <c r="S92" s="108">
        <v>2962.93</v>
      </c>
      <c r="T92" s="131">
        <v>127.3</v>
      </c>
      <c r="U92" s="109">
        <f t="shared" si="48"/>
        <v>232.75176747839748</v>
      </c>
      <c r="V92" s="109">
        <f t="shared" si="49"/>
        <v>6.9179957939565924</v>
      </c>
      <c r="W92" s="109">
        <v>768.28</v>
      </c>
      <c r="X92" s="108">
        <v>72.2</v>
      </c>
      <c r="Y92" s="109">
        <f t="shared" si="39"/>
        <v>106.40997229916896</v>
      </c>
      <c r="Z92" s="111">
        <f t="shared" si="50"/>
        <v>3.522730031910724</v>
      </c>
      <c r="AA92" s="99">
        <f t="shared" si="36"/>
        <v>163.09314165294231</v>
      </c>
      <c r="AB92" s="99">
        <f t="shared" si="37"/>
        <v>254.56512001656176</v>
      </c>
      <c r="AE92" s="107">
        <v>90</v>
      </c>
      <c r="AF92" s="107">
        <v>27</v>
      </c>
      <c r="AG92" s="107">
        <f t="shared" si="52"/>
        <v>90</v>
      </c>
      <c r="AH92" s="107">
        <f t="shared" si="52"/>
        <v>27</v>
      </c>
      <c r="AI92" s="108">
        <v>51</v>
      </c>
      <c r="AJ92" s="108">
        <f t="shared" si="38"/>
        <v>51</v>
      </c>
      <c r="AK92" s="110"/>
    </row>
    <row r="93" spans="1:37" x14ac:dyDescent="0.2">
      <c r="A93" s="112" t="s">
        <v>337</v>
      </c>
      <c r="B93" s="115">
        <f t="shared" si="32"/>
        <v>53.65475</v>
      </c>
      <c r="C93" s="113">
        <v>180</v>
      </c>
      <c r="D93" s="113">
        <v>180</v>
      </c>
      <c r="E93" s="113">
        <v>20</v>
      </c>
      <c r="F93" s="113">
        <v>18</v>
      </c>
      <c r="G93" s="114">
        <f t="shared" si="51"/>
        <v>9</v>
      </c>
      <c r="H93" s="115">
        <v>68.349999999999994</v>
      </c>
      <c r="I93" s="114">
        <v>2042.88</v>
      </c>
      <c r="J93" s="115">
        <f t="shared" si="33"/>
        <v>159.35101404056167</v>
      </c>
      <c r="K93" s="115"/>
      <c r="L93" s="115">
        <f t="shared" si="34"/>
        <v>5.4670389605656151</v>
      </c>
      <c r="M93" s="115"/>
      <c r="N93" s="114">
        <f t="shared" si="46"/>
        <v>2042.88</v>
      </c>
      <c r="O93" s="115">
        <f t="shared" si="35"/>
        <v>159.35101404056167</v>
      </c>
      <c r="P93" s="115"/>
      <c r="Q93" s="115">
        <f t="shared" si="47"/>
        <v>5.4670389605656151</v>
      </c>
      <c r="R93" s="115"/>
      <c r="S93" s="114">
        <v>3242.28</v>
      </c>
      <c r="T93" s="132">
        <v>127.3</v>
      </c>
      <c r="U93" s="115">
        <f t="shared" si="48"/>
        <v>254.6959937156324</v>
      </c>
      <c r="V93" s="115">
        <f t="shared" si="49"/>
        <v>6.8874109895511895</v>
      </c>
      <c r="W93" s="115">
        <v>843.48</v>
      </c>
      <c r="X93" s="114">
        <v>73.3</v>
      </c>
      <c r="Y93" s="115">
        <f t="shared" si="39"/>
        <v>115.07230559345156</v>
      </c>
      <c r="Z93" s="117">
        <f t="shared" si="50"/>
        <v>3.5129189933293681</v>
      </c>
      <c r="AA93" s="99">
        <f t="shared" si="36"/>
        <v>161.39486242839672</v>
      </c>
      <c r="AB93" s="99">
        <f t="shared" si="37"/>
        <v>278.83359311660763</v>
      </c>
      <c r="AE93" s="113">
        <v>90</v>
      </c>
      <c r="AF93" s="113">
        <v>27</v>
      </c>
      <c r="AG93" s="113">
        <f t="shared" si="52"/>
        <v>90</v>
      </c>
      <c r="AH93" s="113">
        <f t="shared" si="52"/>
        <v>27</v>
      </c>
      <c r="AI93" s="114">
        <v>51.8</v>
      </c>
      <c r="AJ93" s="114">
        <f t="shared" si="38"/>
        <v>51.8</v>
      </c>
      <c r="AK93" s="116"/>
    </row>
    <row r="94" spans="1:37" s="99" customFormat="1" x14ac:dyDescent="0.2">
      <c r="A94" s="93" t="s">
        <v>338</v>
      </c>
      <c r="B94" s="96">
        <f t="shared" si="32"/>
        <v>48.50515</v>
      </c>
      <c r="C94" s="94">
        <v>200</v>
      </c>
      <c r="D94" s="94">
        <v>200</v>
      </c>
      <c r="E94" s="94">
        <v>16</v>
      </c>
      <c r="F94" s="94">
        <v>18</v>
      </c>
      <c r="G94" s="95">
        <f t="shared" si="51"/>
        <v>9</v>
      </c>
      <c r="H94" s="96">
        <v>61.79</v>
      </c>
      <c r="I94" s="95">
        <v>2341.36</v>
      </c>
      <c r="J94" s="96">
        <f t="shared" si="33"/>
        <v>161.69613259668509</v>
      </c>
      <c r="K94" s="96"/>
      <c r="L94" s="96">
        <f t="shared" si="34"/>
        <v>6.1556653230063016</v>
      </c>
      <c r="M94" s="96"/>
      <c r="N94" s="95">
        <f t="shared" si="46"/>
        <v>2341.36</v>
      </c>
      <c r="O94" s="96">
        <f t="shared" si="35"/>
        <v>161.69613259668509</v>
      </c>
      <c r="P94" s="96"/>
      <c r="Q94" s="96">
        <f t="shared" si="47"/>
        <v>6.1556653230063016</v>
      </c>
      <c r="R94" s="96"/>
      <c r="S94" s="95">
        <v>3722.69</v>
      </c>
      <c r="T94" s="133">
        <v>141.4</v>
      </c>
      <c r="U94" s="96">
        <f t="shared" si="48"/>
        <v>263.27369165487977</v>
      </c>
      <c r="V94" s="96">
        <f t="shared" si="49"/>
        <v>7.7619231536944655</v>
      </c>
      <c r="W94" s="96">
        <v>960.03</v>
      </c>
      <c r="X94" s="95">
        <v>78.099999999999994</v>
      </c>
      <c r="Y94" s="96">
        <f t="shared" si="39"/>
        <v>122.92317541613316</v>
      </c>
      <c r="Z94" s="98">
        <f t="shared" si="50"/>
        <v>3.9416976157318717</v>
      </c>
      <c r="AA94" s="99">
        <f t="shared" si="36"/>
        <v>184.7408628632032</v>
      </c>
      <c r="AB94" s="99">
        <f t="shared" si="37"/>
        <v>286.73075786775684</v>
      </c>
      <c r="AE94" s="94">
        <v>100</v>
      </c>
      <c r="AF94" s="94">
        <v>27</v>
      </c>
      <c r="AG94" s="94">
        <f t="shared" si="52"/>
        <v>100</v>
      </c>
      <c r="AH94" s="94">
        <f t="shared" si="52"/>
        <v>27</v>
      </c>
      <c r="AI94" s="95">
        <v>55.2</v>
      </c>
      <c r="AJ94" s="95">
        <f t="shared" si="38"/>
        <v>55.2</v>
      </c>
      <c r="AK94" s="97"/>
    </row>
    <row r="95" spans="1:37" x14ac:dyDescent="0.2">
      <c r="A95" s="118" t="s">
        <v>339</v>
      </c>
      <c r="B95" s="121">
        <f t="shared" si="32"/>
        <v>54.251350000000002</v>
      </c>
      <c r="C95" s="119">
        <v>200</v>
      </c>
      <c r="D95" s="119">
        <v>200</v>
      </c>
      <c r="E95" s="119">
        <v>18</v>
      </c>
      <c r="F95" s="119">
        <v>18</v>
      </c>
      <c r="G95" s="120">
        <f t="shared" si="51"/>
        <v>9</v>
      </c>
      <c r="H95" s="121">
        <v>69.11</v>
      </c>
      <c r="I95" s="120">
        <v>2599.7399999999998</v>
      </c>
      <c r="J95" s="121">
        <f t="shared" si="33"/>
        <v>180.53749999999999</v>
      </c>
      <c r="K95" s="121"/>
      <c r="L95" s="121">
        <f t="shared" si="34"/>
        <v>6.1333042890397511</v>
      </c>
      <c r="M95" s="121"/>
      <c r="N95" s="120">
        <f t="shared" si="46"/>
        <v>2599.7399999999998</v>
      </c>
      <c r="O95" s="121">
        <f t="shared" si="35"/>
        <v>180.53749999999999</v>
      </c>
      <c r="P95" s="121"/>
      <c r="Q95" s="121">
        <f t="shared" si="47"/>
        <v>6.1333042890397511</v>
      </c>
      <c r="R95" s="121"/>
      <c r="S95" s="120">
        <v>4132.54</v>
      </c>
      <c r="T95" s="134">
        <v>141.4</v>
      </c>
      <c r="U95" s="121">
        <f t="shared" si="48"/>
        <v>292.25884016973123</v>
      </c>
      <c r="V95" s="121">
        <f t="shared" si="49"/>
        <v>7.7328233016622159</v>
      </c>
      <c r="W95" s="120">
        <v>1066.95</v>
      </c>
      <c r="X95" s="120">
        <v>79.3</v>
      </c>
      <c r="Y95" s="121">
        <f t="shared" si="39"/>
        <v>134.54602774274906</v>
      </c>
      <c r="Z95" s="123">
        <f t="shared" si="50"/>
        <v>3.9291769476617815</v>
      </c>
      <c r="AA95" s="99">
        <f t="shared" si="36"/>
        <v>182.98382748764809</v>
      </c>
      <c r="AB95" s="99">
        <f t="shared" si="37"/>
        <v>318.31707761791915</v>
      </c>
      <c r="AE95" s="119">
        <v>100</v>
      </c>
      <c r="AF95" s="119">
        <v>27</v>
      </c>
      <c r="AG95" s="119">
        <f t="shared" si="52"/>
        <v>100</v>
      </c>
      <c r="AH95" s="119">
        <f t="shared" si="52"/>
        <v>27</v>
      </c>
      <c r="AI95" s="120">
        <v>56</v>
      </c>
      <c r="AJ95" s="120">
        <f t="shared" si="38"/>
        <v>56</v>
      </c>
      <c r="AK95" s="122"/>
    </row>
    <row r="96" spans="1:37" x14ac:dyDescent="0.2">
      <c r="A96" s="118" t="s">
        <v>340</v>
      </c>
      <c r="B96" s="121">
        <f t="shared" si="32"/>
        <v>59.934750000000001</v>
      </c>
      <c r="C96" s="119">
        <v>200</v>
      </c>
      <c r="D96" s="119">
        <v>200</v>
      </c>
      <c r="E96" s="119">
        <v>20</v>
      </c>
      <c r="F96" s="119">
        <v>18</v>
      </c>
      <c r="G96" s="120">
        <f t="shared" si="51"/>
        <v>9</v>
      </c>
      <c r="H96" s="121">
        <v>76.349999999999994</v>
      </c>
      <c r="I96" s="120">
        <v>2850.58</v>
      </c>
      <c r="J96" s="121">
        <f t="shared" si="33"/>
        <v>199.06284916201119</v>
      </c>
      <c r="K96" s="121"/>
      <c r="L96" s="121">
        <f t="shared" si="34"/>
        <v>6.1102938470407482</v>
      </c>
      <c r="M96" s="121"/>
      <c r="N96" s="120">
        <f t="shared" si="46"/>
        <v>2850.58</v>
      </c>
      <c r="O96" s="121">
        <f t="shared" si="35"/>
        <v>199.06284916201119</v>
      </c>
      <c r="P96" s="121"/>
      <c r="Q96" s="121">
        <f t="shared" si="47"/>
        <v>6.1102938470407482</v>
      </c>
      <c r="R96" s="121"/>
      <c r="S96" s="120">
        <v>4529.12</v>
      </c>
      <c r="T96" s="134">
        <v>141.4</v>
      </c>
      <c r="U96" s="121">
        <f t="shared" si="48"/>
        <v>320.30551626591227</v>
      </c>
      <c r="V96" s="121">
        <f t="shared" si="49"/>
        <v>7.7019801160431483</v>
      </c>
      <c r="W96" s="120">
        <v>1172.05</v>
      </c>
      <c r="X96" s="120">
        <v>80.400000000000006</v>
      </c>
      <c r="Y96" s="121">
        <f t="shared" si="39"/>
        <v>145.7773631840796</v>
      </c>
      <c r="Z96" s="123">
        <f t="shared" si="50"/>
        <v>3.9180371440574029</v>
      </c>
      <c r="AA96" s="99">
        <f t="shared" si="36"/>
        <v>181.25537618555705</v>
      </c>
      <c r="AB96" s="99">
        <f t="shared" si="37"/>
        <v>349.09142530312619</v>
      </c>
      <c r="AE96" s="119">
        <v>100</v>
      </c>
      <c r="AF96" s="119">
        <v>27</v>
      </c>
      <c r="AG96" s="119">
        <f t="shared" si="52"/>
        <v>100</v>
      </c>
      <c r="AH96" s="119">
        <f t="shared" si="52"/>
        <v>27</v>
      </c>
      <c r="AI96" s="120">
        <v>56.8</v>
      </c>
      <c r="AJ96" s="120">
        <f t="shared" si="38"/>
        <v>56.8</v>
      </c>
      <c r="AK96" s="122"/>
    </row>
    <row r="97" spans="1:37" ht="13.5" thickBot="1" x14ac:dyDescent="0.25">
      <c r="A97" s="118" t="s">
        <v>341</v>
      </c>
      <c r="B97" s="121">
        <f t="shared" si="32"/>
        <v>71.113150000000005</v>
      </c>
      <c r="C97" s="119">
        <v>200</v>
      </c>
      <c r="D97" s="119">
        <v>200</v>
      </c>
      <c r="E97" s="119">
        <v>24</v>
      </c>
      <c r="F97" s="119">
        <v>18</v>
      </c>
      <c r="G97" s="120">
        <f t="shared" si="51"/>
        <v>9</v>
      </c>
      <c r="H97" s="121">
        <v>90.59</v>
      </c>
      <c r="I97" s="120">
        <v>3330.66</v>
      </c>
      <c r="J97" s="121">
        <f t="shared" si="33"/>
        <v>235.21610169491527</v>
      </c>
      <c r="K97" s="121"/>
      <c r="L97" s="121">
        <f t="shared" si="34"/>
        <v>6.0635228825504335</v>
      </c>
      <c r="M97" s="121"/>
      <c r="N97" s="120">
        <f t="shared" si="46"/>
        <v>3330.66</v>
      </c>
      <c r="O97" s="121">
        <f t="shared" si="35"/>
        <v>235.21610169491527</v>
      </c>
      <c r="P97" s="121"/>
      <c r="Q97" s="121">
        <f t="shared" si="47"/>
        <v>6.0635228825504335</v>
      </c>
      <c r="R97" s="121"/>
      <c r="S97" s="120">
        <v>5283.66</v>
      </c>
      <c r="T97" s="134">
        <v>141.4</v>
      </c>
      <c r="U97" s="121">
        <f t="shared" si="48"/>
        <v>373.66760961810462</v>
      </c>
      <c r="V97" s="121">
        <f t="shared" si="49"/>
        <v>7.6370793293113373</v>
      </c>
      <c r="W97" s="120">
        <v>1377.67</v>
      </c>
      <c r="X97" s="120">
        <v>82.6</v>
      </c>
      <c r="Y97" s="121">
        <f t="shared" si="39"/>
        <v>166.78813559322035</v>
      </c>
      <c r="Z97" s="123">
        <f t="shared" si="50"/>
        <v>3.8997114251814731</v>
      </c>
      <c r="AA97" s="99">
        <f t="shared" si="36"/>
        <v>177.88422580176729</v>
      </c>
      <c r="AB97" s="99">
        <f t="shared" si="37"/>
        <v>408.35903783708221</v>
      </c>
      <c r="AE97" s="119">
        <v>100</v>
      </c>
      <c r="AF97" s="119">
        <v>27</v>
      </c>
      <c r="AG97" s="119">
        <f t="shared" si="52"/>
        <v>100</v>
      </c>
      <c r="AH97" s="119">
        <f t="shared" si="52"/>
        <v>27</v>
      </c>
      <c r="AI97" s="120">
        <v>58.4</v>
      </c>
      <c r="AJ97" s="120">
        <f t="shared" si="38"/>
        <v>58.4</v>
      </c>
      <c r="AK97" s="122"/>
    </row>
    <row r="98" spans="1:37" ht="13.5" thickBot="1" x14ac:dyDescent="0.25">
      <c r="A98" s="92"/>
      <c r="B98" s="238"/>
      <c r="C98" s="237" t="s">
        <v>342</v>
      </c>
      <c r="D98" s="238"/>
      <c r="E98" s="238"/>
      <c r="F98" s="238"/>
      <c r="G98" s="238"/>
      <c r="H98" s="238"/>
      <c r="I98" s="238"/>
      <c r="J98" s="238"/>
      <c r="K98" s="238"/>
      <c r="L98" s="238"/>
      <c r="M98" s="238"/>
      <c r="N98" s="238"/>
      <c r="O98" s="238"/>
      <c r="P98" s="238"/>
      <c r="Q98" s="238"/>
      <c r="R98" s="238"/>
      <c r="S98" s="238"/>
      <c r="T98" s="238"/>
      <c r="U98" s="238"/>
      <c r="V98" s="238"/>
      <c r="W98" s="238"/>
      <c r="X98" s="238"/>
      <c r="Y98" s="238"/>
      <c r="Z98" s="239"/>
      <c r="AE98" s="238"/>
      <c r="AF98" s="238"/>
      <c r="AG98" s="238"/>
      <c r="AH98" s="238"/>
      <c r="AI98" s="238"/>
      <c r="AJ98" s="238"/>
      <c r="AK98" s="238"/>
    </row>
    <row r="99" spans="1:37" s="99" customFormat="1" x14ac:dyDescent="0.2">
      <c r="A99" s="135" t="s">
        <v>343</v>
      </c>
      <c r="B99" s="138">
        <f t="shared" ref="B99:B130" si="53">0.1*7.85*H99</f>
        <v>1.1225499999999999</v>
      </c>
      <c r="C99" s="136">
        <v>30</v>
      </c>
      <c r="D99" s="136">
        <v>20</v>
      </c>
      <c r="E99" s="137">
        <v>3</v>
      </c>
      <c r="F99" s="137">
        <v>4</v>
      </c>
      <c r="G99" s="137">
        <f>F99/2</f>
        <v>2</v>
      </c>
      <c r="H99" s="138">
        <v>1.43</v>
      </c>
      <c r="I99" s="138">
        <v>1.25</v>
      </c>
      <c r="J99" s="138">
        <f t="shared" ref="J99:J130" si="54">I99*10/($C99-$AI99)</f>
        <v>0.62189054726368154</v>
      </c>
      <c r="K99" s="138"/>
      <c r="L99" s="138">
        <f t="shared" ref="L99:L130" si="55">SQRT(I99/H99)</f>
        <v>0.93494699000845716</v>
      </c>
      <c r="M99" s="138"/>
      <c r="N99" s="138">
        <v>0.44</v>
      </c>
      <c r="O99" s="138">
        <f t="shared" ref="O99:O130" si="56">$N99*10/($D99-$AJ99)</f>
        <v>0.29333333333333333</v>
      </c>
      <c r="P99" s="138"/>
      <c r="Q99" s="138">
        <f t="shared" ref="Q99:Q130" si="57">SQRT(N99/H99)</f>
        <v>0.55470019622522915</v>
      </c>
      <c r="R99" s="138"/>
      <c r="S99" s="138">
        <v>1.43</v>
      </c>
      <c r="T99" s="138">
        <v>20.399999999999999</v>
      </c>
      <c r="U99" s="138">
        <f t="shared" si="48"/>
        <v>0.7009803921568627</v>
      </c>
      <c r="V99" s="138">
        <f t="shared" ref="V99:V130" si="58">SQRT(S99/H99)</f>
        <v>1</v>
      </c>
      <c r="W99" s="138">
        <v>0.25</v>
      </c>
      <c r="X99" s="138">
        <v>10.4</v>
      </c>
      <c r="Y99" s="138">
        <f t="shared" si="39"/>
        <v>0.24038461538461536</v>
      </c>
      <c r="Z99" s="140">
        <f t="shared" ref="Z99:Z130" si="59">SQRT(W99/H99)</f>
        <v>0.41812100500354543</v>
      </c>
      <c r="AA99" s="99">
        <f t="shared" ref="AA99:AA130" si="60">C99-(C99-E99)*E99/(2*D99)-(D99-2*E99)*E99/(2*D99)-PI()*E99*E99/(4*D99)-(1-PI()/4)*F99*F99/(2*D99)</f>
        <v>26.485730091830128</v>
      </c>
      <c r="AB99" s="99">
        <f t="shared" ref="AB99:AB130" si="61">((C99-2*E99)*(AA99-C99/2)*E99+((AA99-C99+E99)^2+(C99-AA99)^2)*(D99-E99)/2+PI()*E99*E99/4*AA99+(1-PI()/4)*F99*F99*((10-3*PI())/(12-3*PI())*F99+AA99-C99+E99))/1000</f>
        <v>1.1227150146223952</v>
      </c>
      <c r="AE99" s="136">
        <v>17</v>
      </c>
      <c r="AF99" s="136">
        <v>8</v>
      </c>
      <c r="AG99" s="136">
        <v>12</v>
      </c>
      <c r="AH99" s="136">
        <v>6</v>
      </c>
      <c r="AI99" s="137">
        <v>9.9</v>
      </c>
      <c r="AJ99" s="137">
        <v>5</v>
      </c>
      <c r="AK99" s="139">
        <v>0.43</v>
      </c>
    </row>
    <row r="100" spans="1:37" x14ac:dyDescent="0.2">
      <c r="A100" s="112" t="s">
        <v>344</v>
      </c>
      <c r="B100" s="115">
        <f t="shared" si="53"/>
        <v>1.4601000000000002</v>
      </c>
      <c r="C100" s="113">
        <v>30</v>
      </c>
      <c r="D100" s="113">
        <v>20</v>
      </c>
      <c r="E100" s="114">
        <v>4</v>
      </c>
      <c r="F100" s="114">
        <v>4</v>
      </c>
      <c r="G100" s="114">
        <f>F100/2</f>
        <v>2</v>
      </c>
      <c r="H100" s="115">
        <v>1.86</v>
      </c>
      <c r="I100" s="115">
        <v>1.59</v>
      </c>
      <c r="J100" s="115">
        <f t="shared" si="54"/>
        <v>0.80710659898477166</v>
      </c>
      <c r="K100" s="115"/>
      <c r="L100" s="115">
        <f t="shared" si="55"/>
        <v>0.92457488051396863</v>
      </c>
      <c r="M100" s="115"/>
      <c r="N100" s="115">
        <v>0.55000000000000004</v>
      </c>
      <c r="O100" s="115">
        <f t="shared" si="56"/>
        <v>0.37671232876712329</v>
      </c>
      <c r="P100" s="115"/>
      <c r="Q100" s="115">
        <f t="shared" si="57"/>
        <v>0.54378205627915199</v>
      </c>
      <c r="R100" s="115"/>
      <c r="S100" s="115">
        <v>1.81</v>
      </c>
      <c r="T100" s="115">
        <v>20.2</v>
      </c>
      <c r="U100" s="115">
        <f t="shared" si="48"/>
        <v>0.89603960396039617</v>
      </c>
      <c r="V100" s="115">
        <f t="shared" si="58"/>
        <v>0.98646757654263151</v>
      </c>
      <c r="W100" s="115">
        <v>0.33</v>
      </c>
      <c r="X100" s="115">
        <v>10.4</v>
      </c>
      <c r="Y100" s="115">
        <f t="shared" si="39"/>
        <v>0.31730769230769235</v>
      </c>
      <c r="Z100" s="117">
        <f t="shared" si="59"/>
        <v>0.42121176958711598</v>
      </c>
      <c r="AA100" s="99">
        <f t="shared" si="60"/>
        <v>25.48584073464102</v>
      </c>
      <c r="AB100" s="99">
        <f t="shared" si="61"/>
        <v>1.4094568722373477</v>
      </c>
      <c r="AE100" s="113">
        <v>17</v>
      </c>
      <c r="AF100" s="113">
        <v>8</v>
      </c>
      <c r="AG100" s="113">
        <v>12</v>
      </c>
      <c r="AH100" s="113">
        <v>6</v>
      </c>
      <c r="AI100" s="114">
        <v>10.3</v>
      </c>
      <c r="AJ100" s="114">
        <v>5.4</v>
      </c>
      <c r="AK100" s="116">
        <v>0.42199999999999999</v>
      </c>
    </row>
    <row r="101" spans="1:37" s="99" customFormat="1" x14ac:dyDescent="0.2">
      <c r="A101" s="93" t="s">
        <v>345</v>
      </c>
      <c r="B101" s="96">
        <f t="shared" si="53"/>
        <v>1.4287000000000001</v>
      </c>
      <c r="C101" s="94">
        <v>35</v>
      </c>
      <c r="D101" s="94">
        <v>20</v>
      </c>
      <c r="E101" s="95">
        <v>3.5</v>
      </c>
      <c r="F101" s="95">
        <v>4</v>
      </c>
      <c r="G101" s="95">
        <f t="shared" ref="G101:G153" si="62">F101/2</f>
        <v>2</v>
      </c>
      <c r="H101" s="96">
        <v>1.82</v>
      </c>
      <c r="I101" s="96">
        <v>2.2000000000000002</v>
      </c>
      <c r="J101" s="96">
        <f t="shared" si="54"/>
        <v>0.96491228070175439</v>
      </c>
      <c r="K101" s="96"/>
      <c r="L101" s="96">
        <f t="shared" si="55"/>
        <v>1.0994504121565505</v>
      </c>
      <c r="M101" s="96"/>
      <c r="N101" s="96">
        <v>0.52</v>
      </c>
      <c r="O101" s="96">
        <f t="shared" si="56"/>
        <v>0.34437086092715236</v>
      </c>
      <c r="P101" s="96"/>
      <c r="Q101" s="96">
        <f t="shared" si="57"/>
        <v>0.53452248382484879</v>
      </c>
      <c r="R101" s="96"/>
      <c r="S101" s="96">
        <v>2.4</v>
      </c>
      <c r="T101" s="96">
        <v>23.2</v>
      </c>
      <c r="U101" s="96">
        <f t="shared" si="48"/>
        <v>1.0344827586206897</v>
      </c>
      <c r="V101" s="96">
        <f t="shared" si="58"/>
        <v>1.1483385035264291</v>
      </c>
      <c r="W101" s="96">
        <v>0.32</v>
      </c>
      <c r="X101" s="96">
        <v>11.2</v>
      </c>
      <c r="Y101" s="96">
        <f t="shared" si="39"/>
        <v>0.28571428571428575</v>
      </c>
      <c r="Z101" s="98">
        <f t="shared" si="59"/>
        <v>0.41931393468876732</v>
      </c>
      <c r="AA101" s="99">
        <f t="shared" si="60"/>
        <v>30.539352890278042</v>
      </c>
      <c r="AB101" s="99">
        <f t="shared" si="61"/>
        <v>1.7432157138840925</v>
      </c>
      <c r="AE101" s="94">
        <v>20</v>
      </c>
      <c r="AF101" s="94">
        <v>10</v>
      </c>
      <c r="AG101" s="94">
        <v>12</v>
      </c>
      <c r="AH101" s="94">
        <v>6</v>
      </c>
      <c r="AI101" s="95">
        <v>12.2</v>
      </c>
      <c r="AJ101" s="95">
        <v>4.9000000000000004</v>
      </c>
      <c r="AK101" s="97">
        <v>0.32200000000000001</v>
      </c>
    </row>
    <row r="102" spans="1:37" x14ac:dyDescent="0.2">
      <c r="A102" s="118" t="s">
        <v>346</v>
      </c>
      <c r="B102" s="121">
        <f t="shared" si="53"/>
        <v>1.6171000000000002</v>
      </c>
      <c r="C102" s="119">
        <v>35</v>
      </c>
      <c r="D102" s="119">
        <v>20</v>
      </c>
      <c r="E102" s="120">
        <v>4</v>
      </c>
      <c r="F102" s="120">
        <v>4</v>
      </c>
      <c r="G102" s="120">
        <f t="shared" si="62"/>
        <v>2</v>
      </c>
      <c r="H102" s="121">
        <v>2.06</v>
      </c>
      <c r="I102" s="121">
        <v>2.46</v>
      </c>
      <c r="J102" s="121">
        <f t="shared" si="54"/>
        <v>1.0933333333333335</v>
      </c>
      <c r="K102" s="121"/>
      <c r="L102" s="121">
        <f t="shared" si="55"/>
        <v>1.0927830330315131</v>
      </c>
      <c r="M102" s="121"/>
      <c r="N102" s="121">
        <v>0.57999999999999996</v>
      </c>
      <c r="O102" s="121">
        <f t="shared" si="56"/>
        <v>0.38926174496644295</v>
      </c>
      <c r="P102" s="121"/>
      <c r="Q102" s="121">
        <f t="shared" si="57"/>
        <v>0.53061605522095956</v>
      </c>
      <c r="R102" s="121"/>
      <c r="S102" s="121">
        <v>2.68</v>
      </c>
      <c r="T102" s="121">
        <v>23</v>
      </c>
      <c r="U102" s="121">
        <f t="shared" si="48"/>
        <v>1.1652173913043478</v>
      </c>
      <c r="V102" s="121">
        <f t="shared" si="58"/>
        <v>1.1406011019573881</v>
      </c>
      <c r="W102" s="121">
        <v>0.36</v>
      </c>
      <c r="X102" s="121">
        <v>11.1</v>
      </c>
      <c r="Y102" s="121">
        <f t="shared" si="39"/>
        <v>0.32432432432432429</v>
      </c>
      <c r="Z102" s="123">
        <f t="shared" si="59"/>
        <v>0.41803980857497058</v>
      </c>
      <c r="AA102" s="99">
        <f t="shared" si="60"/>
        <v>29.98584073464102</v>
      </c>
      <c r="AB102" s="99">
        <f t="shared" si="61"/>
        <v>1.9342320882477078</v>
      </c>
      <c r="AE102" s="119">
        <v>20</v>
      </c>
      <c r="AF102" s="119">
        <v>10</v>
      </c>
      <c r="AG102" s="119">
        <v>12</v>
      </c>
      <c r="AH102" s="119">
        <v>6</v>
      </c>
      <c r="AI102" s="120">
        <v>12.5</v>
      </c>
      <c r="AJ102" s="120">
        <v>5.0999999999999996</v>
      </c>
      <c r="AK102" s="122">
        <v>0.318</v>
      </c>
    </row>
    <row r="103" spans="1:37" s="99" customFormat="1" x14ac:dyDescent="0.2">
      <c r="A103" s="100" t="s">
        <v>347</v>
      </c>
      <c r="B103" s="103">
        <f t="shared" si="53"/>
        <v>1.35805</v>
      </c>
      <c r="C103" s="101">
        <v>40</v>
      </c>
      <c r="D103" s="101">
        <v>20</v>
      </c>
      <c r="E103" s="102">
        <v>3</v>
      </c>
      <c r="F103" s="102">
        <v>4</v>
      </c>
      <c r="G103" s="102">
        <f t="shared" si="62"/>
        <v>2</v>
      </c>
      <c r="H103" s="103">
        <v>1.73</v>
      </c>
      <c r="I103" s="103">
        <v>2.8</v>
      </c>
      <c r="J103" s="103">
        <f t="shared" si="54"/>
        <v>1.0852713178294573</v>
      </c>
      <c r="K103" s="103"/>
      <c r="L103" s="103">
        <f t="shared" si="55"/>
        <v>1.2722016781259917</v>
      </c>
      <c r="M103" s="103"/>
      <c r="N103" s="103">
        <v>0.47</v>
      </c>
      <c r="O103" s="103">
        <f t="shared" si="56"/>
        <v>0.30128205128205127</v>
      </c>
      <c r="P103" s="103"/>
      <c r="Q103" s="103">
        <f t="shared" si="57"/>
        <v>0.52122576737728021</v>
      </c>
      <c r="R103" s="103"/>
      <c r="S103" s="103">
        <v>2.97</v>
      </c>
      <c r="T103" s="103">
        <v>26.1</v>
      </c>
      <c r="U103" s="103">
        <f t="shared" si="48"/>
        <v>1.1379310344827587</v>
      </c>
      <c r="V103" s="103">
        <f t="shared" si="58"/>
        <v>1.3102530312044109</v>
      </c>
      <c r="W103" s="103">
        <v>0.3</v>
      </c>
      <c r="X103" s="103">
        <v>11.9</v>
      </c>
      <c r="Y103" s="103">
        <f t="shared" si="39"/>
        <v>0.25210084033613445</v>
      </c>
      <c r="Z103" s="105">
        <f t="shared" si="59"/>
        <v>0.41642574923301445</v>
      </c>
      <c r="AA103" s="99">
        <f t="shared" si="60"/>
        <v>35.735730091830135</v>
      </c>
      <c r="AB103" s="99">
        <f t="shared" si="61"/>
        <v>2.0245224750992379</v>
      </c>
      <c r="AE103" s="101">
        <v>22</v>
      </c>
      <c r="AF103" s="101">
        <v>12</v>
      </c>
      <c r="AG103" s="101">
        <v>12</v>
      </c>
      <c r="AH103" s="101">
        <v>6</v>
      </c>
      <c r="AI103" s="102">
        <v>14.2</v>
      </c>
      <c r="AJ103" s="102">
        <v>4.4000000000000004</v>
      </c>
      <c r="AK103" s="104">
        <v>0.25800000000000001</v>
      </c>
    </row>
    <row r="104" spans="1:37" x14ac:dyDescent="0.2">
      <c r="A104" s="106" t="s">
        <v>348</v>
      </c>
      <c r="B104" s="109">
        <f t="shared" si="53"/>
        <v>1.7741</v>
      </c>
      <c r="C104" s="107">
        <v>40</v>
      </c>
      <c r="D104" s="107">
        <v>20</v>
      </c>
      <c r="E104" s="108">
        <v>4</v>
      </c>
      <c r="F104" s="108">
        <v>4</v>
      </c>
      <c r="G104" s="108">
        <f t="shared" si="62"/>
        <v>2</v>
      </c>
      <c r="H104" s="109">
        <v>2.2599999999999998</v>
      </c>
      <c r="I104" s="109">
        <v>3.59</v>
      </c>
      <c r="J104" s="109">
        <f t="shared" si="54"/>
        <v>1.4189723320158101</v>
      </c>
      <c r="K104" s="109"/>
      <c r="L104" s="109">
        <f t="shared" si="55"/>
        <v>1.2603553368876728</v>
      </c>
      <c r="M104" s="109"/>
      <c r="N104" s="109">
        <v>0.6</v>
      </c>
      <c r="O104" s="109">
        <f t="shared" si="56"/>
        <v>0.39473684210526316</v>
      </c>
      <c r="P104" s="109"/>
      <c r="Q104" s="109">
        <f t="shared" si="57"/>
        <v>0.51525403992954466</v>
      </c>
      <c r="R104" s="109"/>
      <c r="S104" s="109">
        <v>3.8</v>
      </c>
      <c r="T104" s="109">
        <v>25.8</v>
      </c>
      <c r="U104" s="109">
        <f t="shared" si="48"/>
        <v>1.4728682170542635</v>
      </c>
      <c r="V104" s="109">
        <f t="shared" si="58"/>
        <v>1.2966942311908154</v>
      </c>
      <c r="W104" s="109">
        <v>0.39</v>
      </c>
      <c r="X104" s="109">
        <v>11.7</v>
      </c>
      <c r="Y104" s="109">
        <f t="shared" si="39"/>
        <v>0.33333333333333337</v>
      </c>
      <c r="Z104" s="111">
        <f t="shared" si="59"/>
        <v>0.41541108757641021</v>
      </c>
      <c r="AA104" s="99">
        <f t="shared" si="60"/>
        <v>34.485840734641023</v>
      </c>
      <c r="AB104" s="99">
        <f t="shared" si="61"/>
        <v>2.5470073042580674</v>
      </c>
      <c r="AE104" s="107">
        <v>22</v>
      </c>
      <c r="AF104" s="107">
        <v>12</v>
      </c>
      <c r="AG104" s="107">
        <v>12</v>
      </c>
      <c r="AH104" s="107">
        <v>6</v>
      </c>
      <c r="AI104" s="108">
        <v>14.7</v>
      </c>
      <c r="AJ104" s="108">
        <v>4.8</v>
      </c>
      <c r="AK104" s="110">
        <v>0.252</v>
      </c>
    </row>
    <row r="105" spans="1:37" x14ac:dyDescent="0.2">
      <c r="A105" s="106" t="s">
        <v>349</v>
      </c>
      <c r="B105" s="109">
        <f t="shared" si="53"/>
        <v>1.9311</v>
      </c>
      <c r="C105" s="107">
        <v>40</v>
      </c>
      <c r="D105" s="107">
        <v>25</v>
      </c>
      <c r="E105" s="108">
        <v>4</v>
      </c>
      <c r="F105" s="108">
        <v>4</v>
      </c>
      <c r="G105" s="108">
        <f t="shared" si="62"/>
        <v>2</v>
      </c>
      <c r="H105" s="109">
        <v>2.46</v>
      </c>
      <c r="I105" s="109">
        <v>3.89</v>
      </c>
      <c r="J105" s="109">
        <f t="shared" si="54"/>
        <v>1.4734848484848486</v>
      </c>
      <c r="K105" s="109"/>
      <c r="L105" s="109">
        <f t="shared" si="55"/>
        <v>1.2574978381723485</v>
      </c>
      <c r="M105" s="109"/>
      <c r="N105" s="109">
        <v>1.1599999999999999</v>
      </c>
      <c r="O105" s="109">
        <f t="shared" si="56"/>
        <v>0.61702127659574468</v>
      </c>
      <c r="P105" s="109"/>
      <c r="Q105" s="109">
        <f t="shared" si="57"/>
        <v>0.68669113540743665</v>
      </c>
      <c r="R105" s="109"/>
      <c r="S105" s="109">
        <v>4.3600000000000003</v>
      </c>
      <c r="T105" s="109">
        <v>26.9</v>
      </c>
      <c r="U105" s="109">
        <f t="shared" si="48"/>
        <v>1.6208178438661711</v>
      </c>
      <c r="V105" s="109">
        <f t="shared" si="58"/>
        <v>1.331299261464993</v>
      </c>
      <c r="W105" s="109">
        <v>0.7</v>
      </c>
      <c r="X105" s="109">
        <v>13.5</v>
      </c>
      <c r="Y105" s="109">
        <f t="shared" si="39"/>
        <v>0.51851851851851849</v>
      </c>
      <c r="Z105" s="111">
        <f t="shared" si="59"/>
        <v>0.53343494966908123</v>
      </c>
      <c r="AA105" s="99">
        <f t="shared" si="60"/>
        <v>35.188672587712816</v>
      </c>
      <c r="AB105" s="99">
        <f t="shared" si="61"/>
        <v>2.6366008438240969</v>
      </c>
      <c r="AE105" s="107">
        <v>22</v>
      </c>
      <c r="AF105" s="107">
        <v>12</v>
      </c>
      <c r="AG105" s="107">
        <v>14</v>
      </c>
      <c r="AH105" s="107">
        <v>8</v>
      </c>
      <c r="AI105" s="108">
        <v>13.6</v>
      </c>
      <c r="AJ105" s="108">
        <v>6.2</v>
      </c>
      <c r="AK105" s="110">
        <v>0.38200000000000001</v>
      </c>
    </row>
    <row r="106" spans="1:37" x14ac:dyDescent="0.2">
      <c r="A106" s="112" t="s">
        <v>350</v>
      </c>
      <c r="B106" s="115">
        <f t="shared" si="53"/>
        <v>2.3785499999999997</v>
      </c>
      <c r="C106" s="113">
        <v>40</v>
      </c>
      <c r="D106" s="113">
        <v>25</v>
      </c>
      <c r="E106" s="114">
        <v>5</v>
      </c>
      <c r="F106" s="114">
        <v>5</v>
      </c>
      <c r="G106" s="114">
        <f t="shared" si="62"/>
        <v>2.5</v>
      </c>
      <c r="H106" s="115">
        <v>3.03</v>
      </c>
      <c r="I106" s="115">
        <v>4.66</v>
      </c>
      <c r="J106" s="115">
        <f t="shared" si="54"/>
        <v>1.7923076923076924</v>
      </c>
      <c r="K106" s="115"/>
      <c r="L106" s="115">
        <f t="shared" si="55"/>
        <v>1.2401426512218416</v>
      </c>
      <c r="M106" s="115"/>
      <c r="N106" s="115">
        <v>1.37</v>
      </c>
      <c r="O106" s="115">
        <f t="shared" si="56"/>
        <v>0.74456521739130443</v>
      </c>
      <c r="P106" s="115"/>
      <c r="Q106" s="115">
        <f t="shared" si="57"/>
        <v>0.67241744067316711</v>
      </c>
      <c r="R106" s="115"/>
      <c r="S106" s="115">
        <v>5.2</v>
      </c>
      <c r="T106" s="115">
        <v>26.7</v>
      </c>
      <c r="U106" s="115">
        <f t="shared" si="48"/>
        <v>1.9475655430711611</v>
      </c>
      <c r="V106" s="115">
        <f t="shared" si="58"/>
        <v>1.3100273345093667</v>
      </c>
      <c r="W106" s="115">
        <v>0.84</v>
      </c>
      <c r="X106" s="115">
        <v>13.4</v>
      </c>
      <c r="Y106" s="115">
        <f t="shared" si="39"/>
        <v>0.62686567164179108</v>
      </c>
      <c r="Z106" s="117">
        <f t="shared" si="59"/>
        <v>0.52652419011122109</v>
      </c>
      <c r="AA106" s="99">
        <f t="shared" si="60"/>
        <v>34.107300918301277</v>
      </c>
      <c r="AB106" s="99">
        <f t="shared" si="61"/>
        <v>3.1422010910966636</v>
      </c>
      <c r="AE106" s="113">
        <v>22</v>
      </c>
      <c r="AF106" s="113">
        <v>12</v>
      </c>
      <c r="AG106" s="113">
        <v>14</v>
      </c>
      <c r="AH106" s="113">
        <v>8</v>
      </c>
      <c r="AI106" s="114">
        <v>14</v>
      </c>
      <c r="AJ106" s="114">
        <v>6.6</v>
      </c>
      <c r="AK106" s="116">
        <v>0.374</v>
      </c>
    </row>
    <row r="107" spans="1:37" s="99" customFormat="1" x14ac:dyDescent="0.2">
      <c r="A107" s="93" t="s">
        <v>351</v>
      </c>
      <c r="B107" s="96">
        <f t="shared" si="53"/>
        <v>2.2450999999999999</v>
      </c>
      <c r="C107" s="94">
        <v>45</v>
      </c>
      <c r="D107" s="94">
        <v>30</v>
      </c>
      <c r="E107" s="95">
        <v>4</v>
      </c>
      <c r="F107" s="95">
        <v>4</v>
      </c>
      <c r="G107" s="95">
        <f t="shared" si="62"/>
        <v>2</v>
      </c>
      <c r="H107" s="96">
        <v>2.86</v>
      </c>
      <c r="I107" s="96">
        <v>5.77</v>
      </c>
      <c r="J107" s="96">
        <f t="shared" si="54"/>
        <v>1.9105960264900661</v>
      </c>
      <c r="K107" s="96"/>
      <c r="L107" s="96">
        <f t="shared" si="55"/>
        <v>1.4203811169832263</v>
      </c>
      <c r="M107" s="96"/>
      <c r="N107" s="96">
        <v>2.0499999999999998</v>
      </c>
      <c r="O107" s="96">
        <f t="shared" si="56"/>
        <v>0.90707964601769908</v>
      </c>
      <c r="P107" s="96"/>
      <c r="Q107" s="96">
        <f t="shared" si="57"/>
        <v>0.84663050782688953</v>
      </c>
      <c r="R107" s="96"/>
      <c r="S107" s="96">
        <v>6.64</v>
      </c>
      <c r="T107" s="96">
        <v>30.6</v>
      </c>
      <c r="U107" s="96">
        <f t="shared" si="48"/>
        <v>2.1699346405228757</v>
      </c>
      <c r="V107" s="96">
        <f t="shared" si="58"/>
        <v>1.5237054576519444</v>
      </c>
      <c r="W107" s="96">
        <v>1.18</v>
      </c>
      <c r="X107" s="96">
        <v>15.7</v>
      </c>
      <c r="Y107" s="96">
        <f t="shared" si="39"/>
        <v>0.75159235668789803</v>
      </c>
      <c r="Z107" s="98">
        <f t="shared" si="59"/>
        <v>0.64232967593550638</v>
      </c>
      <c r="AA107" s="99">
        <f t="shared" si="60"/>
        <v>40.323893823094011</v>
      </c>
      <c r="AB107" s="99">
        <f t="shared" si="61"/>
        <v>3.4356077840739747</v>
      </c>
      <c r="AE107" s="94">
        <v>27</v>
      </c>
      <c r="AF107" s="94">
        <v>12</v>
      </c>
      <c r="AG107" s="94">
        <v>17</v>
      </c>
      <c r="AH107" s="94">
        <v>8</v>
      </c>
      <c r="AI107" s="95">
        <v>14.8</v>
      </c>
      <c r="AJ107" s="95">
        <v>7.4</v>
      </c>
      <c r="AK107" s="97">
        <v>0.436</v>
      </c>
    </row>
    <row r="108" spans="1:37" x14ac:dyDescent="0.2">
      <c r="A108" s="118" t="s">
        <v>352</v>
      </c>
      <c r="B108" s="121">
        <f t="shared" si="53"/>
        <v>2.7710499999999998</v>
      </c>
      <c r="C108" s="119">
        <v>45</v>
      </c>
      <c r="D108" s="119">
        <v>30</v>
      </c>
      <c r="E108" s="120">
        <v>5</v>
      </c>
      <c r="F108" s="120">
        <v>5</v>
      </c>
      <c r="G108" s="120">
        <f t="shared" si="62"/>
        <v>2.5</v>
      </c>
      <c r="H108" s="121">
        <v>3.53</v>
      </c>
      <c r="I108" s="121">
        <v>6.95</v>
      </c>
      <c r="J108" s="121">
        <f t="shared" si="54"/>
        <v>2.3244147157190636</v>
      </c>
      <c r="K108" s="121"/>
      <c r="L108" s="121">
        <f t="shared" si="55"/>
        <v>1.4031530661022629</v>
      </c>
      <c r="M108" s="121"/>
      <c r="N108" s="121">
        <v>2.44</v>
      </c>
      <c r="O108" s="121">
        <f t="shared" si="56"/>
        <v>1.099099099099099</v>
      </c>
      <c r="P108" s="121"/>
      <c r="Q108" s="121">
        <f t="shared" si="57"/>
        <v>0.83139529124936395</v>
      </c>
      <c r="R108" s="121"/>
      <c r="S108" s="121">
        <v>7.97</v>
      </c>
      <c r="T108" s="121">
        <v>30.5</v>
      </c>
      <c r="U108" s="121">
        <f t="shared" si="48"/>
        <v>2.6131147540983606</v>
      </c>
      <c r="V108" s="121">
        <f t="shared" si="58"/>
        <v>1.5025945455351402</v>
      </c>
      <c r="W108" s="121">
        <v>1.42</v>
      </c>
      <c r="X108" s="121">
        <v>15.6</v>
      </c>
      <c r="Y108" s="121">
        <f t="shared" si="39"/>
        <v>0.91025641025641024</v>
      </c>
      <c r="Z108" s="123">
        <f t="shared" si="59"/>
        <v>0.63424466016817305</v>
      </c>
      <c r="AA108" s="99">
        <f t="shared" si="60"/>
        <v>39.256084098584395</v>
      </c>
      <c r="AB108" s="99">
        <f t="shared" si="61"/>
        <v>4.1244316387427382</v>
      </c>
      <c r="AE108" s="119">
        <v>27</v>
      </c>
      <c r="AF108" s="119">
        <v>12</v>
      </c>
      <c r="AG108" s="119">
        <v>17</v>
      </c>
      <c r="AH108" s="119">
        <v>8</v>
      </c>
      <c r="AI108" s="120">
        <v>15.1</v>
      </c>
      <c r="AJ108" s="120">
        <v>7.8</v>
      </c>
      <c r="AK108" s="122">
        <v>0.42899999999999999</v>
      </c>
    </row>
    <row r="109" spans="1:37" s="99" customFormat="1" x14ac:dyDescent="0.2">
      <c r="A109" s="100" t="s">
        <v>353</v>
      </c>
      <c r="B109" s="103">
        <f t="shared" si="53"/>
        <v>2.4099499999999998</v>
      </c>
      <c r="C109" s="101">
        <v>50</v>
      </c>
      <c r="D109" s="101">
        <v>30</v>
      </c>
      <c r="E109" s="102">
        <v>4</v>
      </c>
      <c r="F109" s="102">
        <v>5</v>
      </c>
      <c r="G109" s="102">
        <f t="shared" si="62"/>
        <v>2.5</v>
      </c>
      <c r="H109" s="103">
        <v>3.07</v>
      </c>
      <c r="I109" s="103">
        <v>7.71</v>
      </c>
      <c r="J109" s="103">
        <f t="shared" si="54"/>
        <v>2.3222891566265056</v>
      </c>
      <c r="K109" s="103"/>
      <c r="L109" s="103">
        <f t="shared" si="55"/>
        <v>1.5847399318076762</v>
      </c>
      <c r="M109" s="103"/>
      <c r="N109" s="103">
        <v>2.09</v>
      </c>
      <c r="O109" s="103">
        <f t="shared" si="56"/>
        <v>0.90869565217391302</v>
      </c>
      <c r="P109" s="103"/>
      <c r="Q109" s="103">
        <f t="shared" si="57"/>
        <v>0.82509499995918933</v>
      </c>
      <c r="R109" s="103"/>
      <c r="S109" s="103">
        <v>8.5399999999999991</v>
      </c>
      <c r="T109" s="103">
        <v>33.6</v>
      </c>
      <c r="U109" s="103">
        <f t="shared" si="48"/>
        <v>2.5416666666666665</v>
      </c>
      <c r="V109" s="103">
        <f t="shared" si="58"/>
        <v>1.6678605929917294</v>
      </c>
      <c r="W109" s="103">
        <v>1.26</v>
      </c>
      <c r="X109" s="103">
        <v>16.600000000000001</v>
      </c>
      <c r="Y109" s="103">
        <f t="shared" si="39"/>
        <v>0.75903614457831314</v>
      </c>
      <c r="Z109" s="105">
        <f t="shared" si="59"/>
        <v>0.64064299946907222</v>
      </c>
      <c r="AA109" s="99">
        <f t="shared" si="60"/>
        <v>44.958370214270289</v>
      </c>
      <c r="AB109" s="99">
        <f t="shared" si="61"/>
        <v>4.2629125485319355</v>
      </c>
      <c r="AE109" s="101">
        <v>28</v>
      </c>
      <c r="AF109" s="101">
        <v>14</v>
      </c>
      <c r="AG109" s="101">
        <v>17</v>
      </c>
      <c r="AH109" s="101">
        <v>8</v>
      </c>
      <c r="AI109" s="102">
        <v>16.8</v>
      </c>
      <c r="AJ109" s="102">
        <v>7</v>
      </c>
      <c r="AK109" s="104">
        <v>0.35899999999999999</v>
      </c>
    </row>
    <row r="110" spans="1:37" x14ac:dyDescent="0.2">
      <c r="A110" s="106" t="s">
        <v>354</v>
      </c>
      <c r="B110" s="109">
        <f t="shared" si="53"/>
        <v>2.9672999999999998</v>
      </c>
      <c r="C110" s="107">
        <v>50</v>
      </c>
      <c r="D110" s="107">
        <v>30</v>
      </c>
      <c r="E110" s="108">
        <v>5</v>
      </c>
      <c r="F110" s="108">
        <v>5</v>
      </c>
      <c r="G110" s="108">
        <f t="shared" si="62"/>
        <v>2.5</v>
      </c>
      <c r="H110" s="109">
        <v>3.78</v>
      </c>
      <c r="I110" s="109">
        <v>9.36</v>
      </c>
      <c r="J110" s="109">
        <f t="shared" si="54"/>
        <v>2.8623853211009171</v>
      </c>
      <c r="K110" s="109"/>
      <c r="L110" s="109">
        <f t="shared" si="55"/>
        <v>1.5735915849388864</v>
      </c>
      <c r="M110" s="109"/>
      <c r="N110" s="109">
        <v>2.5099999999999998</v>
      </c>
      <c r="O110" s="109">
        <f t="shared" si="56"/>
        <v>1.1106194690265485</v>
      </c>
      <c r="P110" s="109"/>
      <c r="Q110" s="109">
        <f t="shared" si="57"/>
        <v>0.81487493765679408</v>
      </c>
      <c r="R110" s="109"/>
      <c r="S110" s="109">
        <v>10.34</v>
      </c>
      <c r="T110" s="109">
        <v>33.299999999999997</v>
      </c>
      <c r="U110" s="109">
        <f t="shared" si="48"/>
        <v>3.1051051051051055</v>
      </c>
      <c r="V110" s="109">
        <f t="shared" si="58"/>
        <v>1.653919506943955</v>
      </c>
      <c r="W110" s="109">
        <v>1.53</v>
      </c>
      <c r="X110" s="109">
        <v>16.5</v>
      </c>
      <c r="Y110" s="109">
        <f t="shared" si="39"/>
        <v>0.92727272727272736</v>
      </c>
      <c r="Z110" s="111">
        <f t="shared" si="59"/>
        <v>0.63620901028035182</v>
      </c>
      <c r="AA110" s="99">
        <f t="shared" si="60"/>
        <v>43.839417431917731</v>
      </c>
      <c r="AB110" s="99">
        <f t="shared" si="61"/>
        <v>5.1196803706892977</v>
      </c>
      <c r="AE110" s="107">
        <v>28</v>
      </c>
      <c r="AF110" s="107">
        <v>14</v>
      </c>
      <c r="AG110" s="107">
        <v>17</v>
      </c>
      <c r="AH110" s="107">
        <v>8</v>
      </c>
      <c r="AI110" s="108">
        <v>17.3</v>
      </c>
      <c r="AJ110" s="108">
        <v>7.4</v>
      </c>
      <c r="AK110" s="110">
        <v>0.35399999999999998</v>
      </c>
    </row>
    <row r="111" spans="1:37" x14ac:dyDescent="0.2">
      <c r="A111" s="106" t="s">
        <v>355</v>
      </c>
      <c r="B111" s="109">
        <f t="shared" si="53"/>
        <v>3.5168000000000004</v>
      </c>
      <c r="C111" s="107">
        <v>50</v>
      </c>
      <c r="D111" s="107">
        <v>30</v>
      </c>
      <c r="E111" s="108">
        <v>6</v>
      </c>
      <c r="F111" s="108">
        <v>6</v>
      </c>
      <c r="G111" s="108">
        <f t="shared" si="62"/>
        <v>3</v>
      </c>
      <c r="H111" s="109">
        <v>4.4800000000000004</v>
      </c>
      <c r="I111" s="109">
        <v>10.86</v>
      </c>
      <c r="J111" s="109">
        <f t="shared" si="54"/>
        <v>3.3518518518518516</v>
      </c>
      <c r="K111" s="109"/>
      <c r="L111" s="109">
        <f t="shared" si="55"/>
        <v>1.5569544446955224</v>
      </c>
      <c r="M111" s="109"/>
      <c r="N111" s="109">
        <v>2.88</v>
      </c>
      <c r="O111" s="109">
        <f t="shared" si="56"/>
        <v>1.2972972972972971</v>
      </c>
      <c r="P111" s="109"/>
      <c r="Q111" s="109">
        <f t="shared" si="57"/>
        <v>0.80178372573727308</v>
      </c>
      <c r="R111" s="109"/>
      <c r="S111" s="109">
        <v>11.96</v>
      </c>
      <c r="T111" s="109">
        <v>33.200000000000003</v>
      </c>
      <c r="U111" s="109">
        <f t="shared" si="48"/>
        <v>3.6024096385542168</v>
      </c>
      <c r="V111" s="109">
        <f t="shared" si="58"/>
        <v>1.6339041762425535</v>
      </c>
      <c r="W111" s="109">
        <v>1.79</v>
      </c>
      <c r="X111" s="109">
        <v>16.399999999999999</v>
      </c>
      <c r="Y111" s="109">
        <f t="shared" si="39"/>
        <v>1.0914634146341464</v>
      </c>
      <c r="Z111" s="111">
        <f t="shared" si="59"/>
        <v>0.63210250072956631</v>
      </c>
      <c r="AA111" s="99">
        <f t="shared" si="60"/>
        <v>42.728761101961538</v>
      </c>
      <c r="AB111" s="99">
        <f t="shared" si="61"/>
        <v>5.904661179824358</v>
      </c>
      <c r="AE111" s="107">
        <v>28</v>
      </c>
      <c r="AF111" s="107">
        <v>14</v>
      </c>
      <c r="AG111" s="107">
        <v>17</v>
      </c>
      <c r="AH111" s="107">
        <v>8</v>
      </c>
      <c r="AI111" s="108">
        <v>17.600000000000001</v>
      </c>
      <c r="AJ111" s="108">
        <v>7.8</v>
      </c>
      <c r="AK111" s="110">
        <v>0.34699999999999998</v>
      </c>
    </row>
    <row r="112" spans="1:37" x14ac:dyDescent="0.2">
      <c r="A112" s="106" t="s">
        <v>356</v>
      </c>
      <c r="B112" s="109">
        <f t="shared" si="53"/>
        <v>3.3598000000000003</v>
      </c>
      <c r="C112" s="107">
        <v>50</v>
      </c>
      <c r="D112" s="107">
        <v>40</v>
      </c>
      <c r="E112" s="108">
        <v>5</v>
      </c>
      <c r="F112" s="108">
        <v>5</v>
      </c>
      <c r="G112" s="108">
        <f t="shared" si="62"/>
        <v>2.5</v>
      </c>
      <c r="H112" s="109">
        <v>4.28</v>
      </c>
      <c r="I112" s="109">
        <v>10.34</v>
      </c>
      <c r="J112" s="109">
        <f t="shared" si="54"/>
        <v>2.9971014492753625</v>
      </c>
      <c r="K112" s="109"/>
      <c r="L112" s="109">
        <f t="shared" si="55"/>
        <v>1.554312661747079</v>
      </c>
      <c r="M112" s="109"/>
      <c r="N112" s="109">
        <v>5.85</v>
      </c>
      <c r="O112" s="109">
        <f t="shared" si="56"/>
        <v>1.989795918367347</v>
      </c>
      <c r="P112" s="109"/>
      <c r="Q112" s="109">
        <f t="shared" si="57"/>
        <v>1.1691118124057005</v>
      </c>
      <c r="R112" s="109"/>
      <c r="S112" s="109">
        <v>13.2</v>
      </c>
      <c r="T112" s="109">
        <v>34.799999999999997</v>
      </c>
      <c r="U112" s="109">
        <f t="shared" si="48"/>
        <v>3.7931034482758625</v>
      </c>
      <c r="V112" s="109">
        <f t="shared" si="58"/>
        <v>1.7561640440268416</v>
      </c>
      <c r="W112" s="109">
        <v>2.99</v>
      </c>
      <c r="X112" s="109">
        <v>18.399999999999999</v>
      </c>
      <c r="Y112" s="109">
        <f t="shared" si="39"/>
        <v>1.6250000000000002</v>
      </c>
      <c r="Z112" s="111">
        <f t="shared" si="59"/>
        <v>0.83582182960312867</v>
      </c>
      <c r="AA112" s="99">
        <f t="shared" si="60"/>
        <v>44.754563073938293</v>
      </c>
      <c r="AB112" s="99">
        <f t="shared" si="61"/>
        <v>5.3169013587246416</v>
      </c>
      <c r="AE112" s="107">
        <v>28</v>
      </c>
      <c r="AF112" s="107">
        <v>14</v>
      </c>
      <c r="AG112" s="107">
        <v>22</v>
      </c>
      <c r="AH112" s="107">
        <v>12</v>
      </c>
      <c r="AI112" s="108">
        <v>15.5</v>
      </c>
      <c r="AJ112" s="108">
        <v>10.6</v>
      </c>
      <c r="AK112" s="110">
        <v>0.624</v>
      </c>
    </row>
    <row r="113" spans="1:37" x14ac:dyDescent="0.2">
      <c r="A113" s="112" t="s">
        <v>357</v>
      </c>
      <c r="B113" s="115">
        <f t="shared" si="53"/>
        <v>3.9878</v>
      </c>
      <c r="C113" s="113">
        <v>50</v>
      </c>
      <c r="D113" s="113">
        <v>40</v>
      </c>
      <c r="E113" s="114">
        <v>6</v>
      </c>
      <c r="F113" s="114">
        <v>6</v>
      </c>
      <c r="G113" s="114">
        <f t="shared" si="62"/>
        <v>3</v>
      </c>
      <c r="H113" s="115">
        <v>5.08</v>
      </c>
      <c r="I113" s="115">
        <v>12.01</v>
      </c>
      <c r="J113" s="115">
        <f t="shared" si="54"/>
        <v>3.5219941348973602</v>
      </c>
      <c r="K113" s="115"/>
      <c r="L113" s="115">
        <f t="shared" si="55"/>
        <v>1.5375868197752141</v>
      </c>
      <c r="M113" s="115"/>
      <c r="N113" s="115">
        <v>6.76</v>
      </c>
      <c r="O113" s="115">
        <f t="shared" si="56"/>
        <v>2.3310344827586205</v>
      </c>
      <c r="P113" s="115"/>
      <c r="Q113" s="115">
        <f t="shared" si="57"/>
        <v>1.1535634622409479</v>
      </c>
      <c r="R113" s="115"/>
      <c r="S113" s="115">
        <v>15.27</v>
      </c>
      <c r="T113" s="115">
        <v>34.799999999999997</v>
      </c>
      <c r="U113" s="115">
        <f t="shared" si="48"/>
        <v>4.3879310344827589</v>
      </c>
      <c r="V113" s="115">
        <f t="shared" si="58"/>
        <v>1.7337547438467251</v>
      </c>
      <c r="W113" s="115">
        <v>3.5</v>
      </c>
      <c r="X113" s="115">
        <v>18.399999999999999</v>
      </c>
      <c r="Y113" s="115">
        <f t="shared" si="39"/>
        <v>1.9021739130434785</v>
      </c>
      <c r="Z113" s="117">
        <f t="shared" si="59"/>
        <v>0.83004600953968566</v>
      </c>
      <c r="AA113" s="99">
        <f t="shared" si="60"/>
        <v>43.796570826471147</v>
      </c>
      <c r="AB113" s="99">
        <f t="shared" si="61"/>
        <v>6.187625973689828</v>
      </c>
      <c r="AE113" s="113">
        <v>28</v>
      </c>
      <c r="AF113" s="113">
        <v>14</v>
      </c>
      <c r="AG113" s="113">
        <v>22</v>
      </c>
      <c r="AH113" s="113">
        <v>12</v>
      </c>
      <c r="AI113" s="114">
        <v>15.9</v>
      </c>
      <c r="AJ113" s="114">
        <v>11</v>
      </c>
      <c r="AK113" s="116">
        <v>0.61899999999999999</v>
      </c>
    </row>
    <row r="114" spans="1:37" s="99" customFormat="1" x14ac:dyDescent="0.2">
      <c r="A114" s="93" t="s">
        <v>358</v>
      </c>
      <c r="B114" s="96">
        <f t="shared" si="53"/>
        <v>3.3598000000000003</v>
      </c>
      <c r="C114" s="94">
        <v>60</v>
      </c>
      <c r="D114" s="94">
        <v>30</v>
      </c>
      <c r="E114" s="95">
        <v>5</v>
      </c>
      <c r="F114" s="95">
        <v>5</v>
      </c>
      <c r="G114" s="95">
        <f t="shared" si="62"/>
        <v>2.5</v>
      </c>
      <c r="H114" s="96">
        <v>4.28</v>
      </c>
      <c r="I114" s="96">
        <v>15.6</v>
      </c>
      <c r="J114" s="96">
        <f t="shared" si="54"/>
        <v>4.073107049608355</v>
      </c>
      <c r="K114" s="96"/>
      <c r="L114" s="96">
        <f t="shared" si="55"/>
        <v>1.909151595102943</v>
      </c>
      <c r="M114" s="96"/>
      <c r="N114" s="96">
        <v>2.63</v>
      </c>
      <c r="O114" s="96">
        <f t="shared" si="56"/>
        <v>1.1336206896551724</v>
      </c>
      <c r="P114" s="96"/>
      <c r="Q114" s="96">
        <f t="shared" si="57"/>
        <v>0.78389156221279177</v>
      </c>
      <c r="R114" s="96"/>
      <c r="S114" s="96">
        <v>16.52</v>
      </c>
      <c r="T114" s="96">
        <v>38.799999999999997</v>
      </c>
      <c r="U114" s="96">
        <f t="shared" si="48"/>
        <v>4.2577319587628866</v>
      </c>
      <c r="V114" s="96">
        <f t="shared" si="58"/>
        <v>1.9646407010219831</v>
      </c>
      <c r="W114" s="96">
        <v>1.71</v>
      </c>
      <c r="X114" s="96">
        <v>17.7</v>
      </c>
      <c r="Y114" s="96">
        <f t="shared" si="39"/>
        <v>0.96610169491525433</v>
      </c>
      <c r="Z114" s="98">
        <f t="shared" si="59"/>
        <v>0.6320859991175044</v>
      </c>
      <c r="AA114" s="99">
        <f t="shared" si="60"/>
        <v>53.006084098584395</v>
      </c>
      <c r="AB114" s="99">
        <f t="shared" si="61"/>
        <v>7.4487195012490863</v>
      </c>
      <c r="AE114" s="94">
        <v>35</v>
      </c>
      <c r="AF114" s="94">
        <v>16</v>
      </c>
      <c r="AG114" s="94">
        <v>17</v>
      </c>
      <c r="AH114" s="94">
        <v>8</v>
      </c>
      <c r="AI114" s="95">
        <v>21.7</v>
      </c>
      <c r="AJ114" s="95">
        <v>6.8</v>
      </c>
      <c r="AK114" s="97">
        <v>0.25800000000000001</v>
      </c>
    </row>
    <row r="115" spans="1:37" x14ac:dyDescent="0.2">
      <c r="A115" s="118" t="s">
        <v>359</v>
      </c>
      <c r="B115" s="121">
        <f t="shared" si="53"/>
        <v>3.7601500000000003</v>
      </c>
      <c r="C115" s="119">
        <v>60</v>
      </c>
      <c r="D115" s="119">
        <v>40</v>
      </c>
      <c r="E115" s="120">
        <v>5</v>
      </c>
      <c r="F115" s="120">
        <v>6</v>
      </c>
      <c r="G115" s="120">
        <f t="shared" si="62"/>
        <v>3</v>
      </c>
      <c r="H115" s="121">
        <v>4.79</v>
      </c>
      <c r="I115" s="121">
        <v>17.190000000000001</v>
      </c>
      <c r="J115" s="121">
        <f t="shared" si="54"/>
        <v>4.2549504950495054</v>
      </c>
      <c r="K115" s="121"/>
      <c r="L115" s="121">
        <f t="shared" si="55"/>
        <v>1.8943934421259849</v>
      </c>
      <c r="M115" s="121"/>
      <c r="N115" s="121">
        <v>6.11</v>
      </c>
      <c r="O115" s="121">
        <f t="shared" si="56"/>
        <v>2.0165016501650164</v>
      </c>
      <c r="P115" s="121"/>
      <c r="Q115" s="121">
        <f t="shared" si="57"/>
        <v>1.1294131718440619</v>
      </c>
      <c r="R115" s="121"/>
      <c r="S115" s="121">
        <v>19.8</v>
      </c>
      <c r="T115" s="121">
        <v>41</v>
      </c>
      <c r="U115" s="121">
        <f t="shared" si="48"/>
        <v>4.8292682926829267</v>
      </c>
      <c r="V115" s="121">
        <f t="shared" si="58"/>
        <v>2.0331285475893952</v>
      </c>
      <c r="W115" s="121">
        <v>3.49</v>
      </c>
      <c r="X115" s="121">
        <v>21</v>
      </c>
      <c r="Y115" s="121">
        <f t="shared" si="39"/>
        <v>1.6619047619047622</v>
      </c>
      <c r="Z115" s="123">
        <f t="shared" si="59"/>
        <v>0.85358142705286377</v>
      </c>
      <c r="AA115" s="99">
        <f t="shared" si="60"/>
        <v>54.100055321405442</v>
      </c>
      <c r="AB115" s="99">
        <f t="shared" si="61"/>
        <v>7.7140040907872223</v>
      </c>
      <c r="AE115" s="119">
        <v>35</v>
      </c>
      <c r="AF115" s="119">
        <v>16</v>
      </c>
      <c r="AG115" s="119">
        <v>22</v>
      </c>
      <c r="AH115" s="119">
        <v>12</v>
      </c>
      <c r="AI115" s="120">
        <v>19.600000000000001</v>
      </c>
      <c r="AJ115" s="120">
        <v>9.6999999999999993</v>
      </c>
      <c r="AK115" s="122">
        <v>0.437</v>
      </c>
    </row>
    <row r="116" spans="1:37" x14ac:dyDescent="0.2">
      <c r="A116" s="118" t="s">
        <v>360</v>
      </c>
      <c r="B116" s="121">
        <f t="shared" si="53"/>
        <v>4.4588000000000001</v>
      </c>
      <c r="C116" s="119">
        <v>60</v>
      </c>
      <c r="D116" s="119">
        <v>40</v>
      </c>
      <c r="E116" s="120">
        <v>6</v>
      </c>
      <c r="F116" s="120">
        <v>6</v>
      </c>
      <c r="G116" s="120">
        <f t="shared" si="62"/>
        <v>3</v>
      </c>
      <c r="H116" s="121">
        <v>5.68</v>
      </c>
      <c r="I116" s="121">
        <v>20.14</v>
      </c>
      <c r="J116" s="121">
        <f t="shared" si="54"/>
        <v>5.0350000000000001</v>
      </c>
      <c r="K116" s="121"/>
      <c r="L116" s="121">
        <f t="shared" si="55"/>
        <v>1.883022742265033</v>
      </c>
      <c r="M116" s="121"/>
      <c r="N116" s="121">
        <v>7.12</v>
      </c>
      <c r="O116" s="121">
        <f t="shared" si="56"/>
        <v>2.3812709030100336</v>
      </c>
      <c r="P116" s="121"/>
      <c r="Q116" s="121">
        <f t="shared" si="57"/>
        <v>1.1196075771271663</v>
      </c>
      <c r="R116" s="121"/>
      <c r="S116" s="121">
        <v>23.14</v>
      </c>
      <c r="T116" s="121">
        <v>40.700000000000003</v>
      </c>
      <c r="U116" s="121">
        <f t="shared" si="48"/>
        <v>5.6855036855036856</v>
      </c>
      <c r="V116" s="121">
        <f t="shared" si="58"/>
        <v>2.0184012638650004</v>
      </c>
      <c r="W116" s="121">
        <v>4.12</v>
      </c>
      <c r="X116" s="121">
        <v>20.9</v>
      </c>
      <c r="Y116" s="121">
        <f t="shared" si="39"/>
        <v>1.9712918660287084</v>
      </c>
      <c r="Z116" s="123">
        <f t="shared" si="59"/>
        <v>0.85167606087998993</v>
      </c>
      <c r="AA116" s="99">
        <f t="shared" si="60"/>
        <v>53.046570826471147</v>
      </c>
      <c r="AB116" s="99">
        <f t="shared" si="61"/>
        <v>8.9776634499511498</v>
      </c>
      <c r="AE116" s="119">
        <v>35</v>
      </c>
      <c r="AF116" s="119">
        <v>16</v>
      </c>
      <c r="AG116" s="119">
        <v>22</v>
      </c>
      <c r="AH116" s="119">
        <v>12</v>
      </c>
      <c r="AI116" s="120">
        <v>20</v>
      </c>
      <c r="AJ116" s="120">
        <v>10.1</v>
      </c>
      <c r="AK116" s="122">
        <v>0.433</v>
      </c>
    </row>
    <row r="117" spans="1:37" x14ac:dyDescent="0.2">
      <c r="A117" s="118" t="s">
        <v>361</v>
      </c>
      <c r="B117" s="121">
        <f t="shared" si="53"/>
        <v>5.14175</v>
      </c>
      <c r="C117" s="119">
        <v>60</v>
      </c>
      <c r="D117" s="119">
        <v>40</v>
      </c>
      <c r="E117" s="120">
        <v>7</v>
      </c>
      <c r="F117" s="120">
        <v>6</v>
      </c>
      <c r="G117" s="120">
        <f t="shared" si="62"/>
        <v>3</v>
      </c>
      <c r="H117" s="121">
        <v>6.55</v>
      </c>
      <c r="I117" s="121">
        <v>22.94</v>
      </c>
      <c r="J117" s="121">
        <f t="shared" si="54"/>
        <v>5.7929292929292933</v>
      </c>
      <c r="K117" s="121"/>
      <c r="L117" s="121">
        <f t="shared" si="55"/>
        <v>1.8714406419483034</v>
      </c>
      <c r="M117" s="121"/>
      <c r="N117" s="121">
        <v>8.07</v>
      </c>
      <c r="O117" s="121">
        <f t="shared" si="56"/>
        <v>2.7355932203389832</v>
      </c>
      <c r="P117" s="121"/>
      <c r="Q117" s="121">
        <f t="shared" si="57"/>
        <v>1.1099824632408795</v>
      </c>
      <c r="R117" s="121"/>
      <c r="S117" s="121">
        <v>26.29</v>
      </c>
      <c r="T117" s="121">
        <v>40.6</v>
      </c>
      <c r="U117" s="121">
        <f t="shared" si="48"/>
        <v>6.4753694581280783</v>
      </c>
      <c r="V117" s="121">
        <f t="shared" si="58"/>
        <v>2.00343216955685</v>
      </c>
      <c r="W117" s="121">
        <v>4.72</v>
      </c>
      <c r="X117" s="121">
        <v>20.9</v>
      </c>
      <c r="Y117" s="121">
        <f t="shared" si="39"/>
        <v>2.2583732057416266</v>
      </c>
      <c r="Z117" s="123">
        <f t="shared" si="59"/>
        <v>0.84888791193119295</v>
      </c>
      <c r="AA117" s="99">
        <f t="shared" si="60"/>
        <v>52.028816423366976</v>
      </c>
      <c r="AB117" s="99">
        <f t="shared" si="61"/>
        <v>10.162402276254825</v>
      </c>
      <c r="AE117" s="119">
        <v>35</v>
      </c>
      <c r="AF117" s="119">
        <v>16</v>
      </c>
      <c r="AG117" s="119">
        <v>22</v>
      </c>
      <c r="AH117" s="119">
        <v>12</v>
      </c>
      <c r="AI117" s="120">
        <v>20.399999999999999</v>
      </c>
      <c r="AJ117" s="120">
        <v>10.5</v>
      </c>
      <c r="AK117" s="122">
        <v>0.42899999999999999</v>
      </c>
    </row>
    <row r="118" spans="1:37" s="99" customFormat="1" x14ac:dyDescent="0.2">
      <c r="A118" s="100" t="s">
        <v>362</v>
      </c>
      <c r="B118" s="103">
        <f t="shared" si="53"/>
        <v>4.3489000000000004</v>
      </c>
      <c r="C118" s="101">
        <v>65</v>
      </c>
      <c r="D118" s="101">
        <v>50</v>
      </c>
      <c r="E118" s="102">
        <v>5</v>
      </c>
      <c r="F118" s="102">
        <v>6</v>
      </c>
      <c r="G118" s="102">
        <f t="shared" si="62"/>
        <v>3</v>
      </c>
      <c r="H118" s="103">
        <v>5.54</v>
      </c>
      <c r="I118" s="103">
        <v>23.18</v>
      </c>
      <c r="J118" s="103">
        <f t="shared" si="54"/>
        <v>5.1396895787139689</v>
      </c>
      <c r="K118" s="103"/>
      <c r="L118" s="103">
        <f t="shared" si="55"/>
        <v>2.0455110665713114</v>
      </c>
      <c r="M118" s="103"/>
      <c r="N118" s="103">
        <v>11.93</v>
      </c>
      <c r="O118" s="103">
        <f t="shared" si="56"/>
        <v>3.1813333333333333</v>
      </c>
      <c r="P118" s="103"/>
      <c r="Q118" s="103">
        <f t="shared" si="57"/>
        <v>1.4674568487311941</v>
      </c>
      <c r="R118" s="103"/>
      <c r="S118" s="103">
        <v>28.9</v>
      </c>
      <c r="T118" s="103">
        <v>45.3</v>
      </c>
      <c r="U118" s="103">
        <f t="shared" si="48"/>
        <v>6.3796909492273732</v>
      </c>
      <c r="V118" s="103">
        <f t="shared" si="58"/>
        <v>2.2839891633269511</v>
      </c>
      <c r="W118" s="103">
        <v>6.21</v>
      </c>
      <c r="X118" s="103">
        <v>23.8</v>
      </c>
      <c r="Y118" s="103">
        <f t="shared" si="39"/>
        <v>2.6092436974789917</v>
      </c>
      <c r="Z118" s="105">
        <f t="shared" si="59"/>
        <v>1.0587438916748679</v>
      </c>
      <c r="AA118" s="99">
        <f t="shared" si="60"/>
        <v>59.530044257124359</v>
      </c>
      <c r="AB118" s="99">
        <f t="shared" si="61"/>
        <v>9.2870338020774597</v>
      </c>
      <c r="AE118" s="101">
        <v>35</v>
      </c>
      <c r="AF118" s="101">
        <v>16</v>
      </c>
      <c r="AG118" s="101">
        <v>28</v>
      </c>
      <c r="AH118" s="101">
        <v>14</v>
      </c>
      <c r="AI118" s="102">
        <v>19.899999999999999</v>
      </c>
      <c r="AJ118" s="102">
        <v>12.5</v>
      </c>
      <c r="AK118" s="104">
        <v>0.58099999999999996</v>
      </c>
    </row>
    <row r="119" spans="1:37" x14ac:dyDescent="0.2">
      <c r="A119" s="106" t="s">
        <v>363</v>
      </c>
      <c r="B119" s="109">
        <f t="shared" si="53"/>
        <v>5.1653000000000002</v>
      </c>
      <c r="C119" s="107">
        <v>65</v>
      </c>
      <c r="D119" s="107">
        <v>50</v>
      </c>
      <c r="E119" s="108">
        <v>6</v>
      </c>
      <c r="F119" s="108">
        <v>6</v>
      </c>
      <c r="G119" s="108">
        <f t="shared" si="62"/>
        <v>3</v>
      </c>
      <c r="H119" s="109">
        <v>6.58</v>
      </c>
      <c r="I119" s="109">
        <v>27.23</v>
      </c>
      <c r="J119" s="109">
        <f t="shared" si="54"/>
        <v>6.1053811659192823</v>
      </c>
      <c r="K119" s="109"/>
      <c r="L119" s="109">
        <f t="shared" si="55"/>
        <v>2.0342806768832133</v>
      </c>
      <c r="M119" s="109"/>
      <c r="N119" s="109">
        <v>13.98</v>
      </c>
      <c r="O119" s="109">
        <f t="shared" si="56"/>
        <v>3.7681940700808627</v>
      </c>
      <c r="P119" s="109"/>
      <c r="Q119" s="109">
        <f t="shared" si="57"/>
        <v>1.4576076498119352</v>
      </c>
      <c r="R119" s="109"/>
      <c r="S119" s="109">
        <v>33.869999999999997</v>
      </c>
      <c r="T119" s="109">
        <v>45.1</v>
      </c>
      <c r="U119" s="109">
        <f t="shared" si="48"/>
        <v>7.5099778270509976</v>
      </c>
      <c r="V119" s="109">
        <f t="shared" si="58"/>
        <v>2.2687918400271672</v>
      </c>
      <c r="W119" s="109">
        <v>7.33</v>
      </c>
      <c r="X119" s="109">
        <v>23.8</v>
      </c>
      <c r="Y119" s="109">
        <f t="shared" si="39"/>
        <v>3.079831932773109</v>
      </c>
      <c r="Z119" s="111">
        <f t="shared" si="59"/>
        <v>1.0554533447376693</v>
      </c>
      <c r="AA119" s="99">
        <f t="shared" si="60"/>
        <v>58.537256661176919</v>
      </c>
      <c r="AB119" s="99">
        <f t="shared" si="61"/>
        <v>10.865314576763758</v>
      </c>
      <c r="AE119" s="107">
        <v>35</v>
      </c>
      <c r="AF119" s="107">
        <v>16</v>
      </c>
      <c r="AG119" s="107">
        <v>28</v>
      </c>
      <c r="AH119" s="107">
        <v>14</v>
      </c>
      <c r="AI119" s="108">
        <v>20.399999999999999</v>
      </c>
      <c r="AJ119" s="108">
        <v>12.9</v>
      </c>
      <c r="AK119" s="110">
        <v>0.57799999999999996</v>
      </c>
    </row>
    <row r="120" spans="1:37" x14ac:dyDescent="0.2">
      <c r="A120" s="106" t="s">
        <v>364</v>
      </c>
      <c r="B120" s="109">
        <f t="shared" si="53"/>
        <v>5.9738500000000005</v>
      </c>
      <c r="C120" s="107">
        <v>65</v>
      </c>
      <c r="D120" s="107">
        <v>50</v>
      </c>
      <c r="E120" s="108">
        <v>7</v>
      </c>
      <c r="F120" s="108">
        <v>7</v>
      </c>
      <c r="G120" s="108">
        <f t="shared" si="62"/>
        <v>3.5</v>
      </c>
      <c r="H120" s="109">
        <v>7.61</v>
      </c>
      <c r="I120" s="109">
        <v>30.99</v>
      </c>
      <c r="J120" s="109">
        <f t="shared" si="54"/>
        <v>6.9954853273137694</v>
      </c>
      <c r="K120" s="109"/>
      <c r="L120" s="109">
        <f t="shared" si="55"/>
        <v>2.0179874441068582</v>
      </c>
      <c r="M120" s="109"/>
      <c r="N120" s="109">
        <v>15.82</v>
      </c>
      <c r="O120" s="109">
        <f t="shared" si="56"/>
        <v>4.3106267029972747</v>
      </c>
      <c r="P120" s="109"/>
      <c r="Q120" s="109">
        <f t="shared" si="57"/>
        <v>1.4418195541768857</v>
      </c>
      <c r="R120" s="109"/>
      <c r="S120" s="109">
        <v>38.43</v>
      </c>
      <c r="T120" s="109">
        <v>45.1</v>
      </c>
      <c r="U120" s="109">
        <f t="shared" si="48"/>
        <v>8.5210643015521068</v>
      </c>
      <c r="V120" s="109">
        <f t="shared" si="58"/>
        <v>2.2472058866462725</v>
      </c>
      <c r="W120" s="109">
        <v>8.3800000000000008</v>
      </c>
      <c r="X120" s="109">
        <v>23.8</v>
      </c>
      <c r="Y120" s="109">
        <f t="shared" si="39"/>
        <v>3.5210084033613449</v>
      </c>
      <c r="Z120" s="111">
        <f t="shared" si="59"/>
        <v>1.0493725050724849</v>
      </c>
      <c r="AA120" s="99">
        <f t="shared" si="60"/>
        <v>57.545154899935248</v>
      </c>
      <c r="AB120" s="99">
        <f t="shared" si="61"/>
        <v>12.366680622954032</v>
      </c>
      <c r="AE120" s="107">
        <v>35</v>
      </c>
      <c r="AF120" s="107">
        <v>16</v>
      </c>
      <c r="AG120" s="107">
        <v>28</v>
      </c>
      <c r="AH120" s="107">
        <v>14</v>
      </c>
      <c r="AI120" s="108">
        <v>20.7</v>
      </c>
      <c r="AJ120" s="108">
        <v>13.3</v>
      </c>
      <c r="AK120" s="110">
        <v>0.57399999999999995</v>
      </c>
    </row>
    <row r="121" spans="1:37" x14ac:dyDescent="0.2">
      <c r="A121" s="112" t="s">
        <v>365</v>
      </c>
      <c r="B121" s="115">
        <f t="shared" si="53"/>
        <v>6.7745500000000005</v>
      </c>
      <c r="C121" s="113">
        <v>65</v>
      </c>
      <c r="D121" s="113">
        <v>50</v>
      </c>
      <c r="E121" s="114">
        <v>8</v>
      </c>
      <c r="F121" s="114">
        <v>8</v>
      </c>
      <c r="G121" s="114">
        <f t="shared" si="62"/>
        <v>4</v>
      </c>
      <c r="H121" s="115">
        <v>8.6300000000000008</v>
      </c>
      <c r="I121" s="115">
        <v>34.549999999999997</v>
      </c>
      <c r="J121" s="115">
        <f t="shared" si="54"/>
        <v>7.8522727272727275</v>
      </c>
      <c r="K121" s="115"/>
      <c r="L121" s="115">
        <f t="shared" si="55"/>
        <v>2.00086887267874</v>
      </c>
      <c r="M121" s="115"/>
      <c r="N121" s="115">
        <v>17.55</v>
      </c>
      <c r="O121" s="115">
        <f t="shared" si="56"/>
        <v>4.8214285714285712</v>
      </c>
      <c r="P121" s="115"/>
      <c r="Q121" s="115">
        <f t="shared" si="57"/>
        <v>1.4260447776964666</v>
      </c>
      <c r="R121" s="115"/>
      <c r="S121" s="115">
        <v>42.71</v>
      </c>
      <c r="T121" s="115">
        <v>45</v>
      </c>
      <c r="U121" s="115">
        <f t="shared" si="48"/>
        <v>9.4911111111111115</v>
      </c>
      <c r="V121" s="115">
        <f t="shared" si="58"/>
        <v>2.2246381871511534</v>
      </c>
      <c r="W121" s="115">
        <v>9.39</v>
      </c>
      <c r="X121" s="115">
        <v>23.7</v>
      </c>
      <c r="Y121" s="115">
        <f t="shared" si="39"/>
        <v>3.9620253164556964</v>
      </c>
      <c r="Z121" s="117">
        <f t="shared" si="59"/>
        <v>1.0431034895535953</v>
      </c>
      <c r="AA121" s="99">
        <f t="shared" si="60"/>
        <v>56.577345175425627</v>
      </c>
      <c r="AB121" s="99">
        <f t="shared" si="61"/>
        <v>13.794459486363051</v>
      </c>
      <c r="AE121" s="113">
        <v>35</v>
      </c>
      <c r="AF121" s="113">
        <v>16</v>
      </c>
      <c r="AG121" s="113">
        <v>28</v>
      </c>
      <c r="AH121" s="113">
        <v>14</v>
      </c>
      <c r="AI121" s="114">
        <v>21</v>
      </c>
      <c r="AJ121" s="114">
        <v>13.6</v>
      </c>
      <c r="AK121" s="116">
        <v>0.56999999999999995</v>
      </c>
    </row>
    <row r="122" spans="1:37" s="99" customFormat="1" x14ac:dyDescent="0.2">
      <c r="A122" s="93" t="s">
        <v>366</v>
      </c>
      <c r="B122" s="96">
        <f t="shared" si="53"/>
        <v>5.4008000000000003</v>
      </c>
      <c r="C122" s="94">
        <v>70</v>
      </c>
      <c r="D122" s="94">
        <v>50</v>
      </c>
      <c r="E122" s="95">
        <v>6</v>
      </c>
      <c r="F122" s="95">
        <v>6</v>
      </c>
      <c r="G122" s="95">
        <f t="shared" si="62"/>
        <v>3</v>
      </c>
      <c r="H122" s="96">
        <v>6.88</v>
      </c>
      <c r="I122" s="96">
        <v>33.53</v>
      </c>
      <c r="J122" s="96">
        <f t="shared" si="54"/>
        <v>7.0441176470588234</v>
      </c>
      <c r="K122" s="96"/>
      <c r="L122" s="96">
        <f t="shared" si="55"/>
        <v>2.2076110417435193</v>
      </c>
      <c r="M122" s="96"/>
      <c r="N122" s="96">
        <v>14.27</v>
      </c>
      <c r="O122" s="96">
        <f t="shared" si="56"/>
        <v>3.805333333333333</v>
      </c>
      <c r="P122" s="96"/>
      <c r="Q122" s="96">
        <f t="shared" si="57"/>
        <v>1.4401832893686637</v>
      </c>
      <c r="R122" s="96"/>
      <c r="S122" s="96">
        <v>39.950000000000003</v>
      </c>
      <c r="T122" s="96">
        <v>48.2</v>
      </c>
      <c r="U122" s="96">
        <f t="shared" si="48"/>
        <v>8.2883817427385882</v>
      </c>
      <c r="V122" s="96">
        <f t="shared" si="58"/>
        <v>2.4097066307979542</v>
      </c>
      <c r="W122" s="96">
        <v>7.85</v>
      </c>
      <c r="X122" s="96">
        <v>25.2</v>
      </c>
      <c r="Y122" s="96">
        <f t="shared" si="39"/>
        <v>3.1150793650793651</v>
      </c>
      <c r="Z122" s="98">
        <f t="shared" si="59"/>
        <v>1.0681705725646178</v>
      </c>
      <c r="AA122" s="99">
        <f t="shared" si="60"/>
        <v>63.237256661176914</v>
      </c>
      <c r="AB122" s="99">
        <f t="shared" si="61"/>
        <v>12.637980370155537</v>
      </c>
      <c r="AE122" s="94">
        <v>40</v>
      </c>
      <c r="AF122" s="94">
        <v>16</v>
      </c>
      <c r="AG122" s="94">
        <v>28</v>
      </c>
      <c r="AH122" s="94">
        <v>14</v>
      </c>
      <c r="AI122" s="95">
        <v>22.4</v>
      </c>
      <c r="AJ122" s="95">
        <v>12.5</v>
      </c>
      <c r="AK122" s="97">
        <v>0.5</v>
      </c>
    </row>
    <row r="123" spans="1:37" x14ac:dyDescent="0.2">
      <c r="A123" s="118" t="s">
        <v>367</v>
      </c>
      <c r="B123" s="121">
        <f t="shared" si="53"/>
        <v>6.2486000000000006</v>
      </c>
      <c r="C123" s="119">
        <v>70</v>
      </c>
      <c r="D123" s="119">
        <v>50</v>
      </c>
      <c r="E123" s="120">
        <v>7</v>
      </c>
      <c r="F123" s="120">
        <v>7</v>
      </c>
      <c r="G123" s="120">
        <f t="shared" si="62"/>
        <v>3.5</v>
      </c>
      <c r="H123" s="121">
        <v>7.96</v>
      </c>
      <c r="I123" s="121">
        <v>38.21</v>
      </c>
      <c r="J123" s="121">
        <f t="shared" si="54"/>
        <v>8.0782241014799165</v>
      </c>
      <c r="K123" s="121"/>
      <c r="L123" s="121">
        <f t="shared" si="55"/>
        <v>2.1909475704090702</v>
      </c>
      <c r="M123" s="121"/>
      <c r="N123" s="121">
        <v>16.16</v>
      </c>
      <c r="O123" s="121">
        <f t="shared" si="56"/>
        <v>4.355795148247978</v>
      </c>
      <c r="P123" s="121"/>
      <c r="Q123" s="121">
        <f t="shared" si="57"/>
        <v>1.424833588096815</v>
      </c>
      <c r="R123" s="121"/>
      <c r="S123" s="121">
        <v>45.41</v>
      </c>
      <c r="T123" s="121">
        <v>48.1</v>
      </c>
      <c r="U123" s="121">
        <f t="shared" si="48"/>
        <v>9.4407484407484397</v>
      </c>
      <c r="V123" s="121">
        <f t="shared" si="58"/>
        <v>2.3884668449335305</v>
      </c>
      <c r="W123" s="121">
        <v>8.9600000000000009</v>
      </c>
      <c r="X123" s="121">
        <v>25.1</v>
      </c>
      <c r="Y123" s="121">
        <f t="shared" si="39"/>
        <v>3.5697211155378485</v>
      </c>
      <c r="Z123" s="123">
        <f t="shared" si="59"/>
        <v>1.0609562388258611</v>
      </c>
      <c r="AA123" s="99">
        <f t="shared" si="60"/>
        <v>62.195154899935254</v>
      </c>
      <c r="AB123" s="99">
        <f t="shared" si="61"/>
        <v>14.385641931996089</v>
      </c>
      <c r="AE123" s="119">
        <v>40</v>
      </c>
      <c r="AF123" s="119">
        <v>16</v>
      </c>
      <c r="AG123" s="119">
        <v>28</v>
      </c>
      <c r="AH123" s="119">
        <v>14</v>
      </c>
      <c r="AI123" s="120">
        <v>22.7</v>
      </c>
      <c r="AJ123" s="120">
        <v>12.9</v>
      </c>
      <c r="AK123" s="122">
        <v>0.496</v>
      </c>
    </row>
    <row r="124" spans="1:37" s="99" customFormat="1" x14ac:dyDescent="0.2">
      <c r="A124" s="100" t="s">
        <v>368</v>
      </c>
      <c r="B124" s="103">
        <f t="shared" si="53"/>
        <v>4.7335500000000001</v>
      </c>
      <c r="C124" s="101">
        <v>75</v>
      </c>
      <c r="D124" s="101">
        <v>50</v>
      </c>
      <c r="E124" s="102">
        <v>5</v>
      </c>
      <c r="F124" s="102">
        <v>5</v>
      </c>
      <c r="G124" s="102">
        <f t="shared" si="62"/>
        <v>2.5</v>
      </c>
      <c r="H124" s="103">
        <v>6.03</v>
      </c>
      <c r="I124" s="103">
        <v>34.64</v>
      </c>
      <c r="J124" s="103">
        <f t="shared" si="54"/>
        <v>6.8055009823182706</v>
      </c>
      <c r="K124" s="103"/>
      <c r="L124" s="103">
        <f t="shared" si="55"/>
        <v>2.3967916642719937</v>
      </c>
      <c r="M124" s="103"/>
      <c r="N124" s="103">
        <v>12.48</v>
      </c>
      <c r="O124" s="103">
        <f t="shared" si="56"/>
        <v>3.2670157068062826</v>
      </c>
      <c r="P124" s="103"/>
      <c r="Q124" s="103">
        <f t="shared" si="57"/>
        <v>1.4386284236360452</v>
      </c>
      <c r="R124" s="103"/>
      <c r="S124" s="103">
        <v>40.049999999999997</v>
      </c>
      <c r="T124" s="103">
        <v>51.3</v>
      </c>
      <c r="U124" s="103">
        <f t="shared" si="48"/>
        <v>7.8070175438596499</v>
      </c>
      <c r="V124" s="103">
        <f t="shared" si="58"/>
        <v>2.5771672519990081</v>
      </c>
      <c r="W124" s="103">
        <v>7.08</v>
      </c>
      <c r="X124" s="103">
        <v>26.4</v>
      </c>
      <c r="Y124" s="103">
        <f t="shared" si="39"/>
        <v>2.6818181818181817</v>
      </c>
      <c r="Z124" s="105">
        <f t="shared" si="59"/>
        <v>1.0835724956060073</v>
      </c>
      <c r="AA124" s="99">
        <f t="shared" si="60"/>
        <v>69.053650459150646</v>
      </c>
      <c r="AB124" s="99">
        <f t="shared" si="61"/>
        <v>12.427445974987311</v>
      </c>
      <c r="AE124" s="101">
        <v>40</v>
      </c>
      <c r="AF124" s="101">
        <v>16</v>
      </c>
      <c r="AG124" s="101">
        <v>28</v>
      </c>
      <c r="AH124" s="101">
        <v>14</v>
      </c>
      <c r="AI124" s="102">
        <v>24.1</v>
      </c>
      <c r="AJ124" s="102">
        <v>11.8</v>
      </c>
      <c r="AK124" s="104">
        <v>0.443</v>
      </c>
    </row>
    <row r="125" spans="1:37" x14ac:dyDescent="0.2">
      <c r="A125" s="106" t="s">
        <v>369</v>
      </c>
      <c r="B125" s="109">
        <f t="shared" si="53"/>
        <v>5.6363000000000003</v>
      </c>
      <c r="C125" s="107">
        <v>75</v>
      </c>
      <c r="D125" s="107">
        <v>50</v>
      </c>
      <c r="E125" s="108">
        <v>6</v>
      </c>
      <c r="F125" s="108">
        <v>6</v>
      </c>
      <c r="G125" s="108">
        <f t="shared" si="62"/>
        <v>3</v>
      </c>
      <c r="H125" s="109">
        <v>7.18</v>
      </c>
      <c r="I125" s="109">
        <v>40.659999999999997</v>
      </c>
      <c r="J125" s="109">
        <f t="shared" si="54"/>
        <v>8.0514851485148515</v>
      </c>
      <c r="K125" s="109"/>
      <c r="L125" s="109">
        <f t="shared" si="55"/>
        <v>2.3796959146579115</v>
      </c>
      <c r="M125" s="109"/>
      <c r="N125" s="109">
        <v>14.54</v>
      </c>
      <c r="O125" s="109">
        <f t="shared" si="56"/>
        <v>3.8364116094986804</v>
      </c>
      <c r="P125" s="109"/>
      <c r="Q125" s="109">
        <f t="shared" si="57"/>
        <v>1.423049415123385</v>
      </c>
      <c r="R125" s="109"/>
      <c r="S125" s="109">
        <v>46.9</v>
      </c>
      <c r="T125" s="109">
        <v>51.1</v>
      </c>
      <c r="U125" s="109">
        <f t="shared" si="48"/>
        <v>9.1780821917808222</v>
      </c>
      <c r="V125" s="109">
        <f t="shared" si="58"/>
        <v>2.5557843074453377</v>
      </c>
      <c r="W125" s="109">
        <v>8.3000000000000007</v>
      </c>
      <c r="X125" s="109">
        <v>26.3</v>
      </c>
      <c r="Y125" s="109">
        <f t="shared" si="39"/>
        <v>3.1558935361216731</v>
      </c>
      <c r="Z125" s="111">
        <f t="shared" si="59"/>
        <v>1.0751692229313108</v>
      </c>
      <c r="AA125" s="99">
        <f t="shared" si="60"/>
        <v>67.937256661176917</v>
      </c>
      <c r="AB125" s="99">
        <f t="shared" si="61"/>
        <v>14.550566163547314</v>
      </c>
      <c r="AE125" s="107">
        <v>40</v>
      </c>
      <c r="AF125" s="107">
        <v>16</v>
      </c>
      <c r="AG125" s="107">
        <v>28</v>
      </c>
      <c r="AH125" s="107">
        <v>14</v>
      </c>
      <c r="AI125" s="108">
        <v>24.5</v>
      </c>
      <c r="AJ125" s="108">
        <v>12.1</v>
      </c>
      <c r="AK125" s="110">
        <v>0.439</v>
      </c>
    </row>
    <row r="126" spans="1:37" x14ac:dyDescent="0.2">
      <c r="A126" s="106" t="s">
        <v>370</v>
      </c>
      <c r="B126" s="109">
        <f t="shared" si="53"/>
        <v>6.5233500000000006</v>
      </c>
      <c r="C126" s="107">
        <v>75</v>
      </c>
      <c r="D126" s="107">
        <v>50</v>
      </c>
      <c r="E126" s="108">
        <v>7</v>
      </c>
      <c r="F126" s="108">
        <v>7</v>
      </c>
      <c r="G126" s="108">
        <f t="shared" si="62"/>
        <v>3.5</v>
      </c>
      <c r="H126" s="109">
        <v>8.31</v>
      </c>
      <c r="I126" s="109">
        <v>46.4</v>
      </c>
      <c r="J126" s="109">
        <f t="shared" si="54"/>
        <v>9.243027888446214</v>
      </c>
      <c r="K126" s="109"/>
      <c r="L126" s="109">
        <f t="shared" si="55"/>
        <v>2.362971471620412</v>
      </c>
      <c r="M126" s="109"/>
      <c r="N126" s="109">
        <v>16.46</v>
      </c>
      <c r="O126" s="109">
        <f t="shared" si="56"/>
        <v>4.389333333333334</v>
      </c>
      <c r="P126" s="109"/>
      <c r="Q126" s="109">
        <f t="shared" si="57"/>
        <v>1.4073898141770596</v>
      </c>
      <c r="R126" s="109"/>
      <c r="S126" s="109">
        <v>53.39</v>
      </c>
      <c r="T126" s="109">
        <v>51</v>
      </c>
      <c r="U126" s="109">
        <f t="shared" si="48"/>
        <v>10.468627450980392</v>
      </c>
      <c r="V126" s="109">
        <f t="shared" si="58"/>
        <v>2.5347168304070924</v>
      </c>
      <c r="W126" s="109">
        <v>9.48</v>
      </c>
      <c r="X126" s="109">
        <v>26.2</v>
      </c>
      <c r="Y126" s="109">
        <f t="shared" si="39"/>
        <v>3.6183206106870234</v>
      </c>
      <c r="Z126" s="111">
        <f t="shared" si="59"/>
        <v>1.0680796898297031</v>
      </c>
      <c r="AA126" s="99">
        <f t="shared" si="60"/>
        <v>66.845154899935253</v>
      </c>
      <c r="AB126" s="99">
        <f t="shared" si="61"/>
        <v>16.565638241038144</v>
      </c>
      <c r="AE126" s="107">
        <v>40</v>
      </c>
      <c r="AF126" s="107">
        <v>16</v>
      </c>
      <c r="AG126" s="107">
        <v>28</v>
      </c>
      <c r="AH126" s="107">
        <v>14</v>
      </c>
      <c r="AI126" s="108">
        <v>24.8</v>
      </c>
      <c r="AJ126" s="108">
        <v>12.5</v>
      </c>
      <c r="AK126" s="110">
        <v>0.435</v>
      </c>
    </row>
    <row r="127" spans="1:37" x14ac:dyDescent="0.2">
      <c r="A127" s="112" t="s">
        <v>371</v>
      </c>
      <c r="B127" s="115">
        <f t="shared" si="53"/>
        <v>7.4025499999999997</v>
      </c>
      <c r="C127" s="113">
        <v>75</v>
      </c>
      <c r="D127" s="113">
        <v>50</v>
      </c>
      <c r="E127" s="114">
        <v>8</v>
      </c>
      <c r="F127" s="114">
        <v>8</v>
      </c>
      <c r="G127" s="114">
        <f t="shared" si="62"/>
        <v>4</v>
      </c>
      <c r="H127" s="115">
        <v>9.43</v>
      </c>
      <c r="I127" s="115">
        <v>51.88</v>
      </c>
      <c r="J127" s="115">
        <f t="shared" si="54"/>
        <v>10.396793587174351</v>
      </c>
      <c r="K127" s="115"/>
      <c r="L127" s="115">
        <f t="shared" si="55"/>
        <v>2.3455469869692642</v>
      </c>
      <c r="M127" s="115"/>
      <c r="N127" s="115">
        <v>18.27</v>
      </c>
      <c r="O127" s="115">
        <f t="shared" si="56"/>
        <v>4.9112903225806441</v>
      </c>
      <c r="P127" s="115"/>
      <c r="Q127" s="115">
        <f t="shared" si="57"/>
        <v>1.3919172828021458</v>
      </c>
      <c r="R127" s="115"/>
      <c r="S127" s="115">
        <v>59.54</v>
      </c>
      <c r="T127" s="115">
        <v>50.9</v>
      </c>
      <c r="U127" s="115">
        <f t="shared" si="48"/>
        <v>11.697445972495089</v>
      </c>
      <c r="V127" s="115">
        <f t="shared" si="58"/>
        <v>2.5127458754459271</v>
      </c>
      <c r="W127" s="115">
        <v>10.62</v>
      </c>
      <c r="X127" s="115">
        <v>26.1</v>
      </c>
      <c r="Y127" s="115">
        <f t="shared" si="39"/>
        <v>4.068965517241379</v>
      </c>
      <c r="Z127" s="117">
        <f t="shared" si="59"/>
        <v>1.0612224088570903</v>
      </c>
      <c r="AA127" s="99">
        <f t="shared" si="60"/>
        <v>65.777345175425637</v>
      </c>
      <c r="AB127" s="99">
        <f t="shared" si="61"/>
        <v>18.478584329182869</v>
      </c>
      <c r="AE127" s="113">
        <v>40</v>
      </c>
      <c r="AF127" s="113">
        <v>16</v>
      </c>
      <c r="AG127" s="113">
        <v>28</v>
      </c>
      <c r="AH127" s="113">
        <v>14</v>
      </c>
      <c r="AI127" s="114">
        <v>25.1</v>
      </c>
      <c r="AJ127" s="114">
        <v>12.8</v>
      </c>
      <c r="AK127" s="116">
        <v>0.43099999999999999</v>
      </c>
    </row>
    <row r="128" spans="1:37" s="99" customFormat="1" x14ac:dyDescent="0.2">
      <c r="A128" s="93" t="s">
        <v>372</v>
      </c>
      <c r="B128" s="96">
        <f t="shared" si="53"/>
        <v>5.4008000000000003</v>
      </c>
      <c r="C128" s="94">
        <v>80</v>
      </c>
      <c r="D128" s="94">
        <v>40</v>
      </c>
      <c r="E128" s="95">
        <v>6</v>
      </c>
      <c r="F128" s="95">
        <v>6</v>
      </c>
      <c r="G128" s="95">
        <f t="shared" si="62"/>
        <v>3</v>
      </c>
      <c r="H128" s="96">
        <v>6.88</v>
      </c>
      <c r="I128" s="96">
        <v>45.02</v>
      </c>
      <c r="J128" s="96">
        <f t="shared" si="54"/>
        <v>8.7587548638132304</v>
      </c>
      <c r="K128" s="96"/>
      <c r="L128" s="96">
        <f t="shared" si="55"/>
        <v>2.5580470384969058</v>
      </c>
      <c r="M128" s="96"/>
      <c r="N128" s="96">
        <v>7.66</v>
      </c>
      <c r="O128" s="96">
        <f t="shared" si="56"/>
        <v>2.463022508038585</v>
      </c>
      <c r="P128" s="96"/>
      <c r="Q128" s="96">
        <f t="shared" si="57"/>
        <v>1.0551644862405367</v>
      </c>
      <c r="R128" s="96"/>
      <c r="S128" s="96">
        <v>47.74</v>
      </c>
      <c r="T128" s="96">
        <v>51.9</v>
      </c>
      <c r="U128" s="96">
        <f t="shared" si="48"/>
        <v>9.1984585741811191</v>
      </c>
      <c r="V128" s="96">
        <f t="shared" si="58"/>
        <v>2.6341893417846967</v>
      </c>
      <c r="W128" s="96">
        <v>4.9400000000000004</v>
      </c>
      <c r="X128" s="96">
        <v>23.8</v>
      </c>
      <c r="Y128" s="96">
        <f t="shared" si="39"/>
        <v>2.0756302521008405</v>
      </c>
      <c r="Z128" s="98">
        <f t="shared" si="59"/>
        <v>0.84736252915381716</v>
      </c>
      <c r="AA128" s="99">
        <f t="shared" si="60"/>
        <v>71.546570826471154</v>
      </c>
      <c r="AB128" s="99">
        <f t="shared" si="61"/>
        <v>16.20248840247379</v>
      </c>
      <c r="AE128" s="94">
        <v>45</v>
      </c>
      <c r="AF128" s="94">
        <v>20</v>
      </c>
      <c r="AG128" s="94">
        <v>22</v>
      </c>
      <c r="AH128" s="94">
        <v>12</v>
      </c>
      <c r="AI128" s="95">
        <v>28.6</v>
      </c>
      <c r="AJ128" s="95">
        <v>8.9</v>
      </c>
      <c r="AK128" s="97">
        <v>0.26100000000000001</v>
      </c>
    </row>
    <row r="129" spans="1:37" x14ac:dyDescent="0.2">
      <c r="A129" s="118" t="s">
        <v>373</v>
      </c>
      <c r="B129" s="121">
        <f t="shared" si="53"/>
        <v>7.0885499999999997</v>
      </c>
      <c r="C129" s="119">
        <v>80</v>
      </c>
      <c r="D129" s="119">
        <v>40</v>
      </c>
      <c r="E129" s="120">
        <v>8</v>
      </c>
      <c r="F129" s="120">
        <v>8</v>
      </c>
      <c r="G129" s="120">
        <f t="shared" si="62"/>
        <v>4</v>
      </c>
      <c r="H129" s="121">
        <v>9.0299999999999994</v>
      </c>
      <c r="I129" s="121">
        <v>57.49</v>
      </c>
      <c r="J129" s="121">
        <f t="shared" si="54"/>
        <v>11.339250493096646</v>
      </c>
      <c r="K129" s="121"/>
      <c r="L129" s="121">
        <f t="shared" si="55"/>
        <v>2.5232035044156587</v>
      </c>
      <c r="M129" s="121"/>
      <c r="N129" s="121">
        <v>9.5399999999999991</v>
      </c>
      <c r="O129" s="121">
        <f t="shared" si="56"/>
        <v>3.138157894736842</v>
      </c>
      <c r="P129" s="121"/>
      <c r="Q129" s="121">
        <f t="shared" si="57"/>
        <v>1.0278513537061742</v>
      </c>
      <c r="R129" s="121"/>
      <c r="S129" s="121">
        <v>60.73</v>
      </c>
      <c r="T129" s="121">
        <v>51.5</v>
      </c>
      <c r="U129" s="121">
        <f>S129*10/T129</f>
        <v>11.792233009708736</v>
      </c>
      <c r="V129" s="121">
        <f t="shared" si="58"/>
        <v>2.5933298886579053</v>
      </c>
      <c r="W129" s="121">
        <v>6.3</v>
      </c>
      <c r="X129" s="121">
        <v>23.4</v>
      </c>
      <c r="Y129" s="121">
        <f>W129*10/X129</f>
        <v>2.6923076923076925</v>
      </c>
      <c r="Z129" s="123">
        <f t="shared" si="59"/>
        <v>0.83526906958455682</v>
      </c>
      <c r="AA129" s="99">
        <f t="shared" si="60"/>
        <v>68.971681469282046</v>
      </c>
      <c r="AB129" s="99">
        <f t="shared" si="61"/>
        <v>20.376058434064539</v>
      </c>
      <c r="AE129" s="119">
        <v>45</v>
      </c>
      <c r="AF129" s="119">
        <v>20</v>
      </c>
      <c r="AG129" s="119">
        <v>22</v>
      </c>
      <c r="AH129" s="119">
        <v>12</v>
      </c>
      <c r="AI129" s="120">
        <v>29.3</v>
      </c>
      <c r="AJ129" s="120">
        <v>9.6</v>
      </c>
      <c r="AK129" s="122">
        <v>0.252</v>
      </c>
    </row>
    <row r="130" spans="1:37" x14ac:dyDescent="0.2">
      <c r="A130" s="118" t="s">
        <v>374</v>
      </c>
      <c r="B130" s="121">
        <f t="shared" si="53"/>
        <v>7.3633000000000006</v>
      </c>
      <c r="C130" s="119">
        <v>80</v>
      </c>
      <c r="D130" s="119">
        <v>60</v>
      </c>
      <c r="E130" s="120">
        <v>7</v>
      </c>
      <c r="F130" s="120">
        <v>8</v>
      </c>
      <c r="G130" s="120">
        <f t="shared" si="62"/>
        <v>4</v>
      </c>
      <c r="H130" s="121">
        <v>9.3800000000000008</v>
      </c>
      <c r="I130" s="121">
        <v>59</v>
      </c>
      <c r="J130" s="121">
        <f t="shared" si="54"/>
        <v>10.746812386156648</v>
      </c>
      <c r="K130" s="121"/>
      <c r="L130" s="121">
        <f t="shared" si="55"/>
        <v>2.5079829899818655</v>
      </c>
      <c r="M130" s="121"/>
      <c r="N130" s="121">
        <v>28.37</v>
      </c>
      <c r="O130" s="121">
        <f t="shared" si="56"/>
        <v>6.3325892857142856</v>
      </c>
      <c r="P130" s="121"/>
      <c r="Q130" s="121">
        <f t="shared" si="57"/>
        <v>1.7391147908817115</v>
      </c>
      <c r="R130" s="121"/>
      <c r="S130" s="121">
        <v>72.260000000000005</v>
      </c>
      <c r="T130" s="121">
        <v>55.5</v>
      </c>
      <c r="U130" s="121">
        <f t="shared" ref="U130:U153" si="63">S130*10/T130</f>
        <v>13.019819819819821</v>
      </c>
      <c r="V130" s="121">
        <f t="shared" si="58"/>
        <v>2.7755404398919286</v>
      </c>
      <c r="W130" s="121">
        <v>15.12</v>
      </c>
      <c r="X130" s="121">
        <v>29.1</v>
      </c>
      <c r="Y130" s="121">
        <f t="shared" ref="Y130:Y153" si="64">W130*10/X130</f>
        <v>5.1958762886597931</v>
      </c>
      <c r="Z130" s="123">
        <f t="shared" si="59"/>
        <v>1.2696221085454769</v>
      </c>
      <c r="AA130" s="99">
        <f t="shared" si="60"/>
        <v>72.302470520370719</v>
      </c>
      <c r="AB130" s="99">
        <f t="shared" si="61"/>
        <v>19.304299554593005</v>
      </c>
      <c r="AE130" s="119">
        <v>45</v>
      </c>
      <c r="AF130" s="119">
        <v>20</v>
      </c>
      <c r="AG130" s="119">
        <v>35</v>
      </c>
      <c r="AH130" s="119">
        <v>16</v>
      </c>
      <c r="AI130" s="120">
        <v>25.1</v>
      </c>
      <c r="AJ130" s="120">
        <v>15.2</v>
      </c>
      <c r="AK130" s="122">
        <v>0.55000000000000004</v>
      </c>
    </row>
    <row r="131" spans="1:37" x14ac:dyDescent="0.2">
      <c r="A131" s="118" t="s">
        <v>375</v>
      </c>
      <c r="B131" s="121">
        <f t="shared" ref="B131:B153" si="65">0.1*7.85*H131</f>
        <v>8.3445500000000017</v>
      </c>
      <c r="C131" s="119">
        <v>80</v>
      </c>
      <c r="D131" s="119">
        <v>60</v>
      </c>
      <c r="E131" s="120">
        <v>8</v>
      </c>
      <c r="F131" s="120">
        <v>8</v>
      </c>
      <c r="G131" s="120">
        <f t="shared" si="62"/>
        <v>4</v>
      </c>
      <c r="H131" s="121">
        <v>10.63</v>
      </c>
      <c r="I131" s="121">
        <v>66.28</v>
      </c>
      <c r="J131" s="121">
        <f t="shared" ref="J131:J153" si="66">I131*10/($C131-$AI131)</f>
        <v>12.161467889908256</v>
      </c>
      <c r="K131" s="121"/>
      <c r="L131" s="121">
        <f t="shared" ref="L131:L153" si="67">SQRT(I131/H131)</f>
        <v>2.4970349302894435</v>
      </c>
      <c r="M131" s="121"/>
      <c r="N131" s="121">
        <v>31.79</v>
      </c>
      <c r="O131" s="121">
        <f t="shared" ref="O131:O153" si="68">$N131*10/($D131-$AJ131)</f>
        <v>7.1599099099099099</v>
      </c>
      <c r="P131" s="121"/>
      <c r="Q131" s="121">
        <f t="shared" ref="Q131:Q153" si="69">SQRT(N131/H131)</f>
        <v>1.7293330108098253</v>
      </c>
      <c r="R131" s="121"/>
      <c r="S131" s="121">
        <v>81</v>
      </c>
      <c r="T131" s="121">
        <v>55.3</v>
      </c>
      <c r="U131" s="121">
        <f t="shared" si="63"/>
        <v>14.647377938517179</v>
      </c>
      <c r="V131" s="121">
        <f t="shared" ref="V131:V153" si="70">SQRT(S131/H131)</f>
        <v>2.7604245245928496</v>
      </c>
      <c r="W131" s="121">
        <v>17.059999999999999</v>
      </c>
      <c r="X131" s="121">
        <v>29.1</v>
      </c>
      <c r="Y131" s="121">
        <f t="shared" si="64"/>
        <v>5.8625429553264601</v>
      </c>
      <c r="Z131" s="123">
        <f t="shared" ref="Z131:Z153" si="71">SQRT(W131/H131)</f>
        <v>1.2668432482419363</v>
      </c>
      <c r="AA131" s="99">
        <f t="shared" ref="AA131:AA153" si="72">C131-(C131-E131)*E131/(2*D131)-(D131-2*E131)*E131/(2*D131)-PI()*E131*E131/(4*D131)-(1-PI()/4)*F131*F131/(2*D131)</f>
        <v>71.314454312854693</v>
      </c>
      <c r="AB131" s="99">
        <f t="shared" ref="AB131:AB153" si="73">((C131-2*E131)*(AA131-C131/2)*E131+((AA131-C131+E131)^2+(C131-AA131)^2)*(D131-E131)/2+PI()*E131*E131/4*AA131+(1-PI()/4)*F131*F131*((10-3*PI())/(12-3*PI())*F131+AA131-C131+E131))/1000</f>
        <v>21.606408824235867</v>
      </c>
      <c r="AE131" s="119">
        <v>45</v>
      </c>
      <c r="AF131" s="119">
        <v>20</v>
      </c>
      <c r="AG131" s="119">
        <v>35</v>
      </c>
      <c r="AH131" s="119">
        <v>16</v>
      </c>
      <c r="AI131" s="120">
        <v>25.5</v>
      </c>
      <c r="AJ131" s="120">
        <v>15.6</v>
      </c>
      <c r="AK131" s="122">
        <v>0.54700000000000004</v>
      </c>
    </row>
    <row r="132" spans="1:37" x14ac:dyDescent="0.2">
      <c r="A132" s="118" t="s">
        <v>376</v>
      </c>
      <c r="B132" s="121">
        <f t="shared" si="65"/>
        <v>6.5783000000000005</v>
      </c>
      <c r="C132" s="119">
        <v>80</v>
      </c>
      <c r="D132" s="119">
        <v>65</v>
      </c>
      <c r="E132" s="120">
        <v>6</v>
      </c>
      <c r="F132" s="120">
        <v>6</v>
      </c>
      <c r="G132" s="120">
        <f t="shared" si="62"/>
        <v>3</v>
      </c>
      <c r="H132" s="121">
        <v>8.3800000000000008</v>
      </c>
      <c r="I132" s="121">
        <v>53.16</v>
      </c>
      <c r="J132" s="121">
        <f t="shared" si="66"/>
        <v>9.5098389982110891</v>
      </c>
      <c r="K132" s="121"/>
      <c r="L132" s="121">
        <f t="shared" si="67"/>
        <v>2.5186654040703971</v>
      </c>
      <c r="M132" s="121"/>
      <c r="N132" s="121">
        <v>31.54</v>
      </c>
      <c r="O132" s="121">
        <f t="shared" si="68"/>
        <v>6.5165289256198342</v>
      </c>
      <c r="P132" s="121"/>
      <c r="Q132" s="121">
        <f t="shared" si="69"/>
        <v>1.9400317395233497</v>
      </c>
      <c r="R132" s="121"/>
      <c r="S132" s="121">
        <v>68.97</v>
      </c>
      <c r="T132" s="121">
        <v>56</v>
      </c>
      <c r="U132" s="121">
        <f t="shared" si="63"/>
        <v>12.31607142857143</v>
      </c>
      <c r="V132" s="121">
        <f t="shared" si="70"/>
        <v>2.8688517324061613</v>
      </c>
      <c r="W132" s="121">
        <v>15.73</v>
      </c>
      <c r="X132" s="121">
        <v>29.6</v>
      </c>
      <c r="Y132" s="121">
        <f t="shared" si="64"/>
        <v>5.3141891891891895</v>
      </c>
      <c r="Z132" s="123">
        <f t="shared" si="71"/>
        <v>1.3700687229074533</v>
      </c>
      <c r="AA132" s="99">
        <f t="shared" si="72"/>
        <v>73.64404358552072</v>
      </c>
      <c r="AB132" s="99">
        <f t="shared" si="73"/>
        <v>17.012094219865347</v>
      </c>
      <c r="AE132" s="119">
        <v>45</v>
      </c>
      <c r="AF132" s="119">
        <v>20</v>
      </c>
      <c r="AG132" s="119">
        <v>35</v>
      </c>
      <c r="AH132" s="119">
        <v>16</v>
      </c>
      <c r="AI132" s="120">
        <v>24.1</v>
      </c>
      <c r="AJ132" s="120">
        <v>16.600000000000001</v>
      </c>
      <c r="AK132" s="122">
        <v>0.65</v>
      </c>
    </row>
    <row r="133" spans="1:37" x14ac:dyDescent="0.2">
      <c r="A133" s="118" t="s">
        <v>377</v>
      </c>
      <c r="B133" s="121">
        <f t="shared" si="65"/>
        <v>8.65855</v>
      </c>
      <c r="C133" s="119">
        <v>80</v>
      </c>
      <c r="D133" s="119">
        <v>65</v>
      </c>
      <c r="E133" s="120">
        <v>8</v>
      </c>
      <c r="F133" s="120">
        <v>8</v>
      </c>
      <c r="G133" s="120">
        <f t="shared" si="62"/>
        <v>4</v>
      </c>
      <c r="H133" s="121">
        <v>11.03</v>
      </c>
      <c r="I133" s="121">
        <v>68.08</v>
      </c>
      <c r="J133" s="121">
        <f t="shared" si="66"/>
        <v>12.311030741410487</v>
      </c>
      <c r="K133" s="121"/>
      <c r="L133" s="121">
        <f t="shared" si="67"/>
        <v>2.4844028416505015</v>
      </c>
      <c r="M133" s="121"/>
      <c r="N133" s="121">
        <v>40.11</v>
      </c>
      <c r="O133" s="121">
        <f t="shared" si="68"/>
        <v>8.4088050314465406</v>
      </c>
      <c r="P133" s="121"/>
      <c r="Q133" s="121">
        <f t="shared" si="69"/>
        <v>1.9069467890348528</v>
      </c>
      <c r="R133" s="121"/>
      <c r="S133" s="121">
        <v>87.95</v>
      </c>
      <c r="T133" s="121">
        <v>55.8</v>
      </c>
      <c r="U133" s="121">
        <f t="shared" si="63"/>
        <v>15.761648745519715</v>
      </c>
      <c r="V133" s="121">
        <f t="shared" si="70"/>
        <v>2.8237754990266124</v>
      </c>
      <c r="W133" s="121">
        <v>20.239999999999998</v>
      </c>
      <c r="X133" s="121">
        <v>29.5</v>
      </c>
      <c r="Y133" s="121">
        <f t="shared" si="64"/>
        <v>6.8610169491525417</v>
      </c>
      <c r="Z133" s="123">
        <f t="shared" si="71"/>
        <v>1.3546200452187438</v>
      </c>
      <c r="AA133" s="99">
        <f t="shared" si="72"/>
        <v>71.674880904173563</v>
      </c>
      <c r="AB133" s="99">
        <f t="shared" si="73"/>
        <v>21.818668290752292</v>
      </c>
      <c r="AE133" s="119">
        <v>45</v>
      </c>
      <c r="AF133" s="119">
        <v>20</v>
      </c>
      <c r="AG133" s="119">
        <v>35</v>
      </c>
      <c r="AH133" s="119">
        <v>16</v>
      </c>
      <c r="AI133" s="120">
        <v>24.7</v>
      </c>
      <c r="AJ133" s="120">
        <v>17.3</v>
      </c>
      <c r="AK133" s="122">
        <v>0.64400000000000002</v>
      </c>
    </row>
    <row r="134" spans="1:37" x14ac:dyDescent="0.2">
      <c r="A134" s="118" t="s">
        <v>378</v>
      </c>
      <c r="B134" s="121">
        <f t="shared" si="65"/>
        <v>10.68385</v>
      </c>
      <c r="C134" s="119">
        <v>80</v>
      </c>
      <c r="D134" s="119">
        <v>65</v>
      </c>
      <c r="E134" s="120">
        <v>10</v>
      </c>
      <c r="F134" s="120">
        <v>10</v>
      </c>
      <c r="G134" s="120">
        <f t="shared" si="62"/>
        <v>5</v>
      </c>
      <c r="H134" s="121">
        <v>13.61</v>
      </c>
      <c r="I134" s="121">
        <v>81.760000000000005</v>
      </c>
      <c r="J134" s="121">
        <f t="shared" si="66"/>
        <v>14.974358974358974</v>
      </c>
      <c r="K134" s="121"/>
      <c r="L134" s="121">
        <f t="shared" si="67"/>
        <v>2.4509890939321983</v>
      </c>
      <c r="M134" s="121"/>
      <c r="N134" s="121">
        <v>47.87</v>
      </c>
      <c r="O134" s="121">
        <f t="shared" si="68"/>
        <v>10.185106382978724</v>
      </c>
      <c r="P134" s="121"/>
      <c r="Q134" s="121">
        <f t="shared" si="69"/>
        <v>1.8754377397424467</v>
      </c>
      <c r="R134" s="121"/>
      <c r="S134" s="121">
        <v>105.11</v>
      </c>
      <c r="T134" s="121">
        <v>55.7</v>
      </c>
      <c r="U134" s="121">
        <f t="shared" si="63"/>
        <v>18.870736086175938</v>
      </c>
      <c r="V134" s="121">
        <f t="shared" si="70"/>
        <v>2.7790282106769673</v>
      </c>
      <c r="W134" s="121">
        <v>24.52</v>
      </c>
      <c r="X134" s="121">
        <v>29.4</v>
      </c>
      <c r="Y134" s="121">
        <f t="shared" si="64"/>
        <v>8.3401360544217695</v>
      </c>
      <c r="Z134" s="123">
        <f t="shared" si="71"/>
        <v>1.3422430698224548</v>
      </c>
      <c r="AA134" s="99">
        <f t="shared" si="72"/>
        <v>69.780462951232721</v>
      </c>
      <c r="AB134" s="99">
        <f t="shared" si="73"/>
        <v>26.265442564770911</v>
      </c>
      <c r="AE134" s="119">
        <v>45</v>
      </c>
      <c r="AF134" s="119">
        <v>20</v>
      </c>
      <c r="AG134" s="119">
        <v>35</v>
      </c>
      <c r="AH134" s="119">
        <v>16</v>
      </c>
      <c r="AI134" s="120">
        <v>25.4</v>
      </c>
      <c r="AJ134" s="120">
        <v>18</v>
      </c>
      <c r="AK134" s="122">
        <v>0.63900000000000001</v>
      </c>
    </row>
    <row r="135" spans="1:37" s="99" customFormat="1" x14ac:dyDescent="0.2">
      <c r="A135" s="141" t="s">
        <v>379</v>
      </c>
      <c r="B135" s="103">
        <f t="shared" si="65"/>
        <v>9.6005500000000001</v>
      </c>
      <c r="C135" s="101">
        <v>90</v>
      </c>
      <c r="D135" s="101">
        <v>70</v>
      </c>
      <c r="E135" s="102">
        <v>8</v>
      </c>
      <c r="F135" s="102">
        <v>8</v>
      </c>
      <c r="G135" s="102">
        <f t="shared" si="62"/>
        <v>4</v>
      </c>
      <c r="H135" s="103">
        <v>12.23</v>
      </c>
      <c r="I135" s="103">
        <v>97.3</v>
      </c>
      <c r="J135" s="103">
        <f t="shared" si="66"/>
        <v>15.693548387096774</v>
      </c>
      <c r="K135" s="103"/>
      <c r="L135" s="103">
        <f t="shared" si="67"/>
        <v>2.8206109763028699</v>
      </c>
      <c r="M135" s="103"/>
      <c r="N135" s="103">
        <v>51.4</v>
      </c>
      <c r="O135" s="103">
        <f t="shared" si="68"/>
        <v>9.9036608863198463</v>
      </c>
      <c r="P135" s="103"/>
      <c r="Q135" s="103">
        <f t="shared" si="69"/>
        <v>2.0500683035108098</v>
      </c>
      <c r="R135" s="103"/>
      <c r="S135" s="103">
        <v>122</v>
      </c>
      <c r="T135" s="103">
        <v>62.6</v>
      </c>
      <c r="U135" s="103">
        <f t="shared" si="63"/>
        <v>19.488817891373802</v>
      </c>
      <c r="V135" s="103">
        <f t="shared" si="70"/>
        <v>3.1583967697798325</v>
      </c>
      <c r="W135" s="103">
        <v>26.7</v>
      </c>
      <c r="X135" s="103">
        <v>33</v>
      </c>
      <c r="Y135" s="103">
        <f t="shared" si="64"/>
        <v>8.0909090909090917</v>
      </c>
      <c r="Z135" s="105">
        <f t="shared" si="71"/>
        <v>1.4775507346092165</v>
      </c>
      <c r="AA135" s="99">
        <f t="shared" si="72"/>
        <v>81.41238941101831</v>
      </c>
      <c r="AB135" s="99">
        <f t="shared" si="73"/>
        <v>27.961702418945485</v>
      </c>
      <c r="AE135" s="101">
        <v>50</v>
      </c>
      <c r="AF135" s="101">
        <v>20</v>
      </c>
      <c r="AG135" s="101">
        <v>40</v>
      </c>
      <c r="AH135" s="101">
        <v>16</v>
      </c>
      <c r="AI135" s="102">
        <v>28</v>
      </c>
      <c r="AJ135" s="102">
        <v>18.100000000000001</v>
      </c>
      <c r="AK135" s="104">
        <v>0.59199999999999997</v>
      </c>
    </row>
    <row r="136" spans="1:37" x14ac:dyDescent="0.2">
      <c r="A136" s="142" t="s">
        <v>380</v>
      </c>
      <c r="B136" s="109">
        <f t="shared" si="65"/>
        <v>10.738799999999999</v>
      </c>
      <c r="C136" s="107">
        <v>90</v>
      </c>
      <c r="D136" s="107">
        <v>70</v>
      </c>
      <c r="E136" s="108">
        <v>9</v>
      </c>
      <c r="F136" s="108">
        <v>8</v>
      </c>
      <c r="G136" s="108">
        <f t="shared" si="62"/>
        <v>4</v>
      </c>
      <c r="H136" s="109">
        <v>13.68</v>
      </c>
      <c r="I136" s="109">
        <v>107.5</v>
      </c>
      <c r="J136" s="109">
        <f t="shared" si="66"/>
        <v>17.423014586709886</v>
      </c>
      <c r="K136" s="109"/>
      <c r="L136" s="109">
        <f t="shared" si="67"/>
        <v>2.8032458212762799</v>
      </c>
      <c r="M136" s="109"/>
      <c r="N136" s="109">
        <v>56.6</v>
      </c>
      <c r="O136" s="109">
        <f t="shared" si="68"/>
        <v>10.968992248062015</v>
      </c>
      <c r="P136" s="109"/>
      <c r="Q136" s="109">
        <f t="shared" si="69"/>
        <v>2.034066591974018</v>
      </c>
      <c r="R136" s="109"/>
      <c r="S136" s="109">
        <v>134.1</v>
      </c>
      <c r="T136" s="109">
        <v>62.6</v>
      </c>
      <c r="U136" s="109">
        <f t="shared" si="63"/>
        <v>21.421725239616613</v>
      </c>
      <c r="V136" s="109">
        <f t="shared" si="70"/>
        <v>3.130915453816562</v>
      </c>
      <c r="W136" s="109">
        <v>30.1</v>
      </c>
      <c r="X136" s="109">
        <v>34.4</v>
      </c>
      <c r="Y136" s="109">
        <f t="shared" si="64"/>
        <v>8.75</v>
      </c>
      <c r="Z136" s="111">
        <f t="shared" si="71"/>
        <v>1.4833382613756105</v>
      </c>
      <c r="AA136" s="99">
        <f t="shared" si="72"/>
        <v>80.443078428478927</v>
      </c>
      <c r="AB136" s="99">
        <f t="shared" si="73"/>
        <v>30.896745912695955</v>
      </c>
      <c r="AE136" s="107">
        <v>50</v>
      </c>
      <c r="AF136" s="107">
        <v>20</v>
      </c>
      <c r="AG136" s="107">
        <v>40</v>
      </c>
      <c r="AH136" s="107">
        <v>16</v>
      </c>
      <c r="AI136" s="108">
        <v>28.3</v>
      </c>
      <c r="AJ136" s="108">
        <v>18.399999999999999</v>
      </c>
      <c r="AK136" s="110">
        <v>0.58799999999999997</v>
      </c>
    </row>
    <row r="137" spans="1:37" x14ac:dyDescent="0.2">
      <c r="A137" s="143" t="s">
        <v>381</v>
      </c>
      <c r="B137" s="115">
        <f t="shared" si="65"/>
        <v>11.845650000000001</v>
      </c>
      <c r="C137" s="113">
        <v>90</v>
      </c>
      <c r="D137" s="113">
        <v>70</v>
      </c>
      <c r="E137" s="114">
        <v>10</v>
      </c>
      <c r="F137" s="114">
        <v>8</v>
      </c>
      <c r="G137" s="114">
        <f t="shared" si="62"/>
        <v>4</v>
      </c>
      <c r="H137" s="115">
        <v>15.09</v>
      </c>
      <c r="I137" s="115">
        <v>117.6</v>
      </c>
      <c r="J137" s="115">
        <f t="shared" si="66"/>
        <v>19.184339314845026</v>
      </c>
      <c r="K137" s="115"/>
      <c r="L137" s="115">
        <f t="shared" si="67"/>
        <v>2.7916376119869213</v>
      </c>
      <c r="M137" s="115"/>
      <c r="N137" s="115">
        <v>61.8</v>
      </c>
      <c r="O137" s="115">
        <f t="shared" si="68"/>
        <v>12.0703125</v>
      </c>
      <c r="P137" s="115"/>
      <c r="Q137" s="115">
        <f t="shared" si="69"/>
        <v>2.0237162437920175</v>
      </c>
      <c r="R137" s="115"/>
      <c r="S137" s="115">
        <v>146.5</v>
      </c>
      <c r="T137" s="115">
        <v>62.6</v>
      </c>
      <c r="U137" s="115">
        <f t="shared" si="63"/>
        <v>23.402555910543132</v>
      </c>
      <c r="V137" s="115">
        <f t="shared" si="70"/>
        <v>3.1158331421385155</v>
      </c>
      <c r="W137" s="115">
        <v>32.9</v>
      </c>
      <c r="X137" s="115">
        <v>34.5</v>
      </c>
      <c r="Y137" s="115">
        <f t="shared" si="64"/>
        <v>9.5362318840579707</v>
      </c>
      <c r="Z137" s="117">
        <f t="shared" si="71"/>
        <v>1.4765675813856065</v>
      </c>
      <c r="AA137" s="99">
        <f t="shared" si="72"/>
        <v>79.494184641271062</v>
      </c>
      <c r="AB137" s="99">
        <f t="shared" si="73"/>
        <v>33.725823753647276</v>
      </c>
      <c r="AE137" s="113">
        <v>50</v>
      </c>
      <c r="AF137" s="113">
        <v>20</v>
      </c>
      <c r="AG137" s="113">
        <v>40</v>
      </c>
      <c r="AH137" s="113">
        <v>16</v>
      </c>
      <c r="AI137" s="114">
        <v>28.7</v>
      </c>
      <c r="AJ137" s="114">
        <v>18.8</v>
      </c>
      <c r="AK137" s="116">
        <v>0.58399999999999996</v>
      </c>
    </row>
    <row r="138" spans="1:37" s="99" customFormat="1" x14ac:dyDescent="0.2">
      <c r="A138" s="144" t="s">
        <v>382</v>
      </c>
      <c r="B138" s="96">
        <f t="shared" si="65"/>
        <v>12.1675</v>
      </c>
      <c r="C138" s="94">
        <v>100</v>
      </c>
      <c r="D138" s="94">
        <v>80</v>
      </c>
      <c r="E138" s="95">
        <v>9</v>
      </c>
      <c r="F138" s="95">
        <v>8</v>
      </c>
      <c r="G138" s="95">
        <f t="shared" si="62"/>
        <v>4</v>
      </c>
      <c r="H138" s="96">
        <v>15.5</v>
      </c>
      <c r="I138" s="96">
        <v>150</v>
      </c>
      <c r="J138" s="96">
        <f t="shared" si="66"/>
        <v>21.582733812949641</v>
      </c>
      <c r="K138" s="96"/>
      <c r="L138" s="96">
        <f t="shared" si="67"/>
        <v>3.1108550841912757</v>
      </c>
      <c r="M138" s="96"/>
      <c r="N138" s="96">
        <v>86</v>
      </c>
      <c r="O138" s="96">
        <f t="shared" si="68"/>
        <v>14.576271186440678</v>
      </c>
      <c r="P138" s="96"/>
      <c r="Q138" s="96">
        <f t="shared" si="69"/>
        <v>2.3555014533585399</v>
      </c>
      <c r="R138" s="96"/>
      <c r="S138" s="96">
        <v>193</v>
      </c>
      <c r="T138" s="96">
        <v>70.099999999999994</v>
      </c>
      <c r="U138" s="96">
        <f t="shared" si="63"/>
        <v>27.532097004279603</v>
      </c>
      <c r="V138" s="96">
        <f t="shared" si="70"/>
        <v>3.5286843020063166</v>
      </c>
      <c r="W138" s="96">
        <v>43</v>
      </c>
      <c r="X138" s="96">
        <v>37.5</v>
      </c>
      <c r="Y138" s="96">
        <f t="shared" si="64"/>
        <v>11.466666666666667</v>
      </c>
      <c r="Z138" s="98">
        <f t="shared" si="71"/>
        <v>1.6655910507645917</v>
      </c>
      <c r="AA138" s="99">
        <f t="shared" si="72"/>
        <v>90.512693624919052</v>
      </c>
      <c r="AB138" s="99">
        <f t="shared" si="73"/>
        <v>38.878135520954366</v>
      </c>
      <c r="AE138" s="94">
        <v>55</v>
      </c>
      <c r="AF138" s="94">
        <v>24</v>
      </c>
      <c r="AG138" s="94">
        <v>45</v>
      </c>
      <c r="AH138" s="94">
        <v>20</v>
      </c>
      <c r="AI138" s="95">
        <f>C138-69.5</f>
        <v>30.5</v>
      </c>
      <c r="AJ138" s="95">
        <f>D138-59</f>
        <v>21</v>
      </c>
      <c r="AK138" s="97">
        <v>0.62</v>
      </c>
    </row>
    <row r="139" spans="1:37" x14ac:dyDescent="0.2">
      <c r="A139" s="145" t="s">
        <v>383</v>
      </c>
      <c r="B139" s="121">
        <f t="shared" si="65"/>
        <v>13.423500000000002</v>
      </c>
      <c r="C139" s="119">
        <v>100</v>
      </c>
      <c r="D139" s="119">
        <v>80</v>
      </c>
      <c r="E139" s="120">
        <v>10</v>
      </c>
      <c r="F139" s="120">
        <v>9</v>
      </c>
      <c r="G139" s="120">
        <f t="shared" si="62"/>
        <v>4.5</v>
      </c>
      <c r="H139" s="121">
        <v>17.100000000000001</v>
      </c>
      <c r="I139" s="121">
        <v>166</v>
      </c>
      <c r="J139" s="121">
        <f t="shared" si="66"/>
        <v>24.127906976744185</v>
      </c>
      <c r="K139" s="121"/>
      <c r="L139" s="121">
        <f t="shared" si="67"/>
        <v>3.1157025434372398</v>
      </c>
      <c r="M139" s="121"/>
      <c r="N139" s="121">
        <v>93.9</v>
      </c>
      <c r="O139" s="121">
        <f t="shared" si="68"/>
        <v>15.996592844974446</v>
      </c>
      <c r="P139" s="121"/>
      <c r="Q139" s="121">
        <f t="shared" si="69"/>
        <v>2.3433369519075651</v>
      </c>
      <c r="R139" s="121"/>
      <c r="S139" s="121">
        <v>211</v>
      </c>
      <c r="T139" s="121">
        <v>69.400000000000006</v>
      </c>
      <c r="U139" s="121">
        <f t="shared" si="63"/>
        <v>30.403458213256481</v>
      </c>
      <c r="V139" s="121">
        <f t="shared" si="70"/>
        <v>3.5127170803453138</v>
      </c>
      <c r="W139" s="121">
        <v>48.6</v>
      </c>
      <c r="X139" s="121">
        <v>36.799999999999997</v>
      </c>
      <c r="Y139" s="121">
        <f t="shared" si="64"/>
        <v>13.206521739130435</v>
      </c>
      <c r="Z139" s="123">
        <f t="shared" si="71"/>
        <v>1.6858544608470492</v>
      </c>
      <c r="AA139" s="99">
        <f t="shared" si="72"/>
        <v>89.534610115973138</v>
      </c>
      <c r="AB139" s="99">
        <f t="shared" si="73"/>
        <v>42.52750897169885</v>
      </c>
      <c r="AE139" s="119">
        <v>55</v>
      </c>
      <c r="AF139" s="119">
        <v>24</v>
      </c>
      <c r="AG139" s="119">
        <v>45</v>
      </c>
      <c r="AH139" s="119">
        <v>20</v>
      </c>
      <c r="AI139" s="120">
        <v>31.2</v>
      </c>
      <c r="AJ139" s="120">
        <v>21.3</v>
      </c>
      <c r="AK139" s="122">
        <v>0.62</v>
      </c>
    </row>
    <row r="140" spans="1:37" x14ac:dyDescent="0.2">
      <c r="A140" s="145" t="s">
        <v>384</v>
      </c>
      <c r="B140" s="121">
        <f t="shared" si="65"/>
        <v>14.679500000000001</v>
      </c>
      <c r="C140" s="119">
        <v>100</v>
      </c>
      <c r="D140" s="119">
        <v>80</v>
      </c>
      <c r="E140" s="120">
        <v>11</v>
      </c>
      <c r="F140" s="120">
        <v>9</v>
      </c>
      <c r="G140" s="120">
        <f t="shared" si="62"/>
        <v>4.5</v>
      </c>
      <c r="H140" s="121">
        <v>18.7</v>
      </c>
      <c r="I140" s="121">
        <v>180</v>
      </c>
      <c r="J140" s="121">
        <f t="shared" si="66"/>
        <v>26.277372262773724</v>
      </c>
      <c r="K140" s="121"/>
      <c r="L140" s="121">
        <f t="shared" si="67"/>
        <v>3.1025261399701152</v>
      </c>
      <c r="M140" s="121"/>
      <c r="N140" s="121">
        <v>102</v>
      </c>
      <c r="O140" s="121">
        <f t="shared" si="68"/>
        <v>17.465753424657535</v>
      </c>
      <c r="P140" s="121"/>
      <c r="Q140" s="121">
        <f t="shared" si="69"/>
        <v>2.3354968324845689</v>
      </c>
      <c r="R140" s="121"/>
      <c r="S140" s="121">
        <v>228</v>
      </c>
      <c r="T140" s="121">
        <v>69.5</v>
      </c>
      <c r="U140" s="121">
        <f t="shared" si="63"/>
        <v>32.805755395683455</v>
      </c>
      <c r="V140" s="121">
        <f t="shared" si="70"/>
        <v>3.4917779667361382</v>
      </c>
      <c r="W140" s="121">
        <v>52</v>
      </c>
      <c r="X140" s="121">
        <v>36.799999999999997</v>
      </c>
      <c r="Y140" s="121">
        <f t="shared" si="64"/>
        <v>14.130434782608697</v>
      </c>
      <c r="Z140" s="123">
        <f t="shared" si="71"/>
        <v>1.6675576940848567</v>
      </c>
      <c r="AA140" s="99">
        <f t="shared" si="72"/>
        <v>88.597193098081306</v>
      </c>
      <c r="AB140" s="99">
        <f t="shared" si="73"/>
        <v>46.055433250742297</v>
      </c>
      <c r="AE140" s="119">
        <v>55</v>
      </c>
      <c r="AF140" s="119">
        <v>24</v>
      </c>
      <c r="AG140" s="119">
        <v>45</v>
      </c>
      <c r="AH140" s="119">
        <v>20</v>
      </c>
      <c r="AI140" s="120">
        <v>31.5</v>
      </c>
      <c r="AJ140" s="120">
        <v>21.6</v>
      </c>
      <c r="AK140" s="122">
        <v>0.62</v>
      </c>
    </row>
    <row r="141" spans="1:37" x14ac:dyDescent="0.2">
      <c r="A141" s="145" t="s">
        <v>385</v>
      </c>
      <c r="B141" s="121">
        <f t="shared" si="65"/>
        <v>15.856999999999999</v>
      </c>
      <c r="C141" s="119">
        <v>100</v>
      </c>
      <c r="D141" s="119">
        <v>80</v>
      </c>
      <c r="E141" s="120">
        <v>12</v>
      </c>
      <c r="F141" s="120">
        <v>9</v>
      </c>
      <c r="G141" s="120">
        <f t="shared" si="62"/>
        <v>4.5</v>
      </c>
      <c r="H141" s="121">
        <v>20.2</v>
      </c>
      <c r="I141" s="121">
        <v>193</v>
      </c>
      <c r="J141" s="121">
        <f t="shared" si="66"/>
        <v>28.382352941176471</v>
      </c>
      <c r="K141" s="121"/>
      <c r="L141" s="121">
        <f t="shared" si="67"/>
        <v>3.0910282181734536</v>
      </c>
      <c r="M141" s="121"/>
      <c r="N141" s="121">
        <v>109</v>
      </c>
      <c r="O141" s="121">
        <f t="shared" si="68"/>
        <v>18.825561312607945</v>
      </c>
      <c r="P141" s="121"/>
      <c r="Q141" s="121">
        <f t="shared" si="69"/>
        <v>2.3229377098752337</v>
      </c>
      <c r="R141" s="121"/>
      <c r="S141" s="121">
        <v>246</v>
      </c>
      <c r="T141" s="121">
        <v>69.400000000000006</v>
      </c>
      <c r="U141" s="121">
        <f t="shared" si="63"/>
        <v>35.446685878962533</v>
      </c>
      <c r="V141" s="121">
        <f t="shared" si="70"/>
        <v>3.4897303365420913</v>
      </c>
      <c r="W141" s="121">
        <v>57.1</v>
      </c>
      <c r="X141" s="121">
        <v>37.1</v>
      </c>
      <c r="Y141" s="121">
        <f t="shared" si="64"/>
        <v>15.390835579514825</v>
      </c>
      <c r="Z141" s="123">
        <f t="shared" si="71"/>
        <v>1.6812889915976155</v>
      </c>
      <c r="AA141" s="99">
        <f t="shared" si="72"/>
        <v>87.677641126104547</v>
      </c>
      <c r="AB141" s="99">
        <f t="shared" si="73"/>
        <v>49.473568637086331</v>
      </c>
      <c r="AE141" s="119">
        <v>55</v>
      </c>
      <c r="AF141" s="119">
        <v>24</v>
      </c>
      <c r="AG141" s="119">
        <v>45</v>
      </c>
      <c r="AH141" s="119">
        <v>20</v>
      </c>
      <c r="AI141" s="120">
        <v>32</v>
      </c>
      <c r="AJ141" s="120">
        <v>22.1</v>
      </c>
      <c r="AK141" s="122">
        <v>0.62</v>
      </c>
    </row>
    <row r="142" spans="1:37" s="99" customFormat="1" x14ac:dyDescent="0.2">
      <c r="A142" s="141" t="s">
        <v>386</v>
      </c>
      <c r="B142" s="103">
        <f t="shared" si="65"/>
        <v>12.1675</v>
      </c>
      <c r="C142" s="101">
        <v>120</v>
      </c>
      <c r="D142" s="101">
        <v>80</v>
      </c>
      <c r="E142" s="102">
        <v>8</v>
      </c>
      <c r="F142" s="101">
        <v>11</v>
      </c>
      <c r="G142" s="102">
        <f t="shared" si="62"/>
        <v>5.5</v>
      </c>
      <c r="H142" s="103">
        <v>15.5</v>
      </c>
      <c r="I142" s="103">
        <v>226</v>
      </c>
      <c r="J142" s="103">
        <f t="shared" si="66"/>
        <v>27.66217870257038</v>
      </c>
      <c r="K142" s="103"/>
      <c r="L142" s="103">
        <f t="shared" si="67"/>
        <v>3.8184610985697263</v>
      </c>
      <c r="M142" s="103"/>
      <c r="N142" s="103">
        <v>80.8</v>
      </c>
      <c r="O142" s="103">
        <f t="shared" si="68"/>
        <v>13.181076672104405</v>
      </c>
      <c r="P142" s="103"/>
      <c r="Q142" s="103">
        <f t="shared" si="69"/>
        <v>2.2831783166906723</v>
      </c>
      <c r="R142" s="103"/>
      <c r="S142" s="103">
        <v>260</v>
      </c>
      <c r="T142" s="103">
        <v>82.3</v>
      </c>
      <c r="U142" s="103">
        <f t="shared" si="63"/>
        <v>31.591737545565007</v>
      </c>
      <c r="V142" s="103">
        <f t="shared" si="70"/>
        <v>4.0956310317687423</v>
      </c>
      <c r="W142" s="103">
        <v>46.6</v>
      </c>
      <c r="X142" s="103">
        <v>42.3</v>
      </c>
      <c r="Y142" s="103">
        <f t="shared" si="64"/>
        <v>11.016548463356974</v>
      </c>
      <c r="Z142" s="105">
        <f t="shared" si="71"/>
        <v>1.7339122275660974</v>
      </c>
      <c r="AA142" s="99">
        <f t="shared" si="72"/>
        <v>110.40938883035136</v>
      </c>
      <c r="AB142" s="99">
        <f t="shared" si="73"/>
        <v>50.915246491962165</v>
      </c>
      <c r="AE142" s="101">
        <v>50</v>
      </c>
      <c r="AF142" s="101">
        <v>24</v>
      </c>
      <c r="AG142" s="101">
        <v>45</v>
      </c>
      <c r="AH142" s="101">
        <v>20</v>
      </c>
      <c r="AI142" s="102">
        <v>38.299999999999997</v>
      </c>
      <c r="AJ142" s="102">
        <v>18.7</v>
      </c>
      <c r="AK142" s="104">
        <v>0.435</v>
      </c>
    </row>
    <row r="143" spans="1:37" x14ac:dyDescent="0.2">
      <c r="A143" s="142" t="s">
        <v>387</v>
      </c>
      <c r="B143" s="109">
        <f t="shared" si="65"/>
        <v>14.993500000000001</v>
      </c>
      <c r="C143" s="107">
        <v>120</v>
      </c>
      <c r="D143" s="107">
        <v>80</v>
      </c>
      <c r="E143" s="107">
        <v>10</v>
      </c>
      <c r="F143" s="107">
        <v>11</v>
      </c>
      <c r="G143" s="108">
        <f t="shared" si="62"/>
        <v>5.5</v>
      </c>
      <c r="H143" s="109">
        <v>19.100000000000001</v>
      </c>
      <c r="I143" s="109">
        <v>276</v>
      </c>
      <c r="J143" s="109">
        <f t="shared" si="66"/>
        <v>34.158415841584159</v>
      </c>
      <c r="K143" s="109"/>
      <c r="L143" s="109">
        <f t="shared" si="67"/>
        <v>3.8013499944236537</v>
      </c>
      <c r="M143" s="109"/>
      <c r="N143" s="109">
        <v>98.1</v>
      </c>
      <c r="O143" s="109">
        <f t="shared" si="68"/>
        <v>16.214876033057852</v>
      </c>
      <c r="P143" s="109"/>
      <c r="Q143" s="109">
        <f t="shared" si="69"/>
        <v>2.2663021983950555</v>
      </c>
      <c r="R143" s="109"/>
      <c r="S143" s="109">
        <v>317</v>
      </c>
      <c r="T143" s="109">
        <v>81.900000000000006</v>
      </c>
      <c r="U143" s="109">
        <f t="shared" si="63"/>
        <v>38.705738705738703</v>
      </c>
      <c r="V143" s="109">
        <f t="shared" si="70"/>
        <v>4.0739242308545034</v>
      </c>
      <c r="W143" s="109">
        <v>56.8</v>
      </c>
      <c r="X143" s="109">
        <v>42.1</v>
      </c>
      <c r="Y143" s="109">
        <f t="shared" si="64"/>
        <v>13.4916864608076</v>
      </c>
      <c r="Z143" s="111">
        <f t="shared" si="71"/>
        <v>1.7244773090791294</v>
      </c>
      <c r="AA143" s="99">
        <f t="shared" si="72"/>
        <v>108.23095965682251</v>
      </c>
      <c r="AB143" s="99">
        <f t="shared" si="73"/>
        <v>61.706658207350806</v>
      </c>
      <c r="AE143" s="107">
        <v>50</v>
      </c>
      <c r="AF143" s="107">
        <v>24</v>
      </c>
      <c r="AG143" s="107">
        <v>45</v>
      </c>
      <c r="AH143" s="107">
        <v>20</v>
      </c>
      <c r="AI143" s="108">
        <v>39.200000000000003</v>
      </c>
      <c r="AJ143" s="108">
        <v>19.5</v>
      </c>
      <c r="AK143" s="110">
        <v>0.435</v>
      </c>
    </row>
    <row r="144" spans="1:37" x14ac:dyDescent="0.2">
      <c r="A144" s="143" t="s">
        <v>388</v>
      </c>
      <c r="B144" s="115">
        <f t="shared" si="65"/>
        <v>17.819500000000001</v>
      </c>
      <c r="C144" s="113">
        <v>120</v>
      </c>
      <c r="D144" s="113">
        <v>80</v>
      </c>
      <c r="E144" s="113">
        <v>12</v>
      </c>
      <c r="F144" s="113">
        <v>11</v>
      </c>
      <c r="G144" s="114">
        <f t="shared" si="62"/>
        <v>5.5</v>
      </c>
      <c r="H144" s="115">
        <v>22.7</v>
      </c>
      <c r="I144" s="115">
        <v>323</v>
      </c>
      <c r="J144" s="115">
        <f t="shared" si="66"/>
        <v>40.375</v>
      </c>
      <c r="K144" s="115"/>
      <c r="L144" s="115">
        <f t="shared" si="67"/>
        <v>3.7721446008693573</v>
      </c>
      <c r="M144" s="115"/>
      <c r="N144" s="114">
        <v>114</v>
      </c>
      <c r="O144" s="115">
        <f t="shared" si="68"/>
        <v>19.095477386934672</v>
      </c>
      <c r="P144" s="115"/>
      <c r="Q144" s="115">
        <f t="shared" si="69"/>
        <v>2.2409878249821129</v>
      </c>
      <c r="R144" s="115"/>
      <c r="S144" s="115">
        <v>371</v>
      </c>
      <c r="T144" s="115">
        <v>81.5</v>
      </c>
      <c r="U144" s="115">
        <f t="shared" si="63"/>
        <v>45.521472392638039</v>
      </c>
      <c r="V144" s="115">
        <f t="shared" si="70"/>
        <v>4.0427233809403482</v>
      </c>
      <c r="W144" s="115">
        <v>66.599999999999994</v>
      </c>
      <c r="X144" s="115">
        <v>42</v>
      </c>
      <c r="Y144" s="115">
        <f t="shared" si="64"/>
        <v>15.857142857142858</v>
      </c>
      <c r="Z144" s="117">
        <f t="shared" si="71"/>
        <v>1.7128691441104935</v>
      </c>
      <c r="AA144" s="99">
        <f t="shared" si="72"/>
        <v>106.12399066695392</v>
      </c>
      <c r="AB144" s="99">
        <f t="shared" si="73"/>
        <v>71.818409103793797</v>
      </c>
      <c r="AE144" s="113">
        <v>50</v>
      </c>
      <c r="AF144" s="113">
        <v>24</v>
      </c>
      <c r="AG144" s="113">
        <v>45</v>
      </c>
      <c r="AH144" s="113">
        <v>20</v>
      </c>
      <c r="AI144" s="114">
        <v>40</v>
      </c>
      <c r="AJ144" s="114">
        <v>20.3</v>
      </c>
      <c r="AK144" s="116">
        <v>0.435</v>
      </c>
    </row>
    <row r="145" spans="1:37" s="99" customFormat="1" x14ac:dyDescent="0.2">
      <c r="A145" s="144" t="s">
        <v>389</v>
      </c>
      <c r="B145" s="96">
        <f t="shared" si="65"/>
        <v>18.212</v>
      </c>
      <c r="C145" s="94">
        <v>150</v>
      </c>
      <c r="D145" s="94">
        <v>90</v>
      </c>
      <c r="E145" s="94">
        <v>10</v>
      </c>
      <c r="F145" s="94">
        <v>12</v>
      </c>
      <c r="G145" s="95">
        <f t="shared" si="62"/>
        <v>6</v>
      </c>
      <c r="H145" s="96">
        <v>23.2</v>
      </c>
      <c r="I145" s="96">
        <v>533</v>
      </c>
      <c r="J145" s="96">
        <f t="shared" si="66"/>
        <v>53.3</v>
      </c>
      <c r="K145" s="96"/>
      <c r="L145" s="96">
        <f t="shared" si="67"/>
        <v>4.793134457850571</v>
      </c>
      <c r="M145" s="96"/>
      <c r="N145" s="95">
        <v>146</v>
      </c>
      <c r="O145" s="96">
        <f t="shared" si="68"/>
        <v>20.977011494252874</v>
      </c>
      <c r="P145" s="96"/>
      <c r="Q145" s="96">
        <f t="shared" si="69"/>
        <v>2.5086058774299049</v>
      </c>
      <c r="R145" s="96"/>
      <c r="S145" s="96">
        <v>591</v>
      </c>
      <c r="T145" s="96">
        <v>101</v>
      </c>
      <c r="U145" s="96">
        <f t="shared" si="63"/>
        <v>58.514851485148512</v>
      </c>
      <c r="V145" s="96">
        <f t="shared" si="70"/>
        <v>5.0471910931759343</v>
      </c>
      <c r="W145" s="96">
        <v>88.2</v>
      </c>
      <c r="X145" s="96">
        <v>50.3</v>
      </c>
      <c r="Y145" s="96">
        <f t="shared" si="64"/>
        <v>17.534791252485089</v>
      </c>
      <c r="Z145" s="98">
        <f t="shared" si="71"/>
        <v>1.9498010508590446</v>
      </c>
      <c r="AA145" s="99">
        <f t="shared" si="72"/>
        <v>137.28898723805412</v>
      </c>
      <c r="AB145" s="99">
        <f t="shared" si="73"/>
        <v>98.514167133698905</v>
      </c>
      <c r="AE145" s="94">
        <v>85</v>
      </c>
      <c r="AF145" s="94">
        <v>27</v>
      </c>
      <c r="AG145" s="94">
        <v>50</v>
      </c>
      <c r="AH145" s="94">
        <v>22</v>
      </c>
      <c r="AI145" s="95">
        <f>C145-100</f>
        <v>50</v>
      </c>
      <c r="AJ145" s="95">
        <v>20.399999999999999</v>
      </c>
      <c r="AK145" s="97">
        <v>0.36099999999999999</v>
      </c>
    </row>
    <row r="146" spans="1:37" x14ac:dyDescent="0.2">
      <c r="A146" s="145" t="s">
        <v>390</v>
      </c>
      <c r="B146" s="121">
        <f t="shared" si="65"/>
        <v>19.860500000000002</v>
      </c>
      <c r="C146" s="119">
        <v>150</v>
      </c>
      <c r="D146" s="119">
        <v>90</v>
      </c>
      <c r="E146" s="119">
        <v>11</v>
      </c>
      <c r="F146" s="119">
        <v>12</v>
      </c>
      <c r="G146" s="120">
        <f t="shared" si="62"/>
        <v>6</v>
      </c>
      <c r="H146" s="121">
        <v>25.3</v>
      </c>
      <c r="I146" s="121">
        <v>580</v>
      </c>
      <c r="J146" s="121">
        <f t="shared" si="66"/>
        <v>58.174523570712132</v>
      </c>
      <c r="K146" s="121"/>
      <c r="L146" s="121">
        <f t="shared" si="67"/>
        <v>4.787995529004883</v>
      </c>
      <c r="M146" s="121"/>
      <c r="N146" s="120">
        <v>158</v>
      </c>
      <c r="O146" s="121">
        <f t="shared" si="68"/>
        <v>22.7994227994228</v>
      </c>
      <c r="P146" s="121"/>
      <c r="Q146" s="121">
        <f t="shared" si="69"/>
        <v>2.4990116623452456</v>
      </c>
      <c r="R146" s="121"/>
      <c r="S146" s="121">
        <v>642</v>
      </c>
      <c r="T146" s="121">
        <v>101</v>
      </c>
      <c r="U146" s="121">
        <f t="shared" si="63"/>
        <v>63.564356435643568</v>
      </c>
      <c r="V146" s="121">
        <f t="shared" si="70"/>
        <v>5.0374094603423138</v>
      </c>
      <c r="W146" s="121">
        <v>95.7</v>
      </c>
      <c r="X146" s="121">
        <v>50.2</v>
      </c>
      <c r="Y146" s="121">
        <f t="shared" si="64"/>
        <v>19.063745019920319</v>
      </c>
      <c r="Z146" s="123">
        <f t="shared" si="71"/>
        <v>1.9448929779430471</v>
      </c>
      <c r="AA146" s="99">
        <f t="shared" si="72"/>
        <v>136.12239433326138</v>
      </c>
      <c r="AB146" s="99">
        <f t="shared" si="73"/>
        <v>106.92468907166456</v>
      </c>
      <c r="AE146" s="119">
        <v>85</v>
      </c>
      <c r="AF146" s="119">
        <v>27</v>
      </c>
      <c r="AG146" s="119">
        <v>50</v>
      </c>
      <c r="AH146" s="119">
        <v>22</v>
      </c>
      <c r="AI146" s="120">
        <v>50.3</v>
      </c>
      <c r="AJ146" s="120">
        <v>20.7</v>
      </c>
      <c r="AK146" s="122">
        <v>0.35899999999999999</v>
      </c>
    </row>
    <row r="147" spans="1:37" x14ac:dyDescent="0.2">
      <c r="A147" s="145" t="s">
        <v>391</v>
      </c>
      <c r="B147" s="121">
        <f t="shared" si="65"/>
        <v>21.587500000000002</v>
      </c>
      <c r="C147" s="119">
        <v>150</v>
      </c>
      <c r="D147" s="119">
        <v>90</v>
      </c>
      <c r="E147" s="119">
        <v>12</v>
      </c>
      <c r="F147" s="119">
        <v>12</v>
      </c>
      <c r="G147" s="120">
        <f t="shared" si="62"/>
        <v>6</v>
      </c>
      <c r="H147" s="121">
        <v>27.5</v>
      </c>
      <c r="I147" s="121">
        <v>627</v>
      </c>
      <c r="J147" s="121">
        <f t="shared" si="66"/>
        <v>63.20564516129032</v>
      </c>
      <c r="K147" s="121"/>
      <c r="L147" s="121">
        <f t="shared" si="67"/>
        <v>4.7749345545253288</v>
      </c>
      <c r="M147" s="121"/>
      <c r="N147" s="120">
        <v>171</v>
      </c>
      <c r="O147" s="121">
        <f t="shared" si="68"/>
        <v>24.854651162790699</v>
      </c>
      <c r="P147" s="121"/>
      <c r="Q147" s="121">
        <f t="shared" si="69"/>
        <v>2.4936282437809005</v>
      </c>
      <c r="R147" s="121"/>
      <c r="S147" s="121">
        <v>695</v>
      </c>
      <c r="T147" s="121">
        <v>101</v>
      </c>
      <c r="U147" s="121">
        <f t="shared" si="63"/>
        <v>68.811881188118818</v>
      </c>
      <c r="V147" s="121">
        <f t="shared" si="70"/>
        <v>5.0271987500721789</v>
      </c>
      <c r="W147" s="120">
        <v>104</v>
      </c>
      <c r="X147" s="121">
        <v>50</v>
      </c>
      <c r="Y147" s="121">
        <f t="shared" si="64"/>
        <v>20.8</v>
      </c>
      <c r="Z147" s="123">
        <f t="shared" si="71"/>
        <v>1.9446897392175908</v>
      </c>
      <c r="AA147" s="99">
        <f t="shared" si="72"/>
        <v>134.97168146928203</v>
      </c>
      <c r="AB147" s="99">
        <f t="shared" si="73"/>
        <v>115.09719055819858</v>
      </c>
      <c r="AE147" s="119">
        <v>85</v>
      </c>
      <c r="AF147" s="119">
        <v>27</v>
      </c>
      <c r="AG147" s="119">
        <v>50</v>
      </c>
      <c r="AH147" s="119">
        <v>22</v>
      </c>
      <c r="AI147" s="120">
        <v>50.8</v>
      </c>
      <c r="AJ147" s="120">
        <v>21.2</v>
      </c>
      <c r="AK147" s="122">
        <v>0.35799999999999998</v>
      </c>
    </row>
    <row r="148" spans="1:37" x14ac:dyDescent="0.2">
      <c r="A148" s="145" t="s">
        <v>392</v>
      </c>
      <c r="B148" s="121">
        <f t="shared" si="65"/>
        <v>23.314499999999999</v>
      </c>
      <c r="C148" s="119">
        <v>150</v>
      </c>
      <c r="D148" s="119">
        <v>90</v>
      </c>
      <c r="E148" s="119">
        <v>13</v>
      </c>
      <c r="F148" s="119">
        <v>12</v>
      </c>
      <c r="G148" s="120">
        <f t="shared" si="62"/>
        <v>6</v>
      </c>
      <c r="H148" s="121">
        <v>29.7</v>
      </c>
      <c r="I148" s="121">
        <v>672</v>
      </c>
      <c r="J148" s="121">
        <f t="shared" si="66"/>
        <v>67.947421638018199</v>
      </c>
      <c r="K148" s="121"/>
      <c r="L148" s="121">
        <f t="shared" si="67"/>
        <v>4.7567071200845055</v>
      </c>
      <c r="M148" s="121"/>
      <c r="N148" s="120">
        <v>182</v>
      </c>
      <c r="O148" s="121">
        <f t="shared" si="68"/>
        <v>26.569343065693431</v>
      </c>
      <c r="P148" s="121"/>
      <c r="Q148" s="121">
        <f t="shared" si="69"/>
        <v>2.4754688703245953</v>
      </c>
      <c r="R148" s="121"/>
      <c r="S148" s="121">
        <v>743</v>
      </c>
      <c r="T148" s="121">
        <v>100</v>
      </c>
      <c r="U148" s="121">
        <f t="shared" si="63"/>
        <v>74.3</v>
      </c>
      <c r="V148" s="121">
        <f t="shared" si="70"/>
        <v>5.0016832183610962</v>
      </c>
      <c r="W148" s="120">
        <v>110</v>
      </c>
      <c r="X148" s="121">
        <v>19.8</v>
      </c>
      <c r="Y148" s="121">
        <f t="shared" si="64"/>
        <v>55.55555555555555</v>
      </c>
      <c r="Z148" s="123">
        <f t="shared" si="71"/>
        <v>1.9245008972987525</v>
      </c>
      <c r="AA148" s="99">
        <f t="shared" si="72"/>
        <v>133.83684864611607</v>
      </c>
      <c r="AB148" s="99">
        <f t="shared" si="73"/>
        <v>123.03779358655424</v>
      </c>
      <c r="AE148" s="119">
        <v>85</v>
      </c>
      <c r="AF148" s="119">
        <v>27</v>
      </c>
      <c r="AG148" s="119">
        <v>50</v>
      </c>
      <c r="AH148" s="119">
        <v>22</v>
      </c>
      <c r="AI148" s="120">
        <v>51.1</v>
      </c>
      <c r="AJ148" s="120">
        <v>21.5</v>
      </c>
      <c r="AK148" s="122">
        <v>0.35799999999999998</v>
      </c>
    </row>
    <row r="149" spans="1:37" x14ac:dyDescent="0.2">
      <c r="A149" s="145" t="s">
        <v>393</v>
      </c>
      <c r="B149" s="121">
        <f t="shared" si="65"/>
        <v>26.611499999999999</v>
      </c>
      <c r="C149" s="119">
        <v>150</v>
      </c>
      <c r="D149" s="119">
        <v>90</v>
      </c>
      <c r="E149" s="119">
        <v>15</v>
      </c>
      <c r="F149" s="119">
        <v>12</v>
      </c>
      <c r="G149" s="120">
        <f t="shared" si="62"/>
        <v>6</v>
      </c>
      <c r="H149" s="121">
        <v>33.9</v>
      </c>
      <c r="I149" s="121">
        <v>761</v>
      </c>
      <c r="J149" s="121">
        <f t="shared" si="66"/>
        <v>77.732379979570993</v>
      </c>
      <c r="K149" s="121"/>
      <c r="L149" s="121">
        <f t="shared" si="67"/>
        <v>4.7379718847963783</v>
      </c>
      <c r="M149" s="121"/>
      <c r="N149" s="120">
        <v>205</v>
      </c>
      <c r="O149" s="121">
        <f t="shared" si="68"/>
        <v>30.280649926144754</v>
      </c>
      <c r="P149" s="121"/>
      <c r="Q149" s="121">
        <f t="shared" si="69"/>
        <v>2.4591050486138233</v>
      </c>
      <c r="R149" s="121"/>
      <c r="S149" s="121">
        <v>841</v>
      </c>
      <c r="T149" s="121">
        <v>99.8</v>
      </c>
      <c r="U149" s="121">
        <f t="shared" si="63"/>
        <v>84.268537074148298</v>
      </c>
      <c r="V149" s="121">
        <f t="shared" si="70"/>
        <v>4.9807890526522653</v>
      </c>
      <c r="W149" s="120">
        <v>126</v>
      </c>
      <c r="X149" s="121">
        <v>49.8</v>
      </c>
      <c r="Y149" s="121">
        <f t="shared" si="64"/>
        <v>25.30120481927711</v>
      </c>
      <c r="Z149" s="123">
        <f t="shared" si="71"/>
        <v>1.9279040845674962</v>
      </c>
      <c r="AA149" s="99">
        <f t="shared" si="72"/>
        <v>131.61482312222432</v>
      </c>
      <c r="AB149" s="99">
        <f t="shared" si="73"/>
        <v>138.24844236307644</v>
      </c>
      <c r="AE149" s="119">
        <v>85</v>
      </c>
      <c r="AF149" s="119">
        <v>27</v>
      </c>
      <c r="AG149" s="119">
        <v>50</v>
      </c>
      <c r="AH149" s="119">
        <v>22</v>
      </c>
      <c r="AI149" s="120">
        <v>52.1</v>
      </c>
      <c r="AJ149" s="120">
        <v>22.3</v>
      </c>
      <c r="AK149" s="122">
        <v>0.35399999999999998</v>
      </c>
    </row>
    <row r="150" spans="1:37" s="99" customFormat="1" x14ac:dyDescent="0.2">
      <c r="A150" s="141" t="s">
        <v>394</v>
      </c>
      <c r="B150" s="103">
        <f t="shared" si="65"/>
        <v>22.922000000000001</v>
      </c>
      <c r="C150" s="101">
        <v>200</v>
      </c>
      <c r="D150" s="101">
        <v>100</v>
      </c>
      <c r="E150" s="101">
        <v>10</v>
      </c>
      <c r="F150" s="101">
        <v>15</v>
      </c>
      <c r="G150" s="102">
        <f t="shared" si="62"/>
        <v>7.5</v>
      </c>
      <c r="H150" s="103">
        <v>29.2</v>
      </c>
      <c r="I150" s="102">
        <v>1220</v>
      </c>
      <c r="J150" s="103">
        <f t="shared" si="66"/>
        <v>93.34353481254783</v>
      </c>
      <c r="K150" s="103"/>
      <c r="L150" s="103">
        <f t="shared" si="67"/>
        <v>6.4638086232350833</v>
      </c>
      <c r="M150" s="103"/>
      <c r="N150" s="102">
        <v>210</v>
      </c>
      <c r="O150" s="103">
        <f t="shared" si="68"/>
        <v>26.282853566958696</v>
      </c>
      <c r="P150" s="103"/>
      <c r="Q150" s="103">
        <f t="shared" si="69"/>
        <v>2.6817495822536839</v>
      </c>
      <c r="R150" s="103"/>
      <c r="S150" s="102">
        <v>1290</v>
      </c>
      <c r="T150" s="103">
        <v>132</v>
      </c>
      <c r="U150" s="103">
        <f t="shared" si="63"/>
        <v>97.727272727272734</v>
      </c>
      <c r="V150" s="103">
        <f t="shared" si="70"/>
        <v>6.6466594761414415</v>
      </c>
      <c r="W150" s="102">
        <v>135</v>
      </c>
      <c r="X150" s="103">
        <v>60.5</v>
      </c>
      <c r="Y150" s="103">
        <f t="shared" si="64"/>
        <v>22.314049586776861</v>
      </c>
      <c r="Z150" s="105">
        <f t="shared" si="71"/>
        <v>2.1501831715537345</v>
      </c>
      <c r="AA150" s="99">
        <f t="shared" si="72"/>
        <v>185.47317477042469</v>
      </c>
      <c r="AB150" s="99">
        <f t="shared" si="73"/>
        <v>178.7803811467999</v>
      </c>
      <c r="AE150" s="101">
        <v>85</v>
      </c>
      <c r="AF150" s="101">
        <v>27</v>
      </c>
      <c r="AG150" s="101">
        <v>50</v>
      </c>
      <c r="AH150" s="101">
        <v>22</v>
      </c>
      <c r="AI150" s="102">
        <v>69.3</v>
      </c>
      <c r="AJ150" s="102">
        <v>20.100000000000001</v>
      </c>
      <c r="AK150" s="104">
        <v>0.26300000000000001</v>
      </c>
    </row>
    <row r="151" spans="1:37" x14ac:dyDescent="0.2">
      <c r="A151" s="142" t="s">
        <v>395</v>
      </c>
      <c r="B151" s="109">
        <f t="shared" si="65"/>
        <v>27.317999999999998</v>
      </c>
      <c r="C151" s="107">
        <v>200</v>
      </c>
      <c r="D151" s="107">
        <v>100</v>
      </c>
      <c r="E151" s="107">
        <v>12</v>
      </c>
      <c r="F151" s="107">
        <v>15</v>
      </c>
      <c r="G151" s="108">
        <f t="shared" si="62"/>
        <v>7.5</v>
      </c>
      <c r="H151" s="109">
        <v>34.799999999999997</v>
      </c>
      <c r="I151" s="108">
        <v>1440</v>
      </c>
      <c r="J151" s="109">
        <f t="shared" si="66"/>
        <v>111.02544333076331</v>
      </c>
      <c r="K151" s="109"/>
      <c r="L151" s="109">
        <f t="shared" si="67"/>
        <v>6.4326752090267689</v>
      </c>
      <c r="M151" s="109"/>
      <c r="N151" s="108">
        <v>247</v>
      </c>
      <c r="O151" s="109">
        <f t="shared" si="68"/>
        <v>31.265822784810126</v>
      </c>
      <c r="P151" s="109"/>
      <c r="Q151" s="109">
        <f t="shared" si="69"/>
        <v>2.6641511123480379</v>
      </c>
      <c r="R151" s="109"/>
      <c r="S151" s="108">
        <v>1530</v>
      </c>
      <c r="T151" s="109">
        <v>131</v>
      </c>
      <c r="U151" s="109">
        <f t="shared" si="63"/>
        <v>116.79389312977099</v>
      </c>
      <c r="V151" s="109">
        <f t="shared" si="70"/>
        <v>6.6306498355273833</v>
      </c>
      <c r="W151" s="108">
        <v>159</v>
      </c>
      <c r="X151" s="109">
        <v>60</v>
      </c>
      <c r="Y151" s="109">
        <f t="shared" si="64"/>
        <v>26.5</v>
      </c>
      <c r="Z151" s="111">
        <f t="shared" si="71"/>
        <v>2.1375138636372348</v>
      </c>
      <c r="AA151" s="99">
        <f t="shared" si="72"/>
        <v>182.78759957852981</v>
      </c>
      <c r="AB151" s="99">
        <f t="shared" si="73"/>
        <v>209.66147632280646</v>
      </c>
      <c r="AE151" s="107">
        <v>85</v>
      </c>
      <c r="AF151" s="107">
        <v>27</v>
      </c>
      <c r="AG151" s="107">
        <v>50</v>
      </c>
      <c r="AH151" s="107">
        <v>22</v>
      </c>
      <c r="AI151" s="108">
        <v>70.3</v>
      </c>
      <c r="AJ151" s="108">
        <v>21</v>
      </c>
      <c r="AK151" s="110">
        <v>0.26200000000000001</v>
      </c>
    </row>
    <row r="152" spans="1:37" x14ac:dyDescent="0.2">
      <c r="A152" s="142" t="s">
        <v>396</v>
      </c>
      <c r="B152" s="109">
        <f t="shared" si="65"/>
        <v>31.6355</v>
      </c>
      <c r="C152" s="107">
        <v>200</v>
      </c>
      <c r="D152" s="107">
        <v>100</v>
      </c>
      <c r="E152" s="107">
        <v>14</v>
      </c>
      <c r="F152" s="107">
        <v>15</v>
      </c>
      <c r="G152" s="108">
        <f t="shared" si="62"/>
        <v>7.5</v>
      </c>
      <c r="H152" s="109">
        <v>40.299999999999997</v>
      </c>
      <c r="I152" s="108">
        <v>1650</v>
      </c>
      <c r="J152" s="109">
        <f t="shared" si="66"/>
        <v>128.10559006211179</v>
      </c>
      <c r="K152" s="109"/>
      <c r="L152" s="109">
        <f t="shared" si="67"/>
        <v>6.3986661140977059</v>
      </c>
      <c r="M152" s="109"/>
      <c r="N152" s="108">
        <v>282</v>
      </c>
      <c r="O152" s="109">
        <f t="shared" si="68"/>
        <v>36.0613810741688</v>
      </c>
      <c r="P152" s="109"/>
      <c r="Q152" s="109">
        <f t="shared" si="69"/>
        <v>2.6452823309472726</v>
      </c>
      <c r="R152" s="109"/>
      <c r="S152" s="108">
        <v>1760</v>
      </c>
      <c r="T152" s="109">
        <v>130</v>
      </c>
      <c r="U152" s="109">
        <f t="shared" si="63"/>
        <v>135.38461538461539</v>
      </c>
      <c r="V152" s="109">
        <f t="shared" si="70"/>
        <v>6.6085139460912377</v>
      </c>
      <c r="W152" s="108">
        <v>181</v>
      </c>
      <c r="X152" s="109">
        <v>59.2</v>
      </c>
      <c r="Y152" s="109">
        <f t="shared" si="64"/>
        <v>30.574324324324323</v>
      </c>
      <c r="Z152" s="111">
        <f t="shared" si="71"/>
        <v>2.1192723129594335</v>
      </c>
      <c r="AA152" s="99">
        <f t="shared" si="72"/>
        <v>180.15919253356313</v>
      </c>
      <c r="AB152" s="99">
        <f t="shared" si="73"/>
        <v>239.03066893802142</v>
      </c>
      <c r="AE152" s="107">
        <v>85</v>
      </c>
      <c r="AF152" s="107">
        <v>27</v>
      </c>
      <c r="AG152" s="107">
        <v>50</v>
      </c>
      <c r="AH152" s="107">
        <v>22</v>
      </c>
      <c r="AI152" s="108">
        <v>71.2</v>
      </c>
      <c r="AJ152" s="108">
        <v>21.8</v>
      </c>
      <c r="AK152" s="110">
        <v>0.26200000000000001</v>
      </c>
    </row>
    <row r="153" spans="1:37" x14ac:dyDescent="0.2">
      <c r="A153" s="143" t="s">
        <v>397</v>
      </c>
      <c r="B153" s="115">
        <f t="shared" si="65"/>
        <v>33.755000000000003</v>
      </c>
      <c r="C153" s="113">
        <v>200</v>
      </c>
      <c r="D153" s="113">
        <v>100</v>
      </c>
      <c r="E153" s="113">
        <v>15</v>
      </c>
      <c r="F153" s="113">
        <v>15</v>
      </c>
      <c r="G153" s="114">
        <f t="shared" si="62"/>
        <v>7.5</v>
      </c>
      <c r="H153" s="115">
        <v>43</v>
      </c>
      <c r="I153" s="114">
        <v>1760</v>
      </c>
      <c r="J153" s="115">
        <f t="shared" si="66"/>
        <v>137.07165109034267</v>
      </c>
      <c r="K153" s="115"/>
      <c r="L153" s="115">
        <f t="shared" si="67"/>
        <v>6.3976739959253583</v>
      </c>
      <c r="M153" s="115"/>
      <c r="N153" s="114">
        <v>299</v>
      </c>
      <c r="O153" s="115">
        <f t="shared" si="68"/>
        <v>38.431876606683808</v>
      </c>
      <c r="P153" s="115"/>
      <c r="Q153" s="115">
        <f t="shared" si="69"/>
        <v>2.6369467897727903</v>
      </c>
      <c r="R153" s="115"/>
      <c r="S153" s="114">
        <v>1860</v>
      </c>
      <c r="T153" s="115">
        <v>130</v>
      </c>
      <c r="U153" s="115">
        <f t="shared" si="63"/>
        <v>143.07692307692307</v>
      </c>
      <c r="V153" s="115">
        <f t="shared" si="70"/>
        <v>6.5769152308273195</v>
      </c>
      <c r="W153" s="114">
        <v>194</v>
      </c>
      <c r="X153" s="115">
        <v>59.5</v>
      </c>
      <c r="Y153" s="115">
        <f t="shared" si="64"/>
        <v>32.605042016806721</v>
      </c>
      <c r="Z153" s="117">
        <f t="shared" si="71"/>
        <v>2.124059299307989</v>
      </c>
      <c r="AA153" s="99">
        <f t="shared" si="72"/>
        <v>178.86642706617789</v>
      </c>
      <c r="AB153" s="99">
        <f t="shared" si="73"/>
        <v>253.16388128865302</v>
      </c>
      <c r="AE153" s="113">
        <v>85</v>
      </c>
      <c r="AF153" s="113">
        <v>27</v>
      </c>
      <c r="AG153" s="113">
        <v>50</v>
      </c>
      <c r="AH153" s="113">
        <v>22</v>
      </c>
      <c r="AI153" s="114">
        <v>71.599999999999994</v>
      </c>
      <c r="AJ153" s="114">
        <v>22.2</v>
      </c>
      <c r="AK153" s="116">
        <v>0.26</v>
      </c>
    </row>
  </sheetData>
  <sheetProtection algorithmName="SHA-512" hashValue="C1doTtxHM2G6Mdum8fMtiOOjw61NK3zWyg1tSEf4VgVBSSbPuJAe3s8T4T+krMdi6wdtk50LFDJlu25hdxqKNQ==" saltValue="6ZVGIct/h5khaozxRZ919w==" spinCount="100000" sheet="1" objects="1" scenarios="1"/>
  <mergeCells count="7">
    <mergeCell ref="A1:A3"/>
    <mergeCell ref="C1:G1"/>
    <mergeCell ref="AE1:AH1"/>
    <mergeCell ref="AI1:AJ1"/>
    <mergeCell ref="S1:Z1"/>
    <mergeCell ref="AE3:AF3"/>
    <mergeCell ref="AG3:AH3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77" fitToHeight="2" orientation="portrait" r:id="rId1"/>
  <headerFooter alignWithMargins="0"/>
  <rowBreaks count="1" manualBreakCount="1">
    <brk id="64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23F6C-7FA2-41EA-B951-E2876B2F1F27}">
  <sheetPr codeName="Feuil4">
    <tabColor rgb="FFFF0000"/>
  </sheetPr>
  <dimension ref="A1:Y253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ColWidth="11.42578125" defaultRowHeight="15" x14ac:dyDescent="0.25"/>
  <cols>
    <col min="1" max="1" width="17.28515625" style="162" customWidth="1"/>
    <col min="2" max="3" width="11.42578125" style="64"/>
    <col min="4" max="4" width="0" style="64" hidden="1" customWidth="1"/>
    <col min="5" max="12" width="11.42578125" style="64"/>
    <col min="13" max="13" width="12.7109375" style="64" customWidth="1"/>
    <col min="14" max="18" width="12.7109375" style="64" hidden="1" customWidth="1"/>
    <col min="19" max="21" width="11.42578125" style="64"/>
    <col min="22" max="22" width="11.42578125" style="64" customWidth="1"/>
    <col min="23" max="16384" width="11.42578125" style="64"/>
  </cols>
  <sheetData>
    <row r="1" spans="1:25" ht="30" x14ac:dyDescent="0.25">
      <c r="A1" s="147" t="s">
        <v>0</v>
      </c>
      <c r="B1" s="1" t="s">
        <v>1</v>
      </c>
      <c r="C1" s="1126" t="s">
        <v>2</v>
      </c>
      <c r="D1" s="1127"/>
      <c r="E1" s="1127"/>
      <c r="F1" s="1127"/>
      <c r="G1" s="1128"/>
      <c r="H1" s="1" t="s">
        <v>3</v>
      </c>
      <c r="I1" s="2" t="s">
        <v>4</v>
      </c>
      <c r="J1" s="1129" t="s">
        <v>5</v>
      </c>
      <c r="K1" s="1130"/>
      <c r="L1" s="3" t="s">
        <v>6</v>
      </c>
      <c r="M1" s="68" t="s">
        <v>7</v>
      </c>
      <c r="N1" s="233"/>
      <c r="O1" s="233"/>
      <c r="P1" s="233"/>
      <c r="Q1" s="233"/>
      <c r="R1" s="233"/>
      <c r="S1" s="5" t="s">
        <v>8</v>
      </c>
      <c r="T1" s="4" t="s">
        <v>398</v>
      </c>
      <c r="U1" s="148"/>
      <c r="V1" s="149"/>
      <c r="W1" s="149"/>
    </row>
    <row r="2" spans="1:25" ht="15.75" thickBot="1" x14ac:dyDescent="0.3">
      <c r="A2" s="150"/>
      <c r="B2" s="151" t="s">
        <v>10</v>
      </c>
      <c r="C2" s="152" t="s">
        <v>11</v>
      </c>
      <c r="D2" s="232"/>
      <c r="E2" s="153" t="s">
        <v>399</v>
      </c>
      <c r="F2" s="154" t="s">
        <v>400</v>
      </c>
      <c r="G2" s="155" t="s">
        <v>401</v>
      </c>
      <c r="H2" s="151" t="s">
        <v>16</v>
      </c>
      <c r="I2" s="152" t="s">
        <v>402</v>
      </c>
      <c r="J2" s="153" t="s">
        <v>403</v>
      </c>
      <c r="K2" s="153" t="s">
        <v>404</v>
      </c>
      <c r="L2" s="153" t="s">
        <v>405</v>
      </c>
      <c r="M2" s="154" t="s">
        <v>406</v>
      </c>
      <c r="N2" s="234"/>
      <c r="O2" s="234"/>
      <c r="P2" s="234"/>
      <c r="Q2" s="234"/>
      <c r="R2" s="234"/>
      <c r="S2" s="156" t="s">
        <v>27</v>
      </c>
      <c r="T2" s="155" t="s">
        <v>407</v>
      </c>
    </row>
    <row r="3" spans="1:25" ht="16.5" thickBot="1" x14ac:dyDescent="0.3">
      <c r="A3" s="157"/>
      <c r="B3" s="158" t="s">
        <v>408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  <c r="U3" s="161"/>
      <c r="V3" s="161"/>
      <c r="W3" s="161"/>
      <c r="X3" s="161"/>
      <c r="Y3" s="161"/>
    </row>
    <row r="4" spans="1:25" x14ac:dyDescent="0.25">
      <c r="A4" s="162" t="str">
        <f t="shared" ref="A4:A12" si="0">$B$3&amp;"  "&amp;C4&amp;"*"&amp;E4</f>
        <v>CARF  20*2</v>
      </c>
      <c r="B4" s="64">
        <v>1.05</v>
      </c>
      <c r="C4" s="64">
        <v>20</v>
      </c>
      <c r="E4" s="64">
        <v>2</v>
      </c>
      <c r="F4" s="64">
        <f t="shared" ref="F4:F12" si="1">IF(E4&lt;=6,1*E4,IF(E4&lt;=10,1.5*E4,2*E4))</f>
        <v>2</v>
      </c>
      <c r="G4" s="64">
        <f t="shared" ref="G4:G12" si="2">IF(E4&lt;=6,2*E4,IF(E4&lt;=10,2.5*E4,3*E4))</f>
        <v>4</v>
      </c>
      <c r="H4" s="163">
        <f t="shared" ref="H4:H67" si="3">(4*(C4-2*G4)*E4+PI()*(G4^2-F4^2))*0.01</f>
        <v>1.336991118430775</v>
      </c>
      <c r="I4" s="64">
        <v>0.68100000000000005</v>
      </c>
      <c r="J4" s="163">
        <f t="shared" ref="J4:J12" si="4">I4/(0.5*C4*0.1)</f>
        <v>0.68100000000000005</v>
      </c>
      <c r="K4" s="64">
        <v>0.87</v>
      </c>
      <c r="L4" s="164">
        <f>SQRT(I4/H4)</f>
        <v>0.71368947942183947</v>
      </c>
      <c r="M4" s="165">
        <f t="shared" ref="M4:M67" si="5">2*(C4-2*G4)*E4*0.01</f>
        <v>0.48</v>
      </c>
      <c r="N4" s="165"/>
      <c r="O4" s="165"/>
      <c r="P4" s="165"/>
      <c r="Q4" s="165"/>
      <c r="R4" s="165"/>
      <c r="S4" s="165">
        <v>1.21</v>
      </c>
      <c r="T4" s="64">
        <v>1.06</v>
      </c>
    </row>
    <row r="5" spans="1:25" x14ac:dyDescent="0.25">
      <c r="A5" s="166" t="str">
        <f t="shared" si="0"/>
        <v>CARF  25*2</v>
      </c>
      <c r="B5" s="167">
        <v>1.36</v>
      </c>
      <c r="C5" s="167">
        <v>25</v>
      </c>
      <c r="D5" s="167"/>
      <c r="E5" s="167">
        <v>2</v>
      </c>
      <c r="F5" s="167">
        <f t="shared" si="1"/>
        <v>2</v>
      </c>
      <c r="G5" s="167">
        <f t="shared" si="2"/>
        <v>4</v>
      </c>
      <c r="H5" s="168">
        <f t="shared" si="3"/>
        <v>1.7369911184307751</v>
      </c>
      <c r="I5" s="167">
        <v>1.47</v>
      </c>
      <c r="J5" s="168">
        <f t="shared" si="4"/>
        <v>1.1759999999999999</v>
      </c>
      <c r="K5" s="167">
        <v>1.46</v>
      </c>
      <c r="L5" s="169">
        <f t="shared" ref="L5:L12" si="6">SQRT(I5/H5)</f>
        <v>0.91994077441726463</v>
      </c>
      <c r="M5" s="170">
        <f t="shared" si="5"/>
        <v>0.68</v>
      </c>
      <c r="N5" s="170"/>
      <c r="O5" s="170"/>
      <c r="P5" s="170"/>
      <c r="Q5" s="170"/>
      <c r="R5" s="170"/>
      <c r="S5" s="170">
        <v>2.5299999999999998</v>
      </c>
      <c r="T5" s="171">
        <v>1.8</v>
      </c>
    </row>
    <row r="6" spans="1:25" x14ac:dyDescent="0.25">
      <c r="A6" s="172" t="str">
        <f t="shared" si="0"/>
        <v>CARF  25*2.5</v>
      </c>
      <c r="B6" s="173" t="s">
        <v>409</v>
      </c>
      <c r="C6" s="173">
        <v>25</v>
      </c>
      <c r="D6" s="173"/>
      <c r="E6" s="173">
        <v>2.5</v>
      </c>
      <c r="F6" s="173">
        <f t="shared" si="1"/>
        <v>2.5</v>
      </c>
      <c r="G6" s="173">
        <f t="shared" si="2"/>
        <v>5</v>
      </c>
      <c r="H6" s="174">
        <f t="shared" si="3"/>
        <v>2.0890486225480864</v>
      </c>
      <c r="I6" s="173">
        <v>1.66</v>
      </c>
      <c r="J6" s="174">
        <f t="shared" si="4"/>
        <v>1.3279999999999998</v>
      </c>
      <c r="K6" s="173">
        <v>1.7</v>
      </c>
      <c r="L6" s="175">
        <f t="shared" si="6"/>
        <v>0.89141465540082077</v>
      </c>
      <c r="M6" s="176">
        <f t="shared" si="5"/>
        <v>0.75</v>
      </c>
      <c r="N6" s="176"/>
      <c r="O6" s="176"/>
      <c r="P6" s="176"/>
      <c r="Q6" s="176"/>
      <c r="R6" s="176"/>
      <c r="S6" s="176">
        <v>2.97</v>
      </c>
      <c r="T6" s="177">
        <v>2.0699999999999998</v>
      </c>
    </row>
    <row r="7" spans="1:25" x14ac:dyDescent="0.25">
      <c r="A7" s="178" t="str">
        <f t="shared" si="0"/>
        <v>CARF  25*3</v>
      </c>
      <c r="B7" s="179" t="s">
        <v>410</v>
      </c>
      <c r="C7" s="179">
        <v>25</v>
      </c>
      <c r="D7" s="179"/>
      <c r="E7" s="179">
        <v>3</v>
      </c>
      <c r="F7" s="179">
        <f t="shared" si="1"/>
        <v>3</v>
      </c>
      <c r="G7" s="179">
        <f t="shared" si="2"/>
        <v>6</v>
      </c>
      <c r="H7" s="180">
        <f t="shared" si="3"/>
        <v>2.4082300164692443</v>
      </c>
      <c r="I7" s="179">
        <v>1.79</v>
      </c>
      <c r="J7" s="180">
        <f t="shared" si="4"/>
        <v>1.4319999999999999</v>
      </c>
      <c r="K7" s="179">
        <v>1.89</v>
      </c>
      <c r="L7" s="181">
        <f t="shared" si="6"/>
        <v>0.86213947935570145</v>
      </c>
      <c r="M7" s="182">
        <f t="shared" si="5"/>
        <v>0.78</v>
      </c>
      <c r="N7" s="182"/>
      <c r="O7" s="182"/>
      <c r="P7" s="182"/>
      <c r="Q7" s="182"/>
      <c r="R7" s="182"/>
      <c r="S7" s="182">
        <v>3.33</v>
      </c>
      <c r="T7" s="183">
        <v>2.27</v>
      </c>
    </row>
    <row r="8" spans="1:25" x14ac:dyDescent="0.25">
      <c r="A8" s="162" t="str">
        <f t="shared" si="0"/>
        <v>CARF  30*2</v>
      </c>
      <c r="B8" s="64" t="s">
        <v>411</v>
      </c>
      <c r="C8" s="64">
        <v>30</v>
      </c>
      <c r="E8" s="64">
        <v>2</v>
      </c>
      <c r="F8" s="64">
        <f t="shared" si="1"/>
        <v>2</v>
      </c>
      <c r="G8" s="64">
        <f t="shared" si="2"/>
        <v>4</v>
      </c>
      <c r="H8" s="163">
        <f t="shared" si="3"/>
        <v>2.136991118430775</v>
      </c>
      <c r="I8" s="64">
        <v>2.7</v>
      </c>
      <c r="J8" s="163">
        <f t="shared" si="4"/>
        <v>1.8</v>
      </c>
      <c r="K8" s="64">
        <v>2.2000000000000002</v>
      </c>
      <c r="L8" s="164">
        <f t="shared" si="6"/>
        <v>1.1240367834069989</v>
      </c>
      <c r="M8" s="165">
        <f t="shared" si="5"/>
        <v>0.88</v>
      </c>
      <c r="N8" s="165"/>
      <c r="O8" s="165"/>
      <c r="P8" s="165"/>
      <c r="Q8" s="165"/>
      <c r="R8" s="165"/>
      <c r="S8" s="165">
        <v>4.54</v>
      </c>
      <c r="T8" s="64">
        <v>2.75</v>
      </c>
    </row>
    <row r="9" spans="1:25" x14ac:dyDescent="0.25">
      <c r="A9" s="162" t="str">
        <f t="shared" si="0"/>
        <v>CARF  30*2.5</v>
      </c>
      <c r="B9" s="64" t="s">
        <v>412</v>
      </c>
      <c r="C9" s="64">
        <v>30</v>
      </c>
      <c r="E9" s="64">
        <v>2.5</v>
      </c>
      <c r="F9" s="64">
        <f t="shared" si="1"/>
        <v>2.5</v>
      </c>
      <c r="G9" s="64">
        <f t="shared" si="2"/>
        <v>5</v>
      </c>
      <c r="H9" s="163">
        <f t="shared" si="3"/>
        <v>2.5890486225480864</v>
      </c>
      <c r="I9" s="64">
        <v>3.12</v>
      </c>
      <c r="J9" s="163">
        <f t="shared" si="4"/>
        <v>2.08</v>
      </c>
      <c r="K9" s="64">
        <v>2.6</v>
      </c>
      <c r="L9" s="164">
        <f t="shared" si="6"/>
        <v>1.0977594735538017</v>
      </c>
      <c r="M9" s="165">
        <f t="shared" si="5"/>
        <v>1</v>
      </c>
      <c r="N9" s="165"/>
      <c r="O9" s="165"/>
      <c r="P9" s="165"/>
      <c r="Q9" s="165"/>
      <c r="R9" s="165"/>
      <c r="S9" s="165">
        <v>5.4</v>
      </c>
      <c r="T9" s="64">
        <v>3.2</v>
      </c>
    </row>
    <row r="10" spans="1:25" x14ac:dyDescent="0.25">
      <c r="A10" s="162" t="str">
        <f t="shared" si="0"/>
        <v>CARF  30*3</v>
      </c>
      <c r="B10" s="64" t="s">
        <v>413</v>
      </c>
      <c r="C10" s="64">
        <v>30</v>
      </c>
      <c r="E10" s="64">
        <v>3</v>
      </c>
      <c r="F10" s="64">
        <f t="shared" si="1"/>
        <v>3</v>
      </c>
      <c r="G10" s="64">
        <f t="shared" si="2"/>
        <v>6</v>
      </c>
      <c r="H10" s="163">
        <f t="shared" si="3"/>
        <v>3.0082300164692444</v>
      </c>
      <c r="I10" s="64">
        <v>3.45</v>
      </c>
      <c r="J10" s="163">
        <f t="shared" si="4"/>
        <v>2.3000000000000003</v>
      </c>
      <c r="K10" s="64">
        <v>2.94</v>
      </c>
      <c r="L10" s="164">
        <f t="shared" si="6"/>
        <v>1.0709125974931211</v>
      </c>
      <c r="M10" s="165">
        <f t="shared" si="5"/>
        <v>1.08</v>
      </c>
      <c r="N10" s="165"/>
      <c r="O10" s="165"/>
      <c r="P10" s="165"/>
      <c r="Q10" s="165"/>
      <c r="R10" s="165"/>
      <c r="S10" s="165">
        <v>6.15</v>
      </c>
      <c r="T10" s="64">
        <v>3.58</v>
      </c>
    </row>
    <row r="11" spans="1:25" x14ac:dyDescent="0.25">
      <c r="A11" s="166" t="str">
        <f t="shared" si="0"/>
        <v>CARF  40*2</v>
      </c>
      <c r="B11" s="167" t="s">
        <v>414</v>
      </c>
      <c r="C11" s="167">
        <v>40</v>
      </c>
      <c r="D11" s="167"/>
      <c r="E11" s="167">
        <v>2</v>
      </c>
      <c r="F11" s="167">
        <f t="shared" si="1"/>
        <v>2</v>
      </c>
      <c r="G11" s="167">
        <f t="shared" si="2"/>
        <v>4</v>
      </c>
      <c r="H11" s="168">
        <f t="shared" si="3"/>
        <v>2.9369911184307749</v>
      </c>
      <c r="I11" s="167">
        <v>6.92</v>
      </c>
      <c r="J11" s="168">
        <f t="shared" si="4"/>
        <v>3.46</v>
      </c>
      <c r="K11" s="167">
        <v>4.13</v>
      </c>
      <c r="L11" s="169">
        <f t="shared" si="6"/>
        <v>1.5349764988440799</v>
      </c>
      <c r="M11" s="170">
        <f t="shared" si="5"/>
        <v>1.28</v>
      </c>
      <c r="N11" s="170"/>
      <c r="O11" s="170"/>
      <c r="P11" s="170"/>
      <c r="Q11" s="170"/>
      <c r="R11" s="170"/>
      <c r="S11" s="170">
        <v>11.3</v>
      </c>
      <c r="T11" s="171">
        <v>5.23</v>
      </c>
    </row>
    <row r="12" spans="1:25" x14ac:dyDescent="0.25">
      <c r="A12" s="172" t="str">
        <f t="shared" si="0"/>
        <v>CARF  40*2.5</v>
      </c>
      <c r="B12" s="173" t="s">
        <v>415</v>
      </c>
      <c r="C12" s="173">
        <v>40</v>
      </c>
      <c r="D12" s="173"/>
      <c r="E12" s="173">
        <v>2.5</v>
      </c>
      <c r="F12" s="173">
        <f t="shared" si="1"/>
        <v>2.5</v>
      </c>
      <c r="G12" s="173">
        <f t="shared" si="2"/>
        <v>5</v>
      </c>
      <c r="H12" s="174">
        <f t="shared" si="3"/>
        <v>3.5890486225480864</v>
      </c>
      <c r="I12" s="173">
        <v>8.17</v>
      </c>
      <c r="J12" s="174">
        <f t="shared" si="4"/>
        <v>4.085</v>
      </c>
      <c r="K12" s="173">
        <v>4.95</v>
      </c>
      <c r="L12" s="175">
        <f t="shared" si="6"/>
        <v>1.5087641538613794</v>
      </c>
      <c r="M12" s="176">
        <f t="shared" si="5"/>
        <v>1.5</v>
      </c>
      <c r="N12" s="176"/>
      <c r="O12" s="176"/>
      <c r="P12" s="176"/>
      <c r="Q12" s="176"/>
      <c r="R12" s="176"/>
      <c r="S12" s="176">
        <v>13.6</v>
      </c>
      <c r="T12" s="177">
        <v>6.21</v>
      </c>
    </row>
    <row r="13" spans="1:25" x14ac:dyDescent="0.25">
      <c r="A13" s="172" t="str">
        <f>$B$3&amp;"  "&amp;C13&amp;"*"&amp;E13</f>
        <v>CARF  40*3</v>
      </c>
      <c r="B13" s="174">
        <f>(H13*7850)/10000</f>
        <v>3.3034605629283562</v>
      </c>
      <c r="C13" s="173">
        <v>40</v>
      </c>
      <c r="D13" s="173"/>
      <c r="E13" s="173">
        <v>3</v>
      </c>
      <c r="F13" s="173">
        <f>IF(E13&lt;=6,1*E13,IF(E13&lt;=10,1.5*E13,2*E13))</f>
        <v>3</v>
      </c>
      <c r="G13" s="173">
        <f>IF(E13&lt;=6,2*E13,IF(E13&lt;=10,2.5*E13,3*E13))</f>
        <v>6</v>
      </c>
      <c r="H13" s="174">
        <f t="shared" si="3"/>
        <v>4.2082300164692441</v>
      </c>
      <c r="I13" s="173">
        <v>9.24</v>
      </c>
      <c r="J13" s="174">
        <f>I13/(0.5*C13*0.1)</f>
        <v>4.62</v>
      </c>
      <c r="K13" s="173">
        <v>5.7</v>
      </c>
      <c r="L13" s="174">
        <f>SQRT(I13/H13)</f>
        <v>1.4817886050038669</v>
      </c>
      <c r="M13" s="176">
        <f t="shared" si="5"/>
        <v>1.68</v>
      </c>
      <c r="N13" s="176"/>
      <c r="O13" s="176"/>
      <c r="P13" s="176"/>
      <c r="Q13" s="176"/>
      <c r="R13" s="176"/>
      <c r="S13" s="176">
        <v>15.8</v>
      </c>
      <c r="T13" s="177">
        <v>7.07</v>
      </c>
    </row>
    <row r="14" spans="1:25" x14ac:dyDescent="0.25">
      <c r="A14" s="178" t="str">
        <f t="shared" ref="A14:A118" si="7">$B$3&amp;"  "&amp;C14&amp;"*"&amp;E14</f>
        <v>CARF  40*4</v>
      </c>
      <c r="B14" s="180">
        <f t="shared" ref="B14:B118" si="8">(H14*7850)/10000</f>
        <v>4.1981521118726333</v>
      </c>
      <c r="C14" s="179">
        <v>40</v>
      </c>
      <c r="D14" s="179"/>
      <c r="E14" s="179">
        <v>4</v>
      </c>
      <c r="F14" s="179">
        <f t="shared" ref="F14:F118" si="9">IF(E14&lt;=6,1*E14,IF(E14&lt;=10,1.5*E14,2*E14))</f>
        <v>4</v>
      </c>
      <c r="G14" s="179">
        <f t="shared" ref="G14:G118" si="10">IF(E14&lt;=6,2*E14,IF(E14&lt;=10,2.5*E14,3*E14))</f>
        <v>8</v>
      </c>
      <c r="H14" s="180">
        <f t="shared" si="3"/>
        <v>5.3479644737231</v>
      </c>
      <c r="I14" s="179">
        <v>10.9</v>
      </c>
      <c r="J14" s="180">
        <f>I14/(0.5*C14*0.1)</f>
        <v>5.45</v>
      </c>
      <c r="K14" s="179">
        <v>6.97</v>
      </c>
      <c r="L14" s="180">
        <f t="shared" ref="L14:L118" si="11">SQRT(I14/H14)</f>
        <v>1.427640935345627</v>
      </c>
      <c r="M14" s="182">
        <f t="shared" si="5"/>
        <v>1.92</v>
      </c>
      <c r="N14" s="182"/>
      <c r="O14" s="182"/>
      <c r="P14" s="182"/>
      <c r="Q14" s="182"/>
      <c r="R14" s="182"/>
      <c r="S14" s="182">
        <v>19.399999999999999</v>
      </c>
      <c r="T14" s="183">
        <v>8.48</v>
      </c>
    </row>
    <row r="15" spans="1:25" x14ac:dyDescent="0.25">
      <c r="A15" s="162" t="str">
        <f t="shared" si="7"/>
        <v>CARF  50*2</v>
      </c>
      <c r="B15" s="163">
        <f t="shared" si="8"/>
        <v>2.9335380279681584</v>
      </c>
      <c r="C15" s="64">
        <v>50</v>
      </c>
      <c r="E15" s="64">
        <v>2</v>
      </c>
      <c r="F15" s="64">
        <f t="shared" si="9"/>
        <v>2</v>
      </c>
      <c r="G15" s="64">
        <f t="shared" si="10"/>
        <v>4</v>
      </c>
      <c r="H15" s="163">
        <f t="shared" si="3"/>
        <v>3.7369911184307751</v>
      </c>
      <c r="I15" s="64">
        <v>14.1</v>
      </c>
      <c r="J15" s="163">
        <f>I15/(0.5*C15*0.1)</f>
        <v>5.64</v>
      </c>
      <c r="K15" s="64">
        <v>6.66</v>
      </c>
      <c r="L15" s="163">
        <f t="shared" si="11"/>
        <v>1.9424440733375412</v>
      </c>
      <c r="M15" s="165">
        <f t="shared" si="5"/>
        <v>1.68</v>
      </c>
      <c r="N15" s="165"/>
      <c r="O15" s="165"/>
      <c r="P15" s="165"/>
      <c r="Q15" s="165"/>
      <c r="R15" s="165"/>
      <c r="S15" s="165">
        <v>22.6</v>
      </c>
      <c r="T15" s="64">
        <v>8.51</v>
      </c>
    </row>
    <row r="16" spans="1:25" x14ac:dyDescent="0.25">
      <c r="A16" s="162" t="str">
        <f t="shared" si="7"/>
        <v>CARF  50*2.5</v>
      </c>
      <c r="B16" s="163">
        <f t="shared" si="8"/>
        <v>3.6024031687002478</v>
      </c>
      <c r="C16" s="64">
        <v>50</v>
      </c>
      <c r="E16" s="64">
        <v>2.5</v>
      </c>
      <c r="F16" s="64">
        <f t="shared" si="9"/>
        <v>2.5</v>
      </c>
      <c r="G16" s="64">
        <f t="shared" si="10"/>
        <v>5</v>
      </c>
      <c r="H16" s="163">
        <f t="shared" si="3"/>
        <v>4.589048622548086</v>
      </c>
      <c r="I16" s="64">
        <v>16.899999999999999</v>
      </c>
      <c r="J16" s="163">
        <f>I16/(0.5*C16*0.1)</f>
        <v>6.76</v>
      </c>
      <c r="K16" s="64">
        <v>8.06</v>
      </c>
      <c r="L16" s="163">
        <f t="shared" si="11"/>
        <v>1.9190311428067863</v>
      </c>
      <c r="M16" s="165">
        <f t="shared" si="5"/>
        <v>2</v>
      </c>
      <c r="N16" s="165"/>
      <c r="O16" s="165"/>
      <c r="P16" s="165"/>
      <c r="Q16" s="165"/>
      <c r="R16" s="165"/>
      <c r="S16" s="165">
        <v>27.5</v>
      </c>
      <c r="T16" s="64">
        <v>10.199999999999999</v>
      </c>
    </row>
    <row r="17" spans="1:20" x14ac:dyDescent="0.25">
      <c r="A17" s="162" t="str">
        <f t="shared" si="7"/>
        <v>CARF  50*3</v>
      </c>
      <c r="B17" s="163">
        <f t="shared" si="8"/>
        <v>4.2454605629283568</v>
      </c>
      <c r="C17" s="64">
        <v>50</v>
      </c>
      <c r="E17" s="64">
        <v>3</v>
      </c>
      <c r="F17" s="64">
        <f t="shared" si="9"/>
        <v>3</v>
      </c>
      <c r="G17" s="64">
        <f t="shared" si="10"/>
        <v>6</v>
      </c>
      <c r="H17" s="163">
        <f t="shared" si="3"/>
        <v>5.4082300164692452</v>
      </c>
      <c r="I17" s="64">
        <v>19.399999999999999</v>
      </c>
      <c r="J17" s="163">
        <f t="shared" ref="J17:J80" si="12">I17/(0.5*C17*0.1)</f>
        <v>7.76</v>
      </c>
      <c r="K17" s="64">
        <v>9.3699999999999992</v>
      </c>
      <c r="L17" s="163">
        <f t="shared" si="11"/>
        <v>1.8939708383767546</v>
      </c>
      <c r="M17" s="165">
        <f t="shared" si="5"/>
        <v>2.2800000000000002</v>
      </c>
      <c r="N17" s="165"/>
      <c r="O17" s="165"/>
      <c r="P17" s="165"/>
      <c r="Q17" s="165"/>
      <c r="R17" s="165"/>
      <c r="S17" s="165">
        <v>32.1</v>
      </c>
      <c r="T17" s="64">
        <v>11.8</v>
      </c>
    </row>
    <row r="18" spans="1:20" x14ac:dyDescent="0.25">
      <c r="A18" s="162" t="str">
        <f t="shared" si="7"/>
        <v>CARF  50*4</v>
      </c>
      <c r="B18" s="163">
        <f t="shared" si="8"/>
        <v>5.4541521118726344</v>
      </c>
      <c r="C18" s="64">
        <v>50</v>
      </c>
      <c r="E18" s="64">
        <v>4</v>
      </c>
      <c r="F18" s="64">
        <f t="shared" si="9"/>
        <v>4</v>
      </c>
      <c r="G18" s="64">
        <f t="shared" si="10"/>
        <v>8</v>
      </c>
      <c r="H18" s="163">
        <f t="shared" si="3"/>
        <v>6.9479644737231006</v>
      </c>
      <c r="I18" s="64">
        <v>23.5</v>
      </c>
      <c r="J18" s="163">
        <f t="shared" si="12"/>
        <v>9.4</v>
      </c>
      <c r="K18" s="64">
        <v>11.7</v>
      </c>
      <c r="L18" s="163">
        <f t="shared" si="11"/>
        <v>1.8390991199031934</v>
      </c>
      <c r="M18" s="165">
        <f t="shared" si="5"/>
        <v>2.72</v>
      </c>
      <c r="N18" s="165"/>
      <c r="O18" s="165"/>
      <c r="P18" s="165"/>
      <c r="Q18" s="165"/>
      <c r="R18" s="165"/>
      <c r="S18" s="165">
        <v>40.4</v>
      </c>
      <c r="T18" s="64">
        <v>14.4</v>
      </c>
    </row>
    <row r="19" spans="1:20" x14ac:dyDescent="0.25">
      <c r="A19" s="162" t="str">
        <f t="shared" si="7"/>
        <v>CARF  50*5</v>
      </c>
      <c r="B19" s="163">
        <f t="shared" si="8"/>
        <v>6.5596126748009915</v>
      </c>
      <c r="C19" s="64">
        <v>50</v>
      </c>
      <c r="E19" s="64">
        <v>5</v>
      </c>
      <c r="F19" s="64">
        <f t="shared" si="9"/>
        <v>5</v>
      </c>
      <c r="G19" s="64">
        <f t="shared" si="10"/>
        <v>10</v>
      </c>
      <c r="H19" s="163">
        <f t="shared" si="3"/>
        <v>8.3561944901923457</v>
      </c>
      <c r="I19" s="64">
        <v>26.6</v>
      </c>
      <c r="J19" s="163">
        <f t="shared" si="12"/>
        <v>10.64</v>
      </c>
      <c r="K19" s="64">
        <v>13.6</v>
      </c>
      <c r="L19" s="163">
        <f t="shared" si="11"/>
        <v>1.7841712976764965</v>
      </c>
      <c r="M19" s="165">
        <f t="shared" si="5"/>
        <v>3</v>
      </c>
      <c r="N19" s="165"/>
      <c r="O19" s="165"/>
      <c r="P19" s="165"/>
      <c r="Q19" s="165"/>
      <c r="R19" s="165"/>
      <c r="S19" s="165">
        <v>47.5</v>
      </c>
      <c r="T19" s="64">
        <v>16.600000000000001</v>
      </c>
    </row>
    <row r="20" spans="1:20" x14ac:dyDescent="0.25">
      <c r="A20" s="166" t="str">
        <f t="shared" si="7"/>
        <v>CARF  60*2</v>
      </c>
      <c r="B20" s="168">
        <f t="shared" si="8"/>
        <v>3.5615380279681581</v>
      </c>
      <c r="C20" s="167">
        <v>60</v>
      </c>
      <c r="D20" s="167"/>
      <c r="E20" s="167">
        <v>2</v>
      </c>
      <c r="F20" s="167">
        <f t="shared" si="9"/>
        <v>2</v>
      </c>
      <c r="G20" s="167">
        <f t="shared" si="10"/>
        <v>4</v>
      </c>
      <c r="H20" s="168">
        <f t="shared" si="3"/>
        <v>4.536991118430775</v>
      </c>
      <c r="I20" s="167">
        <v>25.1</v>
      </c>
      <c r="J20" s="168">
        <f t="shared" si="12"/>
        <v>8.3666666666666671</v>
      </c>
      <c r="K20" s="167">
        <v>9.7799999999999994</v>
      </c>
      <c r="L20" s="168">
        <f t="shared" si="11"/>
        <v>2.352084371247626</v>
      </c>
      <c r="M20" s="170">
        <f t="shared" si="5"/>
        <v>2.08</v>
      </c>
      <c r="N20" s="170"/>
      <c r="O20" s="170"/>
      <c r="P20" s="170"/>
      <c r="Q20" s="170"/>
      <c r="R20" s="170"/>
      <c r="S20" s="170">
        <v>39.799999999999997</v>
      </c>
      <c r="T20" s="171">
        <v>12.6</v>
      </c>
    </row>
    <row r="21" spans="1:20" x14ac:dyDescent="0.25">
      <c r="A21" s="172" t="str">
        <f t="shared" si="7"/>
        <v>CARF  60*2.5</v>
      </c>
      <c r="B21" s="174">
        <f t="shared" si="8"/>
        <v>4.3874031687002484</v>
      </c>
      <c r="C21" s="173">
        <v>60</v>
      </c>
      <c r="D21" s="173"/>
      <c r="E21" s="173">
        <v>2.5</v>
      </c>
      <c r="F21" s="173">
        <f t="shared" si="9"/>
        <v>2.5</v>
      </c>
      <c r="G21" s="173">
        <f t="shared" si="10"/>
        <v>5</v>
      </c>
      <c r="H21" s="174">
        <f t="shared" si="3"/>
        <v>5.5890486225480869</v>
      </c>
      <c r="I21" s="173">
        <v>30.3</v>
      </c>
      <c r="J21" s="174">
        <f t="shared" si="12"/>
        <v>10.1</v>
      </c>
      <c r="K21" s="173">
        <v>11.9</v>
      </c>
      <c r="L21" s="174">
        <f t="shared" si="11"/>
        <v>2.3283720125070322</v>
      </c>
      <c r="M21" s="176">
        <f t="shared" si="5"/>
        <v>2.5</v>
      </c>
      <c r="N21" s="176"/>
      <c r="O21" s="176"/>
      <c r="P21" s="176"/>
      <c r="Q21" s="176"/>
      <c r="R21" s="176"/>
      <c r="S21" s="176">
        <v>48.7</v>
      </c>
      <c r="T21" s="177">
        <v>15.2</v>
      </c>
    </row>
    <row r="22" spans="1:20" x14ac:dyDescent="0.25">
      <c r="A22" s="172" t="str">
        <f t="shared" si="7"/>
        <v>CARF  60*3</v>
      </c>
      <c r="B22" s="174">
        <f t="shared" si="8"/>
        <v>5.187460562928357</v>
      </c>
      <c r="C22" s="173">
        <v>60</v>
      </c>
      <c r="D22" s="173"/>
      <c r="E22" s="173">
        <v>3</v>
      </c>
      <c r="F22" s="173">
        <f t="shared" si="9"/>
        <v>3</v>
      </c>
      <c r="G22" s="173">
        <f t="shared" si="10"/>
        <v>6</v>
      </c>
      <c r="H22" s="174">
        <f t="shared" si="3"/>
        <v>6.6082300164692445</v>
      </c>
      <c r="I22" s="173">
        <v>35</v>
      </c>
      <c r="J22" s="174">
        <f t="shared" si="12"/>
        <v>11.666666666666666</v>
      </c>
      <c r="K22" s="173">
        <v>13.9</v>
      </c>
      <c r="L22" s="174">
        <f t="shared" si="11"/>
        <v>2.3013964906834135</v>
      </c>
      <c r="M22" s="176">
        <f t="shared" si="5"/>
        <v>2.88</v>
      </c>
      <c r="N22" s="176"/>
      <c r="O22" s="176"/>
      <c r="P22" s="176"/>
      <c r="Q22" s="176"/>
      <c r="R22" s="176"/>
      <c r="S22" s="176">
        <v>57.1</v>
      </c>
      <c r="T22" s="177">
        <v>17.7</v>
      </c>
    </row>
    <row r="23" spans="1:20" x14ac:dyDescent="0.25">
      <c r="A23" s="172" t="str">
        <f t="shared" si="7"/>
        <v>CARF  60*4</v>
      </c>
      <c r="B23" s="174">
        <f t="shared" si="8"/>
        <v>6.7101521118726337</v>
      </c>
      <c r="C23" s="173">
        <v>60</v>
      </c>
      <c r="D23" s="173"/>
      <c r="E23" s="173">
        <v>4</v>
      </c>
      <c r="F23" s="173">
        <f t="shared" si="9"/>
        <v>4</v>
      </c>
      <c r="G23" s="173">
        <f t="shared" si="10"/>
        <v>8</v>
      </c>
      <c r="H23" s="174">
        <f t="shared" si="3"/>
        <v>8.5479644737231002</v>
      </c>
      <c r="I23" s="173">
        <v>43.3</v>
      </c>
      <c r="J23" s="174">
        <f t="shared" si="12"/>
        <v>14.433333333333332</v>
      </c>
      <c r="K23" s="173">
        <v>17.600000000000001</v>
      </c>
      <c r="L23" s="174">
        <f t="shared" si="11"/>
        <v>2.2506739998022964</v>
      </c>
      <c r="M23" s="176">
        <f t="shared" si="5"/>
        <v>3.52</v>
      </c>
      <c r="N23" s="176"/>
      <c r="O23" s="176"/>
      <c r="P23" s="176"/>
      <c r="Q23" s="176"/>
      <c r="R23" s="176"/>
      <c r="S23" s="176">
        <v>72.599999999999994</v>
      </c>
      <c r="T23" s="177">
        <v>22</v>
      </c>
    </row>
    <row r="24" spans="1:20" x14ac:dyDescent="0.25">
      <c r="A24" s="172" t="str">
        <f t="shared" si="7"/>
        <v>CARF  60*5</v>
      </c>
      <c r="B24" s="174">
        <f t="shared" si="8"/>
        <v>8.1296126748009918</v>
      </c>
      <c r="C24" s="173">
        <v>60</v>
      </c>
      <c r="D24" s="173"/>
      <c r="E24" s="173">
        <v>5</v>
      </c>
      <c r="F24" s="173">
        <f t="shared" si="9"/>
        <v>5</v>
      </c>
      <c r="G24" s="173">
        <f t="shared" si="10"/>
        <v>10</v>
      </c>
      <c r="H24" s="174">
        <f t="shared" si="3"/>
        <v>10.356194490192346</v>
      </c>
      <c r="I24" s="173">
        <v>50</v>
      </c>
      <c r="J24" s="174">
        <f t="shared" si="12"/>
        <v>16.666666666666668</v>
      </c>
      <c r="K24" s="173">
        <v>20.8</v>
      </c>
      <c r="L24" s="174">
        <f t="shared" si="11"/>
        <v>2.1972774727776829</v>
      </c>
      <c r="M24" s="176">
        <f t="shared" si="5"/>
        <v>4</v>
      </c>
      <c r="N24" s="176"/>
      <c r="O24" s="176"/>
      <c r="P24" s="176"/>
      <c r="Q24" s="176"/>
      <c r="R24" s="176"/>
      <c r="S24" s="176">
        <v>86.4</v>
      </c>
      <c r="T24" s="177">
        <v>25.6</v>
      </c>
    </row>
    <row r="25" spans="1:20" x14ac:dyDescent="0.25">
      <c r="A25" s="172" t="str">
        <f t="shared" si="7"/>
        <v>CARF  60*6</v>
      </c>
      <c r="B25" s="174">
        <f t="shared" si="8"/>
        <v>9.4458422517134277</v>
      </c>
      <c r="C25" s="173">
        <v>60</v>
      </c>
      <c r="D25" s="173"/>
      <c r="E25" s="173">
        <v>6</v>
      </c>
      <c r="F25" s="173">
        <f t="shared" si="9"/>
        <v>6</v>
      </c>
      <c r="G25" s="173">
        <f t="shared" si="10"/>
        <v>12</v>
      </c>
      <c r="H25" s="174">
        <f t="shared" si="3"/>
        <v>12.032920065876977</v>
      </c>
      <c r="I25" s="173">
        <v>55.1</v>
      </c>
      <c r="J25" s="174">
        <f t="shared" si="12"/>
        <v>18.366666666666667</v>
      </c>
      <c r="K25" s="173">
        <v>23.5</v>
      </c>
      <c r="L25" s="174">
        <f t="shared" si="11"/>
        <v>2.1398842564860985</v>
      </c>
      <c r="M25" s="176">
        <f t="shared" si="5"/>
        <v>4.32</v>
      </c>
      <c r="N25" s="176"/>
      <c r="O25" s="176"/>
      <c r="P25" s="176"/>
      <c r="Q25" s="176"/>
      <c r="R25" s="176"/>
      <c r="S25" s="176">
        <v>98.4</v>
      </c>
      <c r="T25" s="177">
        <v>28.6</v>
      </c>
    </row>
    <row r="26" spans="1:20" x14ac:dyDescent="0.25">
      <c r="A26" s="178" t="str">
        <f t="shared" si="7"/>
        <v>CARF  60*6.3</v>
      </c>
      <c r="B26" s="180">
        <f t="shared" si="8"/>
        <v>9.5531301100187367</v>
      </c>
      <c r="C26" s="179">
        <v>60</v>
      </c>
      <c r="D26" s="179"/>
      <c r="E26" s="179">
        <v>6.3</v>
      </c>
      <c r="F26" s="179">
        <f t="shared" si="9"/>
        <v>9.4499999999999993</v>
      </c>
      <c r="G26" s="179">
        <f t="shared" si="10"/>
        <v>15.75</v>
      </c>
      <c r="H26" s="180">
        <f t="shared" si="3"/>
        <v>12.169592496839154</v>
      </c>
      <c r="I26" s="179">
        <v>52.8</v>
      </c>
      <c r="J26" s="180">
        <f t="shared" si="12"/>
        <v>17.599999999999998</v>
      </c>
      <c r="K26" s="179">
        <v>23.1</v>
      </c>
      <c r="L26" s="180">
        <f t="shared" si="11"/>
        <v>2.0829504709653164</v>
      </c>
      <c r="M26" s="182">
        <f t="shared" si="5"/>
        <v>3.5909999999999997</v>
      </c>
      <c r="N26" s="182"/>
      <c r="O26" s="182"/>
      <c r="P26" s="182"/>
      <c r="Q26" s="182"/>
      <c r="R26" s="182"/>
      <c r="S26" s="182">
        <v>100</v>
      </c>
      <c r="T26" s="183">
        <v>28.8</v>
      </c>
    </row>
    <row r="27" spans="1:20" x14ac:dyDescent="0.25">
      <c r="A27" s="162" t="str">
        <f t="shared" si="7"/>
        <v>CARF  70*2.5</v>
      </c>
      <c r="B27" s="163">
        <f t="shared" si="8"/>
        <v>5.1724031687002485</v>
      </c>
      <c r="C27" s="64">
        <v>70</v>
      </c>
      <c r="E27" s="64">
        <v>2.5</v>
      </c>
      <c r="F27" s="64">
        <f t="shared" si="9"/>
        <v>2.5</v>
      </c>
      <c r="G27" s="64">
        <f t="shared" si="10"/>
        <v>5</v>
      </c>
      <c r="H27" s="163">
        <f t="shared" si="3"/>
        <v>6.5890486225480869</v>
      </c>
      <c r="I27" s="64">
        <v>49.3</v>
      </c>
      <c r="J27" s="163">
        <f t="shared" si="12"/>
        <v>14.085714285714285</v>
      </c>
      <c r="K27" s="64">
        <v>16.5</v>
      </c>
      <c r="L27" s="163">
        <f t="shared" si="11"/>
        <v>2.7353449572784254</v>
      </c>
      <c r="M27" s="165">
        <f t="shared" si="5"/>
        <v>3</v>
      </c>
      <c r="N27" s="165"/>
      <c r="O27" s="165"/>
      <c r="P27" s="165"/>
      <c r="Q27" s="165"/>
      <c r="R27" s="165"/>
      <c r="S27" s="165">
        <v>78.5</v>
      </c>
      <c r="T27" s="64">
        <v>21.2</v>
      </c>
    </row>
    <row r="28" spans="1:20" x14ac:dyDescent="0.25">
      <c r="A28" s="162" t="str">
        <f t="shared" si="7"/>
        <v>CARF  70*3</v>
      </c>
      <c r="B28" s="163">
        <f t="shared" si="8"/>
        <v>6.1294605629283572</v>
      </c>
      <c r="C28" s="64">
        <v>70</v>
      </c>
      <c r="E28" s="64">
        <v>3</v>
      </c>
      <c r="F28" s="64">
        <f t="shared" si="9"/>
        <v>3</v>
      </c>
      <c r="G28" s="64">
        <f t="shared" si="10"/>
        <v>6</v>
      </c>
      <c r="H28" s="163">
        <f t="shared" si="3"/>
        <v>7.8082300164692446</v>
      </c>
      <c r="I28" s="64">
        <v>57.4</v>
      </c>
      <c r="J28" s="163">
        <f t="shared" si="12"/>
        <v>16.399999999999999</v>
      </c>
      <c r="K28" s="64">
        <v>19.399999999999999</v>
      </c>
      <c r="L28" s="163">
        <f t="shared" si="11"/>
        <v>2.7113129413883756</v>
      </c>
      <c r="M28" s="165">
        <f t="shared" si="5"/>
        <v>3.48</v>
      </c>
      <c r="N28" s="165"/>
      <c r="O28" s="165"/>
      <c r="P28" s="165"/>
      <c r="Q28" s="165"/>
      <c r="R28" s="165"/>
      <c r="S28" s="165">
        <v>92.4</v>
      </c>
      <c r="T28" s="64">
        <v>24.7</v>
      </c>
    </row>
    <row r="29" spans="1:20" x14ac:dyDescent="0.25">
      <c r="A29" s="162" t="str">
        <f t="shared" si="7"/>
        <v>CARF  70*4</v>
      </c>
      <c r="B29" s="163">
        <f t="shared" si="8"/>
        <v>7.9661521118726331</v>
      </c>
      <c r="C29" s="64">
        <v>70</v>
      </c>
      <c r="E29" s="64">
        <v>4</v>
      </c>
      <c r="F29" s="64">
        <f t="shared" si="9"/>
        <v>4</v>
      </c>
      <c r="G29" s="64">
        <f t="shared" si="10"/>
        <v>8</v>
      </c>
      <c r="H29" s="163">
        <f t="shared" si="3"/>
        <v>10.1479644737231</v>
      </c>
      <c r="I29" s="64">
        <v>71.8</v>
      </c>
      <c r="J29" s="163">
        <f t="shared" si="12"/>
        <v>20.514285714285712</v>
      </c>
      <c r="K29" s="64">
        <v>24.7</v>
      </c>
      <c r="L29" s="163">
        <f t="shared" si="11"/>
        <v>2.6599455896602167</v>
      </c>
      <c r="M29" s="165">
        <f t="shared" si="5"/>
        <v>4.32</v>
      </c>
      <c r="N29" s="165"/>
      <c r="O29" s="165"/>
      <c r="P29" s="165"/>
      <c r="Q29" s="165"/>
      <c r="R29" s="165"/>
      <c r="S29" s="165">
        <v>119</v>
      </c>
      <c r="T29" s="64">
        <v>31.1</v>
      </c>
    </row>
    <row r="30" spans="1:20" x14ac:dyDescent="0.25">
      <c r="A30" s="162" t="str">
        <f t="shared" si="7"/>
        <v>CARF  70*5</v>
      </c>
      <c r="B30" s="163">
        <f t="shared" si="8"/>
        <v>9.6996126748009921</v>
      </c>
      <c r="C30" s="64">
        <v>70</v>
      </c>
      <c r="E30" s="64">
        <v>5</v>
      </c>
      <c r="F30" s="64">
        <f t="shared" si="9"/>
        <v>5</v>
      </c>
      <c r="G30" s="64">
        <f t="shared" si="10"/>
        <v>10</v>
      </c>
      <c r="H30" s="163">
        <f t="shared" si="3"/>
        <v>12.356194490192346</v>
      </c>
      <c r="I30" s="64">
        <v>84</v>
      </c>
      <c r="J30" s="163">
        <f t="shared" si="12"/>
        <v>24</v>
      </c>
      <c r="K30" s="64">
        <v>29.5</v>
      </c>
      <c r="L30" s="163">
        <f t="shared" si="11"/>
        <v>2.6073376459104938</v>
      </c>
      <c r="M30" s="165">
        <f t="shared" si="5"/>
        <v>5</v>
      </c>
      <c r="N30" s="165"/>
      <c r="O30" s="165"/>
      <c r="P30" s="165"/>
      <c r="Q30" s="165"/>
      <c r="R30" s="165"/>
      <c r="S30" s="165">
        <v>142</v>
      </c>
      <c r="T30" s="64">
        <v>36.700000000000003</v>
      </c>
    </row>
    <row r="31" spans="1:20" x14ac:dyDescent="0.25">
      <c r="A31" s="162" t="str">
        <f t="shared" si="7"/>
        <v>CARF  70*6</v>
      </c>
      <c r="B31" s="163">
        <f t="shared" si="8"/>
        <v>11.329842251713426</v>
      </c>
      <c r="C31" s="64">
        <v>70</v>
      </c>
      <c r="E31" s="64">
        <v>6</v>
      </c>
      <c r="F31" s="64">
        <f t="shared" si="9"/>
        <v>6</v>
      </c>
      <c r="G31" s="64">
        <f t="shared" si="10"/>
        <v>12</v>
      </c>
      <c r="H31" s="163">
        <f t="shared" si="3"/>
        <v>14.432920065876976</v>
      </c>
      <c r="I31" s="64">
        <v>94.1</v>
      </c>
      <c r="J31" s="163">
        <f t="shared" si="12"/>
        <v>26.885714285714283</v>
      </c>
      <c r="K31" s="64">
        <v>33.700000000000003</v>
      </c>
      <c r="L31" s="163">
        <f t="shared" si="11"/>
        <v>2.5533932650357607</v>
      </c>
      <c r="M31" s="165">
        <f t="shared" si="5"/>
        <v>5.5200000000000005</v>
      </c>
      <c r="N31" s="165"/>
      <c r="O31" s="165"/>
      <c r="P31" s="165"/>
      <c r="Q31" s="165"/>
      <c r="R31" s="165"/>
      <c r="S31" s="165">
        <v>163</v>
      </c>
      <c r="T31" s="64">
        <v>41.4</v>
      </c>
    </row>
    <row r="32" spans="1:20" x14ac:dyDescent="0.25">
      <c r="A32" s="162" t="str">
        <f t="shared" si="7"/>
        <v>CARF  70*6.3</v>
      </c>
      <c r="B32" s="163">
        <f t="shared" si="8"/>
        <v>11.531330110018736</v>
      </c>
      <c r="C32" s="64">
        <v>70</v>
      </c>
      <c r="E32" s="64">
        <v>6.3</v>
      </c>
      <c r="F32" s="64">
        <f t="shared" si="9"/>
        <v>9.4499999999999993</v>
      </c>
      <c r="G32" s="64">
        <f t="shared" si="10"/>
        <v>15.75</v>
      </c>
      <c r="H32" s="163">
        <f t="shared" si="3"/>
        <v>14.689592496839154</v>
      </c>
      <c r="I32" s="64">
        <v>91.8</v>
      </c>
      <c r="J32" s="163">
        <f t="shared" si="12"/>
        <v>26.228571428571428</v>
      </c>
      <c r="K32" s="64">
        <v>33.5</v>
      </c>
      <c r="L32" s="163">
        <f t="shared" si="11"/>
        <v>2.4998644839873512</v>
      </c>
      <c r="M32" s="165">
        <f t="shared" si="5"/>
        <v>4.851</v>
      </c>
      <c r="N32" s="165"/>
      <c r="O32" s="165"/>
      <c r="P32" s="165"/>
      <c r="Q32" s="165"/>
      <c r="R32" s="165"/>
      <c r="S32" s="165">
        <v>168</v>
      </c>
      <c r="T32" s="64">
        <v>42.1</v>
      </c>
    </row>
    <row r="33" spans="1:20" x14ac:dyDescent="0.25">
      <c r="A33" s="166" t="str">
        <f t="shared" si="7"/>
        <v>CARF  80*3</v>
      </c>
      <c r="B33" s="168">
        <f t="shared" si="8"/>
        <v>7.0714605629283573</v>
      </c>
      <c r="C33" s="167">
        <v>80</v>
      </c>
      <c r="D33" s="167"/>
      <c r="E33" s="167">
        <v>3</v>
      </c>
      <c r="F33" s="167">
        <f t="shared" si="9"/>
        <v>3</v>
      </c>
      <c r="G33" s="167">
        <f t="shared" si="10"/>
        <v>6</v>
      </c>
      <c r="H33" s="168">
        <f t="shared" si="3"/>
        <v>9.0082300164692448</v>
      </c>
      <c r="I33" s="167">
        <v>87.7</v>
      </c>
      <c r="J33" s="168">
        <f t="shared" si="12"/>
        <v>21.925000000000001</v>
      </c>
      <c r="K33" s="167">
        <v>25.8</v>
      </c>
      <c r="L33" s="168">
        <f t="shared" si="11"/>
        <v>3.1201829777279553</v>
      </c>
      <c r="M33" s="170">
        <f t="shared" si="5"/>
        <v>4.08</v>
      </c>
      <c r="N33" s="170"/>
      <c r="O33" s="170"/>
      <c r="P33" s="170"/>
      <c r="Q33" s="170"/>
      <c r="R33" s="170"/>
      <c r="S33" s="170">
        <v>140</v>
      </c>
      <c r="T33" s="171">
        <v>33</v>
      </c>
    </row>
    <row r="34" spans="1:20" x14ac:dyDescent="0.25">
      <c r="A34" s="172" t="str">
        <f t="shared" si="7"/>
        <v>CARF  80*4</v>
      </c>
      <c r="B34" s="174">
        <f t="shared" si="8"/>
        <v>9.2221521118726333</v>
      </c>
      <c r="C34" s="173">
        <v>80</v>
      </c>
      <c r="D34" s="173"/>
      <c r="E34" s="173">
        <v>4</v>
      </c>
      <c r="F34" s="173">
        <f t="shared" si="9"/>
        <v>4</v>
      </c>
      <c r="G34" s="173">
        <f t="shared" si="10"/>
        <v>8</v>
      </c>
      <c r="H34" s="174">
        <f t="shared" si="3"/>
        <v>11.747964473723099</v>
      </c>
      <c r="I34" s="173">
        <v>111</v>
      </c>
      <c r="J34" s="174">
        <f t="shared" si="12"/>
        <v>27.75</v>
      </c>
      <c r="K34" s="173">
        <v>33</v>
      </c>
      <c r="L34" s="174">
        <f t="shared" si="11"/>
        <v>3.0738323513405059</v>
      </c>
      <c r="M34" s="176">
        <f t="shared" si="5"/>
        <v>5.12</v>
      </c>
      <c r="N34" s="176"/>
      <c r="O34" s="176"/>
      <c r="P34" s="176"/>
      <c r="Q34" s="176"/>
      <c r="R34" s="176"/>
      <c r="S34" s="176">
        <v>180</v>
      </c>
      <c r="T34" s="177">
        <v>41.8</v>
      </c>
    </row>
    <row r="35" spans="1:20" x14ac:dyDescent="0.25">
      <c r="A35" s="172" t="str">
        <f t="shared" si="7"/>
        <v>CARF  80*5</v>
      </c>
      <c r="B35" s="174">
        <f t="shared" si="8"/>
        <v>11.269612674800992</v>
      </c>
      <c r="C35" s="173">
        <v>80</v>
      </c>
      <c r="D35" s="173"/>
      <c r="E35" s="173">
        <v>5</v>
      </c>
      <c r="F35" s="173">
        <f t="shared" si="9"/>
        <v>5</v>
      </c>
      <c r="G35" s="173">
        <f t="shared" si="10"/>
        <v>10</v>
      </c>
      <c r="H35" s="174">
        <f t="shared" si="3"/>
        <v>14.356194490192346</v>
      </c>
      <c r="I35" s="173">
        <v>131</v>
      </c>
      <c r="J35" s="174">
        <f t="shared" si="12"/>
        <v>32.75</v>
      </c>
      <c r="K35" s="173">
        <v>39.6</v>
      </c>
      <c r="L35" s="174">
        <f t="shared" si="11"/>
        <v>3.0207583259506654</v>
      </c>
      <c r="M35" s="176">
        <f t="shared" si="5"/>
        <v>6</v>
      </c>
      <c r="N35" s="176"/>
      <c r="O35" s="176"/>
      <c r="P35" s="176"/>
      <c r="Q35" s="176"/>
      <c r="R35" s="176"/>
      <c r="S35" s="176">
        <v>218</v>
      </c>
      <c r="T35" s="177">
        <v>49.7</v>
      </c>
    </row>
    <row r="36" spans="1:20" x14ac:dyDescent="0.25">
      <c r="A36" s="172" t="str">
        <f t="shared" si="7"/>
        <v>CARF  80*6</v>
      </c>
      <c r="B36" s="174">
        <f t="shared" si="8"/>
        <v>13.213842251713425</v>
      </c>
      <c r="C36" s="173">
        <v>80</v>
      </c>
      <c r="D36" s="173"/>
      <c r="E36" s="173">
        <v>6</v>
      </c>
      <c r="F36" s="173">
        <f t="shared" si="9"/>
        <v>6</v>
      </c>
      <c r="G36" s="173">
        <f t="shared" si="10"/>
        <v>12</v>
      </c>
      <c r="H36" s="174">
        <f t="shared" si="3"/>
        <v>16.832920065876976</v>
      </c>
      <c r="I36" s="173">
        <v>148</v>
      </c>
      <c r="J36" s="174">
        <f t="shared" si="12"/>
        <v>37</v>
      </c>
      <c r="K36" s="173">
        <v>45.6</v>
      </c>
      <c r="L36" s="174">
        <f t="shared" si="11"/>
        <v>2.9651804436711249</v>
      </c>
      <c r="M36" s="176">
        <f t="shared" si="5"/>
        <v>6.72</v>
      </c>
      <c r="N36" s="176"/>
      <c r="O36" s="176"/>
      <c r="P36" s="176"/>
      <c r="Q36" s="176"/>
      <c r="R36" s="176"/>
      <c r="S36" s="176">
        <v>252</v>
      </c>
      <c r="T36" s="177">
        <v>56.6</v>
      </c>
    </row>
    <row r="37" spans="1:20" x14ac:dyDescent="0.25">
      <c r="A37" s="172" t="str">
        <f t="shared" si="7"/>
        <v>CARF  80*6.3</v>
      </c>
      <c r="B37" s="174">
        <f t="shared" si="8"/>
        <v>13.509530110018739</v>
      </c>
      <c r="C37" s="173">
        <v>80</v>
      </c>
      <c r="D37" s="173"/>
      <c r="E37" s="173">
        <v>6.3</v>
      </c>
      <c r="F37" s="173">
        <f t="shared" si="9"/>
        <v>9.4499999999999993</v>
      </c>
      <c r="G37" s="173">
        <f t="shared" si="10"/>
        <v>15.75</v>
      </c>
      <c r="H37" s="174">
        <f t="shared" si="3"/>
        <v>17.209592496839157</v>
      </c>
      <c r="I37" s="173">
        <v>146</v>
      </c>
      <c r="J37" s="174">
        <f t="shared" si="12"/>
        <v>36.5</v>
      </c>
      <c r="K37" s="173">
        <v>45.8</v>
      </c>
      <c r="L37" s="174">
        <f t="shared" si="11"/>
        <v>2.9126690060060567</v>
      </c>
      <c r="M37" s="176">
        <f t="shared" si="5"/>
        <v>6.1110000000000007</v>
      </c>
      <c r="N37" s="176"/>
      <c r="O37" s="176"/>
      <c r="P37" s="176"/>
      <c r="Q37" s="176"/>
      <c r="R37" s="176"/>
      <c r="S37" s="176">
        <v>261</v>
      </c>
      <c r="T37" s="177">
        <v>57.9</v>
      </c>
    </row>
    <row r="38" spans="1:20" x14ac:dyDescent="0.25">
      <c r="A38" s="178" t="str">
        <f t="shared" si="7"/>
        <v>CARF  80*8</v>
      </c>
      <c r="B38" s="180">
        <f t="shared" si="8"/>
        <v>16.36134459665405</v>
      </c>
      <c r="C38" s="179">
        <v>80</v>
      </c>
      <c r="D38" s="179"/>
      <c r="E38" s="179">
        <v>8</v>
      </c>
      <c r="F38" s="179">
        <f t="shared" si="9"/>
        <v>12</v>
      </c>
      <c r="G38" s="179">
        <f t="shared" si="10"/>
        <v>20</v>
      </c>
      <c r="H38" s="180">
        <f t="shared" si="3"/>
        <v>20.842477193189872</v>
      </c>
      <c r="I38" s="179">
        <v>164</v>
      </c>
      <c r="J38" s="180">
        <f t="shared" si="12"/>
        <v>41</v>
      </c>
      <c r="K38" s="179">
        <v>53.3</v>
      </c>
      <c r="L38" s="180">
        <f t="shared" si="11"/>
        <v>2.8050929491676082</v>
      </c>
      <c r="M38" s="182">
        <f t="shared" si="5"/>
        <v>6.4</v>
      </c>
      <c r="N38" s="182"/>
      <c r="O38" s="182"/>
      <c r="P38" s="182"/>
      <c r="Q38" s="182"/>
      <c r="R38" s="182"/>
      <c r="S38" s="182">
        <v>307</v>
      </c>
      <c r="T38" s="183">
        <v>66.599999999999994</v>
      </c>
    </row>
    <row r="39" spans="1:20" x14ac:dyDescent="0.25">
      <c r="A39" s="162" t="str">
        <f t="shared" si="7"/>
        <v>CARF  90*3</v>
      </c>
      <c r="B39" s="163">
        <f t="shared" si="8"/>
        <v>8.0134605629283566</v>
      </c>
      <c r="C39" s="64">
        <v>90</v>
      </c>
      <c r="E39" s="64">
        <v>3</v>
      </c>
      <c r="F39" s="64">
        <f t="shared" si="9"/>
        <v>3</v>
      </c>
      <c r="G39" s="64">
        <f t="shared" si="10"/>
        <v>6</v>
      </c>
      <c r="H39" s="163">
        <f t="shared" si="3"/>
        <v>10.208230016469244</v>
      </c>
      <c r="I39" s="64">
        <v>127</v>
      </c>
      <c r="J39" s="163">
        <f t="shared" si="12"/>
        <v>28.222222222222221</v>
      </c>
      <c r="K39" s="64">
        <v>33</v>
      </c>
      <c r="L39" s="163">
        <f t="shared" si="11"/>
        <v>3.5271719888974147</v>
      </c>
      <c r="M39" s="165">
        <f t="shared" si="5"/>
        <v>4.68</v>
      </c>
      <c r="N39" s="165"/>
      <c r="O39" s="165"/>
      <c r="P39" s="165"/>
      <c r="Q39" s="165"/>
      <c r="R39" s="165"/>
      <c r="S39" s="165">
        <v>201</v>
      </c>
      <c r="T39" s="64">
        <v>42.5</v>
      </c>
    </row>
    <row r="40" spans="1:20" x14ac:dyDescent="0.25">
      <c r="A40" s="162" t="str">
        <f t="shared" si="7"/>
        <v>CARF  90*4</v>
      </c>
      <c r="B40" s="163">
        <f t="shared" si="8"/>
        <v>10.478152111872635</v>
      </c>
      <c r="C40" s="64">
        <v>90</v>
      </c>
      <c r="E40" s="64">
        <v>4</v>
      </c>
      <c r="F40" s="64">
        <f t="shared" si="9"/>
        <v>4</v>
      </c>
      <c r="G40" s="64">
        <f t="shared" si="10"/>
        <v>8</v>
      </c>
      <c r="H40" s="163">
        <f t="shared" si="3"/>
        <v>13.347964473723101</v>
      </c>
      <c r="I40" s="64">
        <v>161</v>
      </c>
      <c r="J40" s="163">
        <f t="shared" si="12"/>
        <v>35.777777777777779</v>
      </c>
      <c r="K40" s="64">
        <v>42.5</v>
      </c>
      <c r="L40" s="163">
        <f t="shared" si="11"/>
        <v>3.4730050673157313</v>
      </c>
      <c r="M40" s="165">
        <f t="shared" si="5"/>
        <v>5.92</v>
      </c>
      <c r="N40" s="165"/>
      <c r="O40" s="165"/>
      <c r="P40" s="165"/>
      <c r="Q40" s="165"/>
      <c r="R40" s="165"/>
      <c r="S40" s="165">
        <v>261</v>
      </c>
      <c r="T40" s="64">
        <v>54.2</v>
      </c>
    </row>
    <row r="41" spans="1:20" x14ac:dyDescent="0.25">
      <c r="A41" s="162" t="str">
        <f t="shared" si="7"/>
        <v>CARF  90*5</v>
      </c>
      <c r="B41" s="163">
        <f t="shared" si="8"/>
        <v>12.839612674800991</v>
      </c>
      <c r="C41" s="64">
        <v>90</v>
      </c>
      <c r="E41" s="64">
        <v>5</v>
      </c>
      <c r="F41" s="64">
        <f t="shared" si="9"/>
        <v>5</v>
      </c>
      <c r="G41" s="64">
        <f t="shared" si="10"/>
        <v>10</v>
      </c>
      <c r="H41" s="163">
        <f t="shared" si="3"/>
        <v>16.356194490192344</v>
      </c>
      <c r="I41" s="64">
        <v>192</v>
      </c>
      <c r="J41" s="163">
        <f t="shared" si="12"/>
        <v>42.666666666666664</v>
      </c>
      <c r="K41" s="64">
        <v>51.3</v>
      </c>
      <c r="L41" s="163">
        <f t="shared" si="11"/>
        <v>3.4261745227117366</v>
      </c>
      <c r="M41" s="165">
        <f t="shared" si="5"/>
        <v>7</v>
      </c>
      <c r="N41" s="165"/>
      <c r="O41" s="165"/>
      <c r="P41" s="165"/>
      <c r="Q41" s="165"/>
      <c r="R41" s="165"/>
      <c r="S41" s="165">
        <v>316</v>
      </c>
      <c r="T41" s="64">
        <v>64.7</v>
      </c>
    </row>
    <row r="42" spans="1:20" x14ac:dyDescent="0.25">
      <c r="A42" s="162" t="str">
        <f t="shared" si="7"/>
        <v>CARF  90*6</v>
      </c>
      <c r="B42" s="163">
        <f t="shared" si="8"/>
        <v>15.097842251713429</v>
      </c>
      <c r="C42" s="64">
        <v>90</v>
      </c>
      <c r="E42" s="64">
        <v>6</v>
      </c>
      <c r="F42" s="64">
        <f t="shared" si="9"/>
        <v>6</v>
      </c>
      <c r="G42" s="64">
        <f t="shared" si="10"/>
        <v>12</v>
      </c>
      <c r="H42" s="163">
        <f t="shared" si="3"/>
        <v>19.232920065876979</v>
      </c>
      <c r="I42" s="64">
        <v>219</v>
      </c>
      <c r="J42" s="163">
        <f t="shared" si="12"/>
        <v>48.666666666666664</v>
      </c>
      <c r="K42" s="64">
        <v>59.4</v>
      </c>
      <c r="L42" s="163">
        <f t="shared" si="11"/>
        <v>3.3744223904996318</v>
      </c>
      <c r="M42" s="165">
        <f t="shared" si="5"/>
        <v>7.92</v>
      </c>
      <c r="N42" s="165"/>
      <c r="O42" s="165"/>
      <c r="P42" s="165"/>
      <c r="Q42" s="165"/>
      <c r="R42" s="165"/>
      <c r="S42" s="165">
        <v>368</v>
      </c>
      <c r="T42" s="64">
        <v>742</v>
      </c>
    </row>
    <row r="43" spans="1:20" x14ac:dyDescent="0.25">
      <c r="A43" s="162" t="str">
        <f t="shared" si="7"/>
        <v>CARF  90*6.3</v>
      </c>
      <c r="B43" s="163">
        <f t="shared" si="8"/>
        <v>15.487730110018738</v>
      </c>
      <c r="C43" s="64">
        <v>90</v>
      </c>
      <c r="E43" s="64">
        <v>6.3</v>
      </c>
      <c r="F43" s="64">
        <f t="shared" si="9"/>
        <v>9.4499999999999993</v>
      </c>
      <c r="G43" s="64">
        <f t="shared" si="10"/>
        <v>15.75</v>
      </c>
      <c r="H43" s="163">
        <f t="shared" si="3"/>
        <v>19.729592496839157</v>
      </c>
      <c r="I43" s="64">
        <v>219</v>
      </c>
      <c r="J43" s="163">
        <f t="shared" si="12"/>
        <v>48.666666666666664</v>
      </c>
      <c r="K43" s="64">
        <v>60</v>
      </c>
      <c r="L43" s="163">
        <f t="shared" si="11"/>
        <v>3.3316778367869317</v>
      </c>
      <c r="M43" s="165">
        <f t="shared" si="5"/>
        <v>7.3710000000000004</v>
      </c>
      <c r="N43" s="165"/>
      <c r="O43" s="165"/>
      <c r="P43" s="165"/>
      <c r="Q43" s="165"/>
      <c r="R43" s="165"/>
      <c r="S43" s="165">
        <v>382</v>
      </c>
      <c r="T43" s="64">
        <v>76.2</v>
      </c>
    </row>
    <row r="44" spans="1:20" x14ac:dyDescent="0.25">
      <c r="A44" s="162" t="str">
        <f t="shared" si="7"/>
        <v>CARF  90*8</v>
      </c>
      <c r="B44" s="163">
        <f t="shared" si="8"/>
        <v>18.87334459665405</v>
      </c>
      <c r="C44" s="64">
        <v>90</v>
      </c>
      <c r="E44" s="64">
        <v>8</v>
      </c>
      <c r="F44" s="64">
        <f t="shared" si="9"/>
        <v>12</v>
      </c>
      <c r="G44" s="64">
        <f t="shared" si="10"/>
        <v>20</v>
      </c>
      <c r="H44" s="163">
        <f t="shared" si="3"/>
        <v>24.042477193189871</v>
      </c>
      <c r="I44" s="64">
        <v>250</v>
      </c>
      <c r="J44" s="163">
        <f t="shared" si="12"/>
        <v>55.555555555555557</v>
      </c>
      <c r="K44" s="64">
        <v>70.7</v>
      </c>
      <c r="L44" s="163">
        <f t="shared" si="11"/>
        <v>3.2246337710371797</v>
      </c>
      <c r="M44" s="165">
        <f t="shared" si="5"/>
        <v>8</v>
      </c>
      <c r="N44" s="165"/>
      <c r="O44" s="165"/>
      <c r="P44" s="165"/>
      <c r="Q44" s="165"/>
      <c r="R44" s="165"/>
      <c r="S44" s="165">
        <v>456</v>
      </c>
      <c r="T44" s="64">
        <v>88.8</v>
      </c>
    </row>
    <row r="45" spans="1:20" x14ac:dyDescent="0.25">
      <c r="A45" s="166" t="str">
        <f t="shared" si="7"/>
        <v>CARF  100*3</v>
      </c>
      <c r="B45" s="168">
        <f t="shared" si="8"/>
        <v>8.9554605629283568</v>
      </c>
      <c r="C45" s="167">
        <v>100</v>
      </c>
      <c r="D45" s="167"/>
      <c r="E45" s="167">
        <v>3</v>
      </c>
      <c r="F45" s="167">
        <f t="shared" si="9"/>
        <v>3</v>
      </c>
      <c r="G45" s="167">
        <f t="shared" si="10"/>
        <v>6</v>
      </c>
      <c r="H45" s="168">
        <f t="shared" si="3"/>
        <v>11.408230016469245</v>
      </c>
      <c r="I45" s="167">
        <v>177</v>
      </c>
      <c r="J45" s="168">
        <f t="shared" si="12"/>
        <v>35.4</v>
      </c>
      <c r="K45" s="167">
        <v>41.2</v>
      </c>
      <c r="L45" s="168">
        <f t="shared" si="11"/>
        <v>3.9389230689175325</v>
      </c>
      <c r="M45" s="170">
        <f t="shared" si="5"/>
        <v>5.28</v>
      </c>
      <c r="N45" s="170"/>
      <c r="O45" s="170"/>
      <c r="P45" s="170"/>
      <c r="Q45" s="170"/>
      <c r="R45" s="170"/>
      <c r="S45" s="184">
        <v>279</v>
      </c>
      <c r="T45" s="171">
        <v>53.2</v>
      </c>
    </row>
    <row r="46" spans="1:20" x14ac:dyDescent="0.25">
      <c r="A46" s="172" t="str">
        <f t="shared" si="7"/>
        <v>CARF  100*4</v>
      </c>
      <c r="B46" s="174">
        <f t="shared" si="8"/>
        <v>11.734152111872634</v>
      </c>
      <c r="C46" s="173">
        <v>100</v>
      </c>
      <c r="D46" s="173"/>
      <c r="E46" s="173">
        <v>4</v>
      </c>
      <c r="F46" s="173">
        <f t="shared" si="9"/>
        <v>4</v>
      </c>
      <c r="G46" s="173">
        <f t="shared" si="10"/>
        <v>8</v>
      </c>
      <c r="H46" s="174">
        <f t="shared" si="3"/>
        <v>14.947964473723101</v>
      </c>
      <c r="I46" s="173">
        <v>226</v>
      </c>
      <c r="J46" s="174">
        <f t="shared" si="12"/>
        <v>45.2</v>
      </c>
      <c r="K46" s="173">
        <v>53.2</v>
      </c>
      <c r="L46" s="174">
        <f t="shared" si="11"/>
        <v>3.8883306711845824</v>
      </c>
      <c r="M46" s="176">
        <f t="shared" si="5"/>
        <v>6.72</v>
      </c>
      <c r="N46" s="176"/>
      <c r="O46" s="176"/>
      <c r="P46" s="176"/>
      <c r="Q46" s="176"/>
      <c r="R46" s="176"/>
      <c r="S46" s="185">
        <v>362</v>
      </c>
      <c r="T46" s="177">
        <v>68.099999999999994</v>
      </c>
    </row>
    <row r="47" spans="1:20" x14ac:dyDescent="0.25">
      <c r="A47" s="172" t="str">
        <f t="shared" si="7"/>
        <v>CARF  100*5</v>
      </c>
      <c r="B47" s="174">
        <f t="shared" si="8"/>
        <v>14.409612674800991</v>
      </c>
      <c r="C47" s="173">
        <v>100</v>
      </c>
      <c r="D47" s="173"/>
      <c r="E47" s="173">
        <v>5</v>
      </c>
      <c r="F47" s="173">
        <f t="shared" si="9"/>
        <v>5</v>
      </c>
      <c r="G47" s="173">
        <f t="shared" si="10"/>
        <v>10</v>
      </c>
      <c r="H47" s="174">
        <f t="shared" si="3"/>
        <v>18.356194490192344</v>
      </c>
      <c r="I47" s="173">
        <v>270</v>
      </c>
      <c r="J47" s="174">
        <f t="shared" si="12"/>
        <v>54</v>
      </c>
      <c r="K47" s="173">
        <v>64.5</v>
      </c>
      <c r="L47" s="174">
        <f t="shared" si="11"/>
        <v>3.835222431517292</v>
      </c>
      <c r="M47" s="176">
        <f t="shared" si="5"/>
        <v>8</v>
      </c>
      <c r="N47" s="176"/>
      <c r="O47" s="176"/>
      <c r="P47" s="176"/>
      <c r="Q47" s="176"/>
      <c r="R47" s="176"/>
      <c r="S47" s="185">
        <v>441</v>
      </c>
      <c r="T47" s="177">
        <v>81.7</v>
      </c>
    </row>
    <row r="48" spans="1:20" x14ac:dyDescent="0.25">
      <c r="A48" s="172" t="str">
        <f t="shared" si="7"/>
        <v>CARF  100*6</v>
      </c>
      <c r="B48" s="174">
        <f t="shared" si="8"/>
        <v>16.981842251713427</v>
      </c>
      <c r="C48" s="173">
        <v>100</v>
      </c>
      <c r="D48" s="173"/>
      <c r="E48" s="173">
        <v>6</v>
      </c>
      <c r="F48" s="173">
        <f t="shared" si="9"/>
        <v>6</v>
      </c>
      <c r="G48" s="173">
        <f t="shared" si="10"/>
        <v>12</v>
      </c>
      <c r="H48" s="174">
        <f t="shared" si="3"/>
        <v>21.632920065876981</v>
      </c>
      <c r="I48" s="173">
        <v>310</v>
      </c>
      <c r="J48" s="174">
        <f t="shared" si="12"/>
        <v>62</v>
      </c>
      <c r="K48" s="173">
        <v>74.900000000000006</v>
      </c>
      <c r="L48" s="174">
        <f t="shared" si="11"/>
        <v>3.7855002058735319</v>
      </c>
      <c r="M48" s="176">
        <f t="shared" si="5"/>
        <v>9.120000000000001</v>
      </c>
      <c r="N48" s="176"/>
      <c r="O48" s="176"/>
      <c r="P48" s="176"/>
      <c r="Q48" s="176"/>
      <c r="R48" s="176"/>
      <c r="S48" s="185">
        <v>514</v>
      </c>
      <c r="T48" s="177">
        <v>94.1</v>
      </c>
    </row>
    <row r="49" spans="1:20" x14ac:dyDescent="0.25">
      <c r="A49" s="172" t="str">
        <f t="shared" si="7"/>
        <v>CARF  100*6.3</v>
      </c>
      <c r="B49" s="174">
        <f t="shared" si="8"/>
        <v>17.465930110018743</v>
      </c>
      <c r="C49" s="173">
        <v>100</v>
      </c>
      <c r="D49" s="173"/>
      <c r="E49" s="173">
        <v>6.3</v>
      </c>
      <c r="F49" s="173">
        <f t="shared" si="9"/>
        <v>9.4499999999999993</v>
      </c>
      <c r="G49" s="173">
        <f t="shared" si="10"/>
        <v>15.75</v>
      </c>
      <c r="H49" s="174">
        <f t="shared" si="3"/>
        <v>22.24959249683916</v>
      </c>
      <c r="I49" s="173">
        <v>311</v>
      </c>
      <c r="J49" s="174">
        <f t="shared" si="12"/>
        <v>62.2</v>
      </c>
      <c r="K49" s="173">
        <v>76.099999999999994</v>
      </c>
      <c r="L49" s="174">
        <f t="shared" si="11"/>
        <v>3.738687482191049</v>
      </c>
      <c r="M49" s="176">
        <f t="shared" si="5"/>
        <v>8.6310000000000002</v>
      </c>
      <c r="N49" s="176"/>
      <c r="O49" s="176"/>
      <c r="P49" s="176"/>
      <c r="Q49" s="176"/>
      <c r="R49" s="176"/>
      <c r="S49" s="185">
        <v>536</v>
      </c>
      <c r="T49" s="177">
        <v>97</v>
      </c>
    </row>
    <row r="50" spans="1:20" x14ac:dyDescent="0.25">
      <c r="A50" s="172" t="str">
        <f t="shared" si="7"/>
        <v>CARF  100*8</v>
      </c>
      <c r="B50" s="174">
        <f t="shared" si="8"/>
        <v>21.385344596654047</v>
      </c>
      <c r="C50" s="173">
        <v>100</v>
      </c>
      <c r="D50" s="173"/>
      <c r="E50" s="173">
        <v>8</v>
      </c>
      <c r="F50" s="173">
        <f t="shared" si="9"/>
        <v>12</v>
      </c>
      <c r="G50" s="173">
        <f t="shared" si="10"/>
        <v>20</v>
      </c>
      <c r="H50" s="174">
        <f t="shared" si="3"/>
        <v>27.24247719318987</v>
      </c>
      <c r="I50" s="173">
        <v>360</v>
      </c>
      <c r="J50" s="174">
        <f t="shared" si="12"/>
        <v>72</v>
      </c>
      <c r="K50" s="173">
        <v>90.4</v>
      </c>
      <c r="L50" s="174">
        <f t="shared" si="11"/>
        <v>3.6351970092311241</v>
      </c>
      <c r="M50" s="176">
        <f t="shared" si="5"/>
        <v>9.6</v>
      </c>
      <c r="N50" s="176"/>
      <c r="O50" s="176"/>
      <c r="P50" s="176"/>
      <c r="Q50" s="176"/>
      <c r="R50" s="176"/>
      <c r="S50" s="185">
        <v>645</v>
      </c>
      <c r="T50" s="177">
        <v>114</v>
      </c>
    </row>
    <row r="51" spans="1:20" x14ac:dyDescent="0.25">
      <c r="A51" s="172" t="str">
        <f t="shared" si="7"/>
        <v>CARF  100*10</v>
      </c>
      <c r="B51" s="174">
        <f t="shared" si="8"/>
        <v>25.564600932271951</v>
      </c>
      <c r="C51" s="173">
        <v>100</v>
      </c>
      <c r="D51" s="173"/>
      <c r="E51" s="173">
        <v>10</v>
      </c>
      <c r="F51" s="173">
        <f t="shared" si="9"/>
        <v>15</v>
      </c>
      <c r="G51" s="173">
        <f t="shared" si="10"/>
        <v>25</v>
      </c>
      <c r="H51" s="174">
        <f t="shared" si="3"/>
        <v>32.566370614359172</v>
      </c>
      <c r="I51" s="173">
        <v>400</v>
      </c>
      <c r="J51" s="174">
        <f t="shared" si="12"/>
        <v>80</v>
      </c>
      <c r="K51" s="173">
        <v>104</v>
      </c>
      <c r="L51" s="174">
        <f t="shared" si="11"/>
        <v>3.5046553465496788</v>
      </c>
      <c r="M51" s="176">
        <f t="shared" si="5"/>
        <v>10</v>
      </c>
      <c r="N51" s="176"/>
      <c r="O51" s="176"/>
      <c r="P51" s="176"/>
      <c r="Q51" s="176"/>
      <c r="R51" s="176"/>
      <c r="S51" s="185">
        <v>750</v>
      </c>
      <c r="T51" s="177">
        <v>130</v>
      </c>
    </row>
    <row r="52" spans="1:20" x14ac:dyDescent="0.25">
      <c r="A52" s="172" t="str">
        <f t="shared" si="7"/>
        <v>CARF  100*12</v>
      </c>
      <c r="B52" s="174">
        <f t="shared" si="8"/>
        <v>28.306681678089518</v>
      </c>
      <c r="C52" s="173">
        <v>100</v>
      </c>
      <c r="D52" s="173"/>
      <c r="E52" s="173">
        <v>12</v>
      </c>
      <c r="F52" s="173">
        <f t="shared" si="9"/>
        <v>24</v>
      </c>
      <c r="G52" s="173">
        <f t="shared" si="10"/>
        <v>36</v>
      </c>
      <c r="H52" s="174">
        <f t="shared" si="3"/>
        <v>36.059467105846515</v>
      </c>
      <c r="I52" s="173">
        <v>382</v>
      </c>
      <c r="J52" s="174">
        <f t="shared" si="12"/>
        <v>76.400000000000006</v>
      </c>
      <c r="K52" s="173">
        <v>107</v>
      </c>
      <c r="L52" s="174">
        <f t="shared" si="11"/>
        <v>3.2547829273905253</v>
      </c>
      <c r="M52" s="176">
        <f t="shared" si="5"/>
        <v>6.72</v>
      </c>
      <c r="N52" s="176"/>
      <c r="O52" s="176"/>
      <c r="P52" s="176"/>
      <c r="Q52" s="176"/>
      <c r="R52" s="176"/>
      <c r="S52" s="185">
        <v>794</v>
      </c>
      <c r="T52" s="177">
        <v>136</v>
      </c>
    </row>
    <row r="53" spans="1:20" x14ac:dyDescent="0.25">
      <c r="A53" s="178" t="str">
        <f t="shared" si="7"/>
        <v>CARF  100*12.5</v>
      </c>
      <c r="B53" s="180">
        <f t="shared" si="8"/>
        <v>29.079298695843654</v>
      </c>
      <c r="C53" s="179">
        <v>100</v>
      </c>
      <c r="D53" s="179"/>
      <c r="E53" s="179">
        <v>12.5</v>
      </c>
      <c r="F53" s="179">
        <f t="shared" si="9"/>
        <v>25</v>
      </c>
      <c r="G53" s="179">
        <f t="shared" si="10"/>
        <v>37.5</v>
      </c>
      <c r="H53" s="180">
        <f t="shared" si="3"/>
        <v>37.043692606170261</v>
      </c>
      <c r="I53" s="179">
        <v>381</v>
      </c>
      <c r="J53" s="180">
        <f t="shared" si="12"/>
        <v>76.2</v>
      </c>
      <c r="K53" s="179">
        <v>108</v>
      </c>
      <c r="L53" s="180">
        <f t="shared" si="11"/>
        <v>3.207047201782228</v>
      </c>
      <c r="M53" s="182">
        <f t="shared" si="5"/>
        <v>6.25</v>
      </c>
      <c r="N53" s="182"/>
      <c r="O53" s="182"/>
      <c r="P53" s="182"/>
      <c r="Q53" s="182"/>
      <c r="R53" s="182"/>
      <c r="S53" s="186">
        <v>804</v>
      </c>
      <c r="T53" s="183">
        <v>137</v>
      </c>
    </row>
    <row r="54" spans="1:20" x14ac:dyDescent="0.25">
      <c r="A54" s="162" t="str">
        <f t="shared" si="7"/>
        <v>CARF  120*3</v>
      </c>
      <c r="B54" s="163">
        <f t="shared" si="8"/>
        <v>10.839460562928357</v>
      </c>
      <c r="C54" s="64">
        <v>120</v>
      </c>
      <c r="E54" s="64">
        <v>3</v>
      </c>
      <c r="F54" s="64">
        <f t="shared" si="9"/>
        <v>3</v>
      </c>
      <c r="G54" s="64">
        <f t="shared" si="10"/>
        <v>6</v>
      </c>
      <c r="H54" s="163">
        <f t="shared" si="3"/>
        <v>13.808230016469246</v>
      </c>
      <c r="I54" s="64">
        <v>312</v>
      </c>
      <c r="J54" s="163">
        <f t="shared" si="12"/>
        <v>52</v>
      </c>
      <c r="K54" s="64">
        <v>60.2</v>
      </c>
      <c r="L54" s="163">
        <f t="shared" si="11"/>
        <v>4.7534430005768282</v>
      </c>
      <c r="M54" s="165">
        <f t="shared" si="5"/>
        <v>6.48</v>
      </c>
      <c r="N54" s="165"/>
      <c r="O54" s="165"/>
      <c r="P54" s="165"/>
      <c r="Q54" s="165"/>
      <c r="R54" s="165"/>
      <c r="S54" s="187">
        <v>488</v>
      </c>
      <c r="T54" s="64">
        <v>78.2</v>
      </c>
    </row>
    <row r="55" spans="1:20" x14ac:dyDescent="0.25">
      <c r="A55" s="162" t="str">
        <f t="shared" si="7"/>
        <v>CARF  120*4</v>
      </c>
      <c r="B55" s="163">
        <f t="shared" si="8"/>
        <v>14.246152111872632</v>
      </c>
      <c r="C55" s="64">
        <v>120</v>
      </c>
      <c r="E55" s="64">
        <v>4</v>
      </c>
      <c r="F55" s="64">
        <f t="shared" si="9"/>
        <v>4</v>
      </c>
      <c r="G55" s="64">
        <f t="shared" si="10"/>
        <v>8</v>
      </c>
      <c r="H55" s="163">
        <f t="shared" si="3"/>
        <v>18.1479644737231</v>
      </c>
      <c r="I55" s="64">
        <v>402</v>
      </c>
      <c r="J55" s="163">
        <f t="shared" si="12"/>
        <v>67</v>
      </c>
      <c r="K55" s="64">
        <v>78.3</v>
      </c>
      <c r="L55" s="163">
        <f t="shared" si="11"/>
        <v>4.7065108729577618</v>
      </c>
      <c r="M55" s="165">
        <f t="shared" si="5"/>
        <v>8.32</v>
      </c>
      <c r="N55" s="165"/>
      <c r="O55" s="165"/>
      <c r="P55" s="165"/>
      <c r="Q55" s="165"/>
      <c r="R55" s="165"/>
      <c r="S55" s="187">
        <v>637</v>
      </c>
      <c r="T55" s="64">
        <v>101</v>
      </c>
    </row>
    <row r="56" spans="1:20" x14ac:dyDescent="0.25">
      <c r="A56" s="162" t="str">
        <f t="shared" si="7"/>
        <v>CARF  120*5</v>
      </c>
      <c r="B56" s="163">
        <f t="shared" si="8"/>
        <v>17.549612674800994</v>
      </c>
      <c r="C56" s="64">
        <v>120</v>
      </c>
      <c r="E56" s="64">
        <v>5</v>
      </c>
      <c r="F56" s="64">
        <f t="shared" si="9"/>
        <v>5</v>
      </c>
      <c r="G56" s="64">
        <f t="shared" si="10"/>
        <v>10</v>
      </c>
      <c r="H56" s="163">
        <f t="shared" si="3"/>
        <v>22.356194490192348</v>
      </c>
      <c r="I56" s="64">
        <v>484</v>
      </c>
      <c r="J56" s="163">
        <f t="shared" si="12"/>
        <v>80.666666666666671</v>
      </c>
      <c r="K56" s="64">
        <v>95.4</v>
      </c>
      <c r="L56" s="163">
        <f t="shared" si="11"/>
        <v>4.6529002405992657</v>
      </c>
      <c r="M56" s="165">
        <f t="shared" si="5"/>
        <v>10</v>
      </c>
      <c r="N56" s="165"/>
      <c r="O56" s="165"/>
      <c r="P56" s="165"/>
      <c r="Q56" s="165"/>
      <c r="R56" s="165"/>
      <c r="S56" s="187">
        <v>778</v>
      </c>
      <c r="T56" s="64">
        <v>122</v>
      </c>
    </row>
    <row r="57" spans="1:20" x14ac:dyDescent="0.25">
      <c r="A57" s="162" t="str">
        <f t="shared" si="7"/>
        <v>CARF  120*6</v>
      </c>
      <c r="B57" s="163">
        <f t="shared" si="8"/>
        <v>20.749842251713428</v>
      </c>
      <c r="C57" s="64">
        <v>120</v>
      </c>
      <c r="E57" s="64">
        <v>6</v>
      </c>
      <c r="F57" s="64">
        <f t="shared" si="9"/>
        <v>6</v>
      </c>
      <c r="G57" s="64">
        <f t="shared" si="10"/>
        <v>12</v>
      </c>
      <c r="H57" s="163">
        <f t="shared" si="3"/>
        <v>26.432920065876978</v>
      </c>
      <c r="I57" s="64">
        <v>560</v>
      </c>
      <c r="J57" s="163">
        <f t="shared" si="12"/>
        <v>93.333333333333329</v>
      </c>
      <c r="K57" s="64">
        <v>111</v>
      </c>
      <c r="L57" s="163">
        <f t="shared" si="11"/>
        <v>4.6027929813668269</v>
      </c>
      <c r="M57" s="165">
        <f t="shared" si="5"/>
        <v>11.52</v>
      </c>
      <c r="N57" s="165"/>
      <c r="O57" s="165"/>
      <c r="P57" s="165"/>
      <c r="Q57" s="165"/>
      <c r="R57" s="165"/>
      <c r="S57" s="187">
        <v>913</v>
      </c>
      <c r="T57" s="64">
        <v>141</v>
      </c>
    </row>
    <row r="58" spans="1:20" x14ac:dyDescent="0.25">
      <c r="A58" s="162" t="str">
        <f t="shared" si="7"/>
        <v>CARF  120*6.3</v>
      </c>
      <c r="B58" s="163">
        <f t="shared" si="8"/>
        <v>21.422330110018738</v>
      </c>
      <c r="C58" s="64">
        <v>120</v>
      </c>
      <c r="E58" s="64">
        <v>6.3</v>
      </c>
      <c r="F58" s="64">
        <f t="shared" si="9"/>
        <v>9.4499999999999993</v>
      </c>
      <c r="G58" s="64">
        <f t="shared" si="10"/>
        <v>15.75</v>
      </c>
      <c r="H58" s="163">
        <f t="shared" si="3"/>
        <v>27.289592496839155</v>
      </c>
      <c r="I58" s="64">
        <v>568</v>
      </c>
      <c r="J58" s="163">
        <f t="shared" si="12"/>
        <v>94.666666666666671</v>
      </c>
      <c r="K58" s="64">
        <v>114</v>
      </c>
      <c r="L58" s="163">
        <f t="shared" si="11"/>
        <v>4.562213891449364</v>
      </c>
      <c r="M58" s="165">
        <f t="shared" si="5"/>
        <v>11.151</v>
      </c>
      <c r="N58" s="165"/>
      <c r="O58" s="165"/>
      <c r="P58" s="165"/>
      <c r="Q58" s="165"/>
      <c r="R58" s="165"/>
      <c r="S58" s="187">
        <v>955</v>
      </c>
      <c r="T58" s="64">
        <v>146</v>
      </c>
    </row>
    <row r="59" spans="1:20" x14ac:dyDescent="0.25">
      <c r="A59" s="162" t="str">
        <f t="shared" si="7"/>
        <v>CARF  120*8</v>
      </c>
      <c r="B59" s="163">
        <f t="shared" si="8"/>
        <v>26.409344596654048</v>
      </c>
      <c r="C59" s="64">
        <v>120</v>
      </c>
      <c r="E59" s="64">
        <v>8</v>
      </c>
      <c r="F59" s="64">
        <f t="shared" si="9"/>
        <v>12</v>
      </c>
      <c r="G59" s="64">
        <f t="shared" si="10"/>
        <v>20</v>
      </c>
      <c r="H59" s="163">
        <f t="shared" si="3"/>
        <v>33.642477193189869</v>
      </c>
      <c r="I59" s="64">
        <v>670</v>
      </c>
      <c r="J59" s="163">
        <f t="shared" si="12"/>
        <v>111.66666666666667</v>
      </c>
      <c r="K59" s="64">
        <v>137</v>
      </c>
      <c r="L59" s="163">
        <f t="shared" si="11"/>
        <v>4.4626560729921838</v>
      </c>
      <c r="M59" s="165">
        <f t="shared" si="5"/>
        <v>12.8</v>
      </c>
      <c r="N59" s="165"/>
      <c r="O59" s="165"/>
      <c r="P59" s="165"/>
      <c r="Q59" s="165"/>
      <c r="R59" s="165"/>
      <c r="S59" s="187">
        <v>1163</v>
      </c>
      <c r="T59" s="64">
        <v>175</v>
      </c>
    </row>
    <row r="60" spans="1:20" x14ac:dyDescent="0.25">
      <c r="A60" s="162" t="str">
        <f t="shared" si="7"/>
        <v>CARF  120*10</v>
      </c>
      <c r="B60" s="163">
        <f t="shared" si="8"/>
        <v>31.844600932271952</v>
      </c>
      <c r="C60" s="64">
        <v>120</v>
      </c>
      <c r="E60" s="64">
        <v>10</v>
      </c>
      <c r="F60" s="64">
        <f t="shared" si="9"/>
        <v>15</v>
      </c>
      <c r="G60" s="64">
        <f t="shared" si="10"/>
        <v>25</v>
      </c>
      <c r="H60" s="163">
        <f t="shared" si="3"/>
        <v>40.56637061435918</v>
      </c>
      <c r="I60" s="64">
        <v>763</v>
      </c>
      <c r="J60" s="163">
        <f t="shared" si="12"/>
        <v>127.16666666666667</v>
      </c>
      <c r="K60" s="64">
        <v>161</v>
      </c>
      <c r="L60" s="163">
        <f t="shared" si="11"/>
        <v>4.3368978392643793</v>
      </c>
      <c r="M60" s="165">
        <f t="shared" si="5"/>
        <v>14</v>
      </c>
      <c r="N60" s="165"/>
      <c r="O60" s="165"/>
      <c r="P60" s="165"/>
      <c r="Q60" s="165"/>
      <c r="R60" s="165"/>
      <c r="S60" s="187">
        <v>1376</v>
      </c>
      <c r="T60" s="64">
        <v>203</v>
      </c>
    </row>
    <row r="61" spans="1:20" x14ac:dyDescent="0.25">
      <c r="A61" s="162" t="str">
        <f t="shared" si="7"/>
        <v>CARF  120*12</v>
      </c>
      <c r="B61" s="163">
        <f t="shared" si="8"/>
        <v>35.842681678089512</v>
      </c>
      <c r="C61" s="64">
        <v>120</v>
      </c>
      <c r="E61" s="64">
        <v>12</v>
      </c>
      <c r="F61" s="64">
        <f t="shared" si="9"/>
        <v>24</v>
      </c>
      <c r="G61" s="64">
        <f t="shared" si="10"/>
        <v>36</v>
      </c>
      <c r="H61" s="163">
        <f t="shared" si="3"/>
        <v>45.65946710584651</v>
      </c>
      <c r="I61" s="64">
        <v>774</v>
      </c>
      <c r="J61" s="163">
        <f t="shared" si="12"/>
        <v>129</v>
      </c>
      <c r="K61" s="64">
        <v>171</v>
      </c>
      <c r="L61" s="163">
        <f t="shared" si="11"/>
        <v>4.1172293601347096</v>
      </c>
      <c r="M61" s="165">
        <f t="shared" si="5"/>
        <v>11.52</v>
      </c>
      <c r="N61" s="165"/>
      <c r="O61" s="165"/>
      <c r="P61" s="165"/>
      <c r="Q61" s="165"/>
      <c r="R61" s="165"/>
      <c r="S61" s="187">
        <v>1518</v>
      </c>
      <c r="T61" s="64">
        <v>219</v>
      </c>
    </row>
    <row r="62" spans="1:20" x14ac:dyDescent="0.25">
      <c r="A62" s="162" t="str">
        <f t="shared" si="7"/>
        <v>CARF  120*12.5</v>
      </c>
      <c r="B62" s="163">
        <f t="shared" si="8"/>
        <v>36.929298695843656</v>
      </c>
      <c r="C62" s="64">
        <v>120</v>
      </c>
      <c r="E62" s="64">
        <v>12.5</v>
      </c>
      <c r="F62" s="64">
        <f t="shared" si="9"/>
        <v>25</v>
      </c>
      <c r="G62" s="64">
        <f t="shared" si="10"/>
        <v>37.5</v>
      </c>
      <c r="H62" s="163">
        <f t="shared" si="3"/>
        <v>47.043692606170261</v>
      </c>
      <c r="I62" s="64">
        <v>781</v>
      </c>
      <c r="J62" s="163">
        <f t="shared" si="12"/>
        <v>130.16666666666666</v>
      </c>
      <c r="K62" s="64">
        <v>174</v>
      </c>
      <c r="L62" s="163">
        <f t="shared" si="11"/>
        <v>4.0745046255647273</v>
      </c>
      <c r="M62" s="165">
        <f t="shared" si="5"/>
        <v>11.25</v>
      </c>
      <c r="N62" s="165"/>
      <c r="O62" s="165"/>
      <c r="P62" s="165"/>
      <c r="Q62" s="165"/>
      <c r="R62" s="165"/>
      <c r="S62" s="187">
        <v>1551</v>
      </c>
      <c r="T62" s="64">
        <v>223</v>
      </c>
    </row>
    <row r="63" spans="1:20" x14ac:dyDescent="0.25">
      <c r="A63" s="166" t="str">
        <f t="shared" si="7"/>
        <v>CARF  140*4</v>
      </c>
      <c r="B63" s="168">
        <f t="shared" si="8"/>
        <v>16.758152111872633</v>
      </c>
      <c r="C63" s="167">
        <v>140</v>
      </c>
      <c r="D63" s="167"/>
      <c r="E63" s="167">
        <v>4</v>
      </c>
      <c r="F63" s="167">
        <f t="shared" si="9"/>
        <v>4</v>
      </c>
      <c r="G63" s="167">
        <f t="shared" si="10"/>
        <v>8</v>
      </c>
      <c r="H63" s="168">
        <f t="shared" si="3"/>
        <v>21.347964473723099</v>
      </c>
      <c r="I63" s="184">
        <v>651</v>
      </c>
      <c r="J63" s="168">
        <f t="shared" si="12"/>
        <v>93</v>
      </c>
      <c r="K63" s="167">
        <v>108</v>
      </c>
      <c r="L63" s="168">
        <f t="shared" si="11"/>
        <v>5.5222016143093438</v>
      </c>
      <c r="M63" s="170">
        <f t="shared" si="5"/>
        <v>9.92</v>
      </c>
      <c r="N63" s="170"/>
      <c r="O63" s="170"/>
      <c r="P63" s="170"/>
      <c r="Q63" s="170"/>
      <c r="R63" s="170"/>
      <c r="S63" s="184">
        <v>1023</v>
      </c>
      <c r="T63" s="171">
        <v>140</v>
      </c>
    </row>
    <row r="64" spans="1:20" x14ac:dyDescent="0.25">
      <c r="A64" s="172" t="str">
        <f t="shared" si="7"/>
        <v>CARF  140*5</v>
      </c>
      <c r="B64" s="174">
        <f t="shared" si="8"/>
        <v>20.689612674800994</v>
      </c>
      <c r="C64" s="173">
        <v>140</v>
      </c>
      <c r="D64" s="173"/>
      <c r="E64" s="173">
        <v>5</v>
      </c>
      <c r="F64" s="173">
        <f t="shared" si="9"/>
        <v>5</v>
      </c>
      <c r="G64" s="173">
        <f t="shared" si="10"/>
        <v>10</v>
      </c>
      <c r="H64" s="174">
        <f t="shared" si="3"/>
        <v>26.356194490192348</v>
      </c>
      <c r="I64" s="185">
        <v>789</v>
      </c>
      <c r="J64" s="174">
        <f t="shared" si="12"/>
        <v>112.71428571428571</v>
      </c>
      <c r="K64" s="173">
        <v>132</v>
      </c>
      <c r="L64" s="174">
        <f t="shared" si="11"/>
        <v>5.4713834164819986</v>
      </c>
      <c r="M64" s="176">
        <f t="shared" si="5"/>
        <v>12</v>
      </c>
      <c r="N64" s="176"/>
      <c r="O64" s="176"/>
      <c r="P64" s="176"/>
      <c r="Q64" s="176"/>
      <c r="R64" s="176"/>
      <c r="S64" s="185">
        <v>1256</v>
      </c>
      <c r="T64" s="177">
        <v>170</v>
      </c>
    </row>
    <row r="65" spans="1:20" x14ac:dyDescent="0.25">
      <c r="A65" s="172" t="str">
        <f t="shared" si="7"/>
        <v>CARF  140*6</v>
      </c>
      <c r="B65" s="174">
        <f t="shared" si="8"/>
        <v>24.517842251713429</v>
      </c>
      <c r="C65" s="173">
        <v>140</v>
      </c>
      <c r="D65" s="173"/>
      <c r="E65" s="173">
        <v>6</v>
      </c>
      <c r="F65" s="173">
        <f t="shared" si="9"/>
        <v>6</v>
      </c>
      <c r="G65" s="173">
        <f t="shared" si="10"/>
        <v>12</v>
      </c>
      <c r="H65" s="174">
        <f t="shared" si="3"/>
        <v>31.232920065876979</v>
      </c>
      <c r="I65" s="185">
        <v>918</v>
      </c>
      <c r="J65" s="174">
        <f t="shared" si="12"/>
        <v>131.14285714285714</v>
      </c>
      <c r="K65" s="173">
        <v>155</v>
      </c>
      <c r="L65" s="174">
        <f t="shared" si="11"/>
        <v>5.4214448687405783</v>
      </c>
      <c r="M65" s="176">
        <f t="shared" si="5"/>
        <v>13.92</v>
      </c>
      <c r="N65" s="176"/>
      <c r="O65" s="176"/>
      <c r="P65" s="176"/>
      <c r="Q65" s="176"/>
      <c r="R65" s="176"/>
      <c r="S65" s="185">
        <v>1479</v>
      </c>
      <c r="T65" s="177">
        <v>198</v>
      </c>
    </row>
    <row r="66" spans="1:20" x14ac:dyDescent="0.25">
      <c r="A66" s="172" t="str">
        <f t="shared" si="7"/>
        <v>CARF  140*6.3</v>
      </c>
      <c r="B66" s="174">
        <f t="shared" si="8"/>
        <v>25.378730110018736</v>
      </c>
      <c r="C66" s="173">
        <v>140</v>
      </c>
      <c r="D66" s="173"/>
      <c r="E66" s="173">
        <v>6.3</v>
      </c>
      <c r="F66" s="173">
        <f t="shared" si="9"/>
        <v>9.4499999999999993</v>
      </c>
      <c r="G66" s="173">
        <f t="shared" si="10"/>
        <v>15.75</v>
      </c>
      <c r="H66" s="174">
        <f t="shared" si="3"/>
        <v>32.329592496839155</v>
      </c>
      <c r="I66" s="185">
        <v>937</v>
      </c>
      <c r="J66" s="174">
        <f t="shared" si="12"/>
        <v>133.85714285714286</v>
      </c>
      <c r="K66" s="173">
        <v>159</v>
      </c>
      <c r="L66" s="174">
        <f t="shared" si="11"/>
        <v>5.3835615190143793</v>
      </c>
      <c r="M66" s="176">
        <f t="shared" si="5"/>
        <v>13.670999999999999</v>
      </c>
      <c r="N66" s="176"/>
      <c r="O66" s="176"/>
      <c r="P66" s="176"/>
      <c r="Q66" s="176"/>
      <c r="R66" s="176"/>
      <c r="S66" s="185">
        <v>1550</v>
      </c>
      <c r="T66" s="177">
        <v>205</v>
      </c>
    </row>
    <row r="67" spans="1:20" x14ac:dyDescent="0.25">
      <c r="A67" s="172" t="str">
        <f t="shared" si="7"/>
        <v>CARF  140*8</v>
      </c>
      <c r="B67" s="174">
        <f t="shared" si="8"/>
        <v>31.433344596654056</v>
      </c>
      <c r="C67" s="173">
        <v>140</v>
      </c>
      <c r="D67" s="173"/>
      <c r="E67" s="173">
        <v>8</v>
      </c>
      <c r="F67" s="173">
        <f t="shared" si="9"/>
        <v>12</v>
      </c>
      <c r="G67" s="173">
        <f t="shared" si="10"/>
        <v>20</v>
      </c>
      <c r="H67" s="174">
        <f t="shared" si="3"/>
        <v>40.042477193189875</v>
      </c>
      <c r="I67" s="185">
        <v>1119</v>
      </c>
      <c r="J67" s="174">
        <f t="shared" si="12"/>
        <v>159.85714285714286</v>
      </c>
      <c r="K67" s="173">
        <v>194</v>
      </c>
      <c r="L67" s="174">
        <f t="shared" si="11"/>
        <v>5.2863337036942708</v>
      </c>
      <c r="M67" s="176">
        <f t="shared" si="5"/>
        <v>16</v>
      </c>
      <c r="N67" s="176"/>
      <c r="O67" s="176"/>
      <c r="P67" s="176"/>
      <c r="Q67" s="176"/>
      <c r="R67" s="176"/>
      <c r="S67" s="185">
        <v>1901</v>
      </c>
      <c r="T67" s="177">
        <v>248</v>
      </c>
    </row>
    <row r="68" spans="1:20" x14ac:dyDescent="0.25">
      <c r="A68" s="172" t="str">
        <f t="shared" si="7"/>
        <v>CARF  140*10</v>
      </c>
      <c r="B68" s="174">
        <f>(H68*7850)/10000</f>
        <v>38.124600932271953</v>
      </c>
      <c r="C68" s="173">
        <v>140</v>
      </c>
      <c r="D68" s="173"/>
      <c r="E68" s="173">
        <v>10</v>
      </c>
      <c r="F68" s="173">
        <f t="shared" si="9"/>
        <v>15</v>
      </c>
      <c r="G68" s="173">
        <f t="shared" si="10"/>
        <v>25</v>
      </c>
      <c r="H68" s="174">
        <f t="shared" ref="H68:H131" si="13">(4*(C68-2*G68)*E68+PI()*(G68^2-F68^2))*0.01</f>
        <v>48.56637061435918</v>
      </c>
      <c r="I68" s="185">
        <v>1296</v>
      </c>
      <c r="J68" s="174">
        <f t="shared" si="12"/>
        <v>185.14285714285714</v>
      </c>
      <c r="K68" s="173">
        <v>229</v>
      </c>
      <c r="L68" s="174">
        <f t="shared" si="11"/>
        <v>5.1657653626192754</v>
      </c>
      <c r="M68" s="176">
        <f t="shared" ref="M68:M131" si="14">2*(C68-2*G68)*E68*0.01</f>
        <v>18</v>
      </c>
      <c r="N68" s="176"/>
      <c r="O68" s="176"/>
      <c r="P68" s="176"/>
      <c r="Q68" s="176"/>
      <c r="R68" s="176"/>
      <c r="S68" s="185">
        <v>2274</v>
      </c>
      <c r="T68" s="177">
        <v>291</v>
      </c>
    </row>
    <row r="69" spans="1:20" x14ac:dyDescent="0.25">
      <c r="A69" s="172" t="str">
        <f t="shared" si="7"/>
        <v>CARF  140*12</v>
      </c>
      <c r="B69" s="174">
        <f>(H69*7850)/10000</f>
        <v>43.378681678089514</v>
      </c>
      <c r="C69" s="173">
        <v>140</v>
      </c>
      <c r="D69" s="173"/>
      <c r="E69" s="173">
        <v>12</v>
      </c>
      <c r="F69" s="173">
        <f t="shared" si="9"/>
        <v>24</v>
      </c>
      <c r="G69" s="173">
        <f t="shared" si="10"/>
        <v>36</v>
      </c>
      <c r="H69" s="174">
        <f t="shared" si="13"/>
        <v>55.259467105846511</v>
      </c>
      <c r="I69" s="185">
        <v>1361</v>
      </c>
      <c r="J69" s="174">
        <f t="shared" si="12"/>
        <v>194.42857142857142</v>
      </c>
      <c r="K69" s="173">
        <v>250</v>
      </c>
      <c r="L69" s="174">
        <f t="shared" si="11"/>
        <v>4.9627879191380906</v>
      </c>
      <c r="M69" s="176">
        <f t="shared" si="14"/>
        <v>16.32</v>
      </c>
      <c r="N69" s="176"/>
      <c r="O69" s="176"/>
      <c r="P69" s="176"/>
      <c r="Q69" s="176"/>
      <c r="R69" s="176"/>
      <c r="S69" s="185">
        <v>2567</v>
      </c>
      <c r="T69" s="177">
        <v>322</v>
      </c>
    </row>
    <row r="70" spans="1:20" x14ac:dyDescent="0.25">
      <c r="A70" s="178" t="str">
        <f t="shared" si="7"/>
        <v>CARF  140*12.5</v>
      </c>
      <c r="B70" s="180">
        <f>(H70*7850)/10000</f>
        <v>44.779298695843657</v>
      </c>
      <c r="C70" s="179">
        <v>140</v>
      </c>
      <c r="D70" s="179"/>
      <c r="E70" s="179">
        <v>12.5</v>
      </c>
      <c r="F70" s="179">
        <f t="shared" si="9"/>
        <v>25</v>
      </c>
      <c r="G70" s="179">
        <f t="shared" si="10"/>
        <v>37.5</v>
      </c>
      <c r="H70" s="180">
        <f t="shared" si="13"/>
        <v>57.043692606170261</v>
      </c>
      <c r="I70" s="186">
        <v>1383</v>
      </c>
      <c r="J70" s="180">
        <f t="shared" si="12"/>
        <v>197.57142857142858</v>
      </c>
      <c r="K70" s="179">
        <v>256</v>
      </c>
      <c r="L70" s="180">
        <f t="shared" si="11"/>
        <v>4.9238778958538338</v>
      </c>
      <c r="M70" s="182">
        <f t="shared" si="14"/>
        <v>16.25</v>
      </c>
      <c r="N70" s="182"/>
      <c r="O70" s="182"/>
      <c r="P70" s="182"/>
      <c r="Q70" s="182"/>
      <c r="R70" s="182"/>
      <c r="S70" s="186">
        <v>2634</v>
      </c>
      <c r="T70" s="183">
        <v>329</v>
      </c>
    </row>
    <row r="71" spans="1:20" x14ac:dyDescent="0.25">
      <c r="A71" s="162" t="str">
        <f t="shared" si="7"/>
        <v>CARF  150*4</v>
      </c>
      <c r="B71" s="163">
        <f t="shared" si="8"/>
        <v>18.014152111872633</v>
      </c>
      <c r="C71" s="64">
        <v>150</v>
      </c>
      <c r="E71" s="64">
        <v>4</v>
      </c>
      <c r="F71" s="64">
        <f t="shared" si="9"/>
        <v>4</v>
      </c>
      <c r="G71" s="64">
        <f t="shared" si="10"/>
        <v>8</v>
      </c>
      <c r="H71" s="163">
        <f t="shared" si="13"/>
        <v>22.947964473723101</v>
      </c>
      <c r="I71" s="187">
        <v>807</v>
      </c>
      <c r="J71" s="163">
        <f t="shared" si="12"/>
        <v>107.6</v>
      </c>
      <c r="K71" s="64">
        <v>125</v>
      </c>
      <c r="L71" s="163">
        <f t="shared" si="11"/>
        <v>5.9301364023408514</v>
      </c>
      <c r="M71" s="165">
        <f t="shared" si="14"/>
        <v>10.72</v>
      </c>
      <c r="N71" s="165"/>
      <c r="O71" s="165"/>
      <c r="P71" s="165"/>
      <c r="Q71" s="165"/>
      <c r="R71" s="165"/>
      <c r="S71" s="187">
        <v>1265</v>
      </c>
      <c r="T71" s="64">
        <v>162</v>
      </c>
    </row>
    <row r="72" spans="1:20" x14ac:dyDescent="0.25">
      <c r="A72" s="162" t="str">
        <f t="shared" si="7"/>
        <v>CARF  150*5</v>
      </c>
      <c r="B72" s="163">
        <f t="shared" si="8"/>
        <v>22.259612674800994</v>
      </c>
      <c r="C72" s="64">
        <v>150</v>
      </c>
      <c r="E72" s="64">
        <v>5</v>
      </c>
      <c r="F72" s="64">
        <f t="shared" si="9"/>
        <v>5</v>
      </c>
      <c r="G72" s="64">
        <f t="shared" si="10"/>
        <v>10</v>
      </c>
      <c r="H72" s="163">
        <f t="shared" si="13"/>
        <v>28.356194490192348</v>
      </c>
      <c r="I72" s="187">
        <v>981</v>
      </c>
      <c r="J72" s="163">
        <f t="shared" si="12"/>
        <v>130.80000000000001</v>
      </c>
      <c r="K72" s="64">
        <v>153</v>
      </c>
      <c r="L72" s="163">
        <f t="shared" si="11"/>
        <v>5.8818037575782061</v>
      </c>
      <c r="M72" s="165">
        <f t="shared" si="14"/>
        <v>13</v>
      </c>
      <c r="N72" s="165"/>
      <c r="O72" s="165"/>
      <c r="P72" s="165"/>
      <c r="Q72" s="165"/>
      <c r="R72" s="165"/>
      <c r="S72" s="187">
        <v>1554</v>
      </c>
      <c r="T72" s="64">
        <v>197</v>
      </c>
    </row>
    <row r="73" spans="1:20" x14ac:dyDescent="0.25">
      <c r="A73" s="162" t="str">
        <f t="shared" si="7"/>
        <v>CARF  150*6</v>
      </c>
      <c r="B73" s="163">
        <f t="shared" si="8"/>
        <v>26.401842251713429</v>
      </c>
      <c r="C73" s="64">
        <v>150</v>
      </c>
      <c r="E73" s="64">
        <v>6</v>
      </c>
      <c r="F73" s="64">
        <f t="shared" si="9"/>
        <v>6</v>
      </c>
      <c r="G73" s="64">
        <f t="shared" si="10"/>
        <v>12</v>
      </c>
      <c r="H73" s="163">
        <f t="shared" si="13"/>
        <v>33.632920065876981</v>
      </c>
      <c r="I73" s="187">
        <v>1143</v>
      </c>
      <c r="J73" s="163">
        <f t="shared" si="12"/>
        <v>152.4</v>
      </c>
      <c r="K73" s="64">
        <v>180</v>
      </c>
      <c r="L73" s="163">
        <f t="shared" si="11"/>
        <v>5.8296278010431708</v>
      </c>
      <c r="M73" s="165">
        <f t="shared" si="14"/>
        <v>15.120000000000001</v>
      </c>
      <c r="N73" s="165"/>
      <c r="O73" s="165"/>
      <c r="P73" s="165"/>
      <c r="Q73" s="165"/>
      <c r="R73" s="165"/>
      <c r="S73" s="187">
        <v>1833</v>
      </c>
      <c r="T73" s="64">
        <v>230</v>
      </c>
    </row>
    <row r="74" spans="1:20" x14ac:dyDescent="0.25">
      <c r="A74" s="162" t="str">
        <f t="shared" si="7"/>
        <v>CARF  150*6.3</v>
      </c>
      <c r="B74" s="163">
        <f t="shared" si="8"/>
        <v>27.356930110018741</v>
      </c>
      <c r="C74" s="64">
        <v>150</v>
      </c>
      <c r="E74" s="64">
        <v>6.3</v>
      </c>
      <c r="F74" s="64">
        <f t="shared" si="9"/>
        <v>9.4499999999999993</v>
      </c>
      <c r="G74" s="64">
        <f t="shared" si="10"/>
        <v>15.75</v>
      </c>
      <c r="H74" s="163">
        <f t="shared" si="13"/>
        <v>34.849592496839158</v>
      </c>
      <c r="I74" s="187">
        <v>1169</v>
      </c>
      <c r="J74" s="163">
        <f t="shared" si="12"/>
        <v>155.86666666666667</v>
      </c>
      <c r="K74" s="64">
        <v>185</v>
      </c>
      <c r="L74" s="163">
        <f t="shared" si="11"/>
        <v>5.7917312783651465</v>
      </c>
      <c r="M74" s="165">
        <f t="shared" si="14"/>
        <v>14.930999999999999</v>
      </c>
      <c r="N74" s="165"/>
      <c r="O74" s="165"/>
      <c r="P74" s="165"/>
      <c r="Q74" s="165"/>
      <c r="R74" s="165"/>
      <c r="S74" s="187">
        <v>1922</v>
      </c>
      <c r="T74" s="64">
        <v>239</v>
      </c>
    </row>
    <row r="75" spans="1:20" x14ac:dyDescent="0.25">
      <c r="A75" s="162" t="str">
        <f t="shared" si="7"/>
        <v>CARF  150*8</v>
      </c>
      <c r="B75" s="163">
        <f t="shared" si="8"/>
        <v>33.945344596654046</v>
      </c>
      <c r="C75" s="64">
        <v>150</v>
      </c>
      <c r="E75" s="64">
        <v>8</v>
      </c>
      <c r="F75" s="64">
        <f t="shared" si="9"/>
        <v>12</v>
      </c>
      <c r="G75" s="64">
        <f t="shared" si="10"/>
        <v>20</v>
      </c>
      <c r="H75" s="163">
        <f t="shared" si="13"/>
        <v>43.24247719318987</v>
      </c>
      <c r="I75" s="187">
        <v>1403</v>
      </c>
      <c r="J75" s="163">
        <f t="shared" si="12"/>
        <v>187.06666666666666</v>
      </c>
      <c r="K75" s="64">
        <v>225</v>
      </c>
      <c r="L75" s="163">
        <f t="shared" si="11"/>
        <v>5.6960468536769708</v>
      </c>
      <c r="M75" s="165">
        <f t="shared" si="14"/>
        <v>17.600000000000001</v>
      </c>
      <c r="N75" s="165"/>
      <c r="O75" s="165"/>
      <c r="P75" s="165"/>
      <c r="Q75" s="165"/>
      <c r="R75" s="165"/>
      <c r="S75" s="187">
        <v>2364</v>
      </c>
      <c r="T75" s="64">
        <v>289</v>
      </c>
    </row>
    <row r="76" spans="1:20" x14ac:dyDescent="0.25">
      <c r="A76" s="162" t="str">
        <f t="shared" si="7"/>
        <v>CARF  150*10</v>
      </c>
      <c r="B76" s="163">
        <f t="shared" si="8"/>
        <v>41.264600932271954</v>
      </c>
      <c r="C76" s="64">
        <v>150</v>
      </c>
      <c r="E76" s="64">
        <v>10</v>
      </c>
      <c r="F76" s="64">
        <f t="shared" si="9"/>
        <v>15</v>
      </c>
      <c r="G76" s="64">
        <f t="shared" si="10"/>
        <v>25</v>
      </c>
      <c r="H76" s="163">
        <f t="shared" si="13"/>
        <v>52.56637061435918</v>
      </c>
      <c r="I76" s="187">
        <v>1636</v>
      </c>
      <c r="J76" s="163">
        <f t="shared" si="12"/>
        <v>218.13333333333333</v>
      </c>
      <c r="K76" s="64">
        <v>268</v>
      </c>
      <c r="L76" s="163">
        <f t="shared" si="11"/>
        <v>5.5787596788464411</v>
      </c>
      <c r="M76" s="165">
        <f t="shared" si="14"/>
        <v>20</v>
      </c>
      <c r="N76" s="165"/>
      <c r="O76" s="165"/>
      <c r="P76" s="165"/>
      <c r="Q76" s="165"/>
      <c r="R76" s="165"/>
      <c r="S76" s="187">
        <v>2839</v>
      </c>
      <c r="T76" s="64">
        <v>341</v>
      </c>
    </row>
    <row r="77" spans="1:20" x14ac:dyDescent="0.25">
      <c r="A77" s="162" t="str">
        <f t="shared" si="7"/>
        <v>CARF  150*12</v>
      </c>
      <c r="B77" s="163">
        <f t="shared" si="8"/>
        <v>47.146681678089514</v>
      </c>
      <c r="C77" s="64">
        <v>150</v>
      </c>
      <c r="E77" s="64">
        <v>12</v>
      </c>
      <c r="F77" s="64">
        <f t="shared" si="9"/>
        <v>24</v>
      </c>
      <c r="G77" s="64">
        <f t="shared" si="10"/>
        <v>36</v>
      </c>
      <c r="H77" s="163">
        <f t="shared" si="13"/>
        <v>60.059467105846508</v>
      </c>
      <c r="I77" s="187">
        <v>1739</v>
      </c>
      <c r="J77" s="163">
        <f t="shared" si="12"/>
        <v>231.86666666666667</v>
      </c>
      <c r="K77" s="64">
        <v>295</v>
      </c>
      <c r="L77" s="163">
        <f t="shared" si="11"/>
        <v>5.3809512040229492</v>
      </c>
      <c r="M77" s="165">
        <f t="shared" si="14"/>
        <v>18.72</v>
      </c>
      <c r="N77" s="165"/>
      <c r="O77" s="165"/>
      <c r="P77" s="165"/>
      <c r="Q77" s="165"/>
      <c r="R77" s="165"/>
      <c r="S77" s="187">
        <v>3231</v>
      </c>
      <c r="T77" s="64">
        <v>380</v>
      </c>
    </row>
    <row r="78" spans="1:20" x14ac:dyDescent="0.25">
      <c r="A78" s="162" t="str">
        <f t="shared" si="7"/>
        <v>CARF  150*12.5</v>
      </c>
      <c r="B78" s="163">
        <f t="shared" si="8"/>
        <v>48.704298695843654</v>
      </c>
      <c r="C78" s="64">
        <v>150</v>
      </c>
      <c r="E78" s="64">
        <v>12.5</v>
      </c>
      <c r="F78" s="64">
        <f t="shared" si="9"/>
        <v>25</v>
      </c>
      <c r="G78" s="64">
        <f t="shared" si="10"/>
        <v>37.5</v>
      </c>
      <c r="H78" s="163">
        <f t="shared" si="13"/>
        <v>62.043692606170261</v>
      </c>
      <c r="I78" s="187">
        <v>1772</v>
      </c>
      <c r="J78" s="163">
        <f t="shared" si="12"/>
        <v>236.26666666666668</v>
      </c>
      <c r="K78" s="64">
        <v>302</v>
      </c>
      <c r="L78" s="163">
        <f t="shared" si="11"/>
        <v>5.3442041510989338</v>
      </c>
      <c r="M78" s="165">
        <f t="shared" si="14"/>
        <v>18.75</v>
      </c>
      <c r="N78" s="165"/>
      <c r="O78" s="165"/>
      <c r="P78" s="165"/>
      <c r="Q78" s="165"/>
      <c r="R78" s="165"/>
      <c r="S78" s="187">
        <v>3321</v>
      </c>
      <c r="T78" s="64">
        <v>389</v>
      </c>
    </row>
    <row r="79" spans="1:20" x14ac:dyDescent="0.25">
      <c r="A79" s="162" t="str">
        <f t="shared" si="7"/>
        <v>CARF  150*16</v>
      </c>
      <c r="B79" s="163">
        <f t="shared" si="8"/>
        <v>58.696322983270242</v>
      </c>
      <c r="C79" s="64">
        <v>150</v>
      </c>
      <c r="E79" s="64">
        <v>16</v>
      </c>
      <c r="F79" s="64">
        <f t="shared" si="9"/>
        <v>32</v>
      </c>
      <c r="G79" s="64">
        <f t="shared" si="10"/>
        <v>48</v>
      </c>
      <c r="H79" s="163">
        <f t="shared" si="13"/>
        <v>74.772385965949354</v>
      </c>
      <c r="I79" s="187">
        <v>1916</v>
      </c>
      <c r="J79" s="163">
        <f t="shared" si="12"/>
        <v>255.46666666666667</v>
      </c>
      <c r="K79" s="64">
        <v>344</v>
      </c>
      <c r="L79" s="163">
        <f t="shared" si="11"/>
        <v>5.0620581856030746</v>
      </c>
      <c r="M79" s="165">
        <f t="shared" si="14"/>
        <v>17.28</v>
      </c>
      <c r="N79" s="165"/>
      <c r="O79" s="165"/>
      <c r="P79" s="165"/>
      <c r="Q79" s="165"/>
      <c r="R79" s="165"/>
      <c r="S79" s="187">
        <v>3830</v>
      </c>
      <c r="T79" s="64">
        <v>440</v>
      </c>
    </row>
    <row r="80" spans="1:20" x14ac:dyDescent="0.25">
      <c r="A80" s="166" t="str">
        <f t="shared" si="7"/>
        <v>CARF  160*4</v>
      </c>
      <c r="B80" s="168">
        <f t="shared" si="8"/>
        <v>19.270152111872633</v>
      </c>
      <c r="C80" s="167">
        <v>160</v>
      </c>
      <c r="D80" s="167"/>
      <c r="E80" s="167">
        <v>4</v>
      </c>
      <c r="F80" s="167">
        <f t="shared" si="9"/>
        <v>4</v>
      </c>
      <c r="G80" s="167">
        <f t="shared" si="10"/>
        <v>8</v>
      </c>
      <c r="H80" s="168">
        <f t="shared" si="13"/>
        <v>24.547964473723102</v>
      </c>
      <c r="I80" s="184">
        <v>986</v>
      </c>
      <c r="J80" s="168">
        <f t="shared" si="12"/>
        <v>123.25</v>
      </c>
      <c r="K80" s="167">
        <v>143</v>
      </c>
      <c r="L80" s="168">
        <f t="shared" si="11"/>
        <v>6.3376859432634047</v>
      </c>
      <c r="M80" s="184">
        <f t="shared" si="14"/>
        <v>11.52</v>
      </c>
      <c r="N80" s="184"/>
      <c r="O80" s="184"/>
      <c r="P80" s="184"/>
      <c r="Q80" s="184"/>
      <c r="R80" s="184"/>
      <c r="S80" s="184">
        <v>1541</v>
      </c>
      <c r="T80" s="171">
        <v>185</v>
      </c>
    </row>
    <row r="81" spans="1:20" x14ac:dyDescent="0.25">
      <c r="A81" s="172" t="str">
        <f t="shared" si="7"/>
        <v>CARF  160*5</v>
      </c>
      <c r="B81" s="174">
        <f t="shared" si="8"/>
        <v>23.829612674800995</v>
      </c>
      <c r="C81" s="173">
        <v>160</v>
      </c>
      <c r="D81" s="173"/>
      <c r="E81" s="173">
        <v>5</v>
      </c>
      <c r="F81" s="173">
        <f t="shared" si="9"/>
        <v>5</v>
      </c>
      <c r="G81" s="173">
        <f>IF(E81&lt;=6,2*E81,IF(E81&lt;=10,2.5*E81,3*E81))</f>
        <v>10</v>
      </c>
      <c r="H81" s="174">
        <f t="shared" si="13"/>
        <v>30.356194490192348</v>
      </c>
      <c r="I81" s="185">
        <v>1201</v>
      </c>
      <c r="J81" s="174">
        <f t="shared" ref="J81:J144" si="15">I81/(0.5*C81*0.1)</f>
        <v>150.125</v>
      </c>
      <c r="K81" s="173">
        <v>175</v>
      </c>
      <c r="L81" s="174">
        <f t="shared" si="11"/>
        <v>6.2899593735155692</v>
      </c>
      <c r="M81" s="185">
        <f t="shared" si="14"/>
        <v>14</v>
      </c>
      <c r="N81" s="185"/>
      <c r="O81" s="185"/>
      <c r="P81" s="185"/>
      <c r="Q81" s="185"/>
      <c r="R81" s="185"/>
      <c r="S81" s="185">
        <v>1896</v>
      </c>
      <c r="T81" s="177">
        <v>226</v>
      </c>
    </row>
    <row r="82" spans="1:20" x14ac:dyDescent="0.25">
      <c r="A82" s="172" t="str">
        <f t="shared" si="7"/>
        <v>CARF  160*6</v>
      </c>
      <c r="B82" s="174">
        <f t="shared" si="8"/>
        <v>28.285842251713429</v>
      </c>
      <c r="C82" s="173">
        <v>160</v>
      </c>
      <c r="D82" s="173"/>
      <c r="E82" s="173">
        <v>6</v>
      </c>
      <c r="F82" s="173">
        <f t="shared" si="9"/>
        <v>6</v>
      </c>
      <c r="G82" s="173">
        <f t="shared" si="10"/>
        <v>12</v>
      </c>
      <c r="H82" s="174">
        <f t="shared" si="13"/>
        <v>36.032920065876979</v>
      </c>
      <c r="I82" s="185">
        <v>1403</v>
      </c>
      <c r="J82" s="174">
        <f t="shared" si="15"/>
        <v>175.375</v>
      </c>
      <c r="K82" s="173">
        <v>206</v>
      </c>
      <c r="L82" s="174">
        <f t="shared" si="11"/>
        <v>6.2399212156944186</v>
      </c>
      <c r="M82" s="185">
        <f t="shared" si="14"/>
        <v>16.32</v>
      </c>
      <c r="N82" s="185"/>
      <c r="O82" s="185"/>
      <c r="P82" s="185"/>
      <c r="Q82" s="185"/>
      <c r="R82" s="185"/>
      <c r="S82" s="185">
        <v>2239</v>
      </c>
      <c r="T82" s="177">
        <v>264</v>
      </c>
    </row>
    <row r="83" spans="1:20" x14ac:dyDescent="0.25">
      <c r="A83" s="172" t="str">
        <f t="shared" si="7"/>
        <v>CARF  160*6.3</v>
      </c>
      <c r="B83" s="174">
        <f t="shared" si="8"/>
        <v>29.335130110018735</v>
      </c>
      <c r="C83" s="173">
        <v>160</v>
      </c>
      <c r="D83" s="173"/>
      <c r="E83" s="173">
        <v>6.3</v>
      </c>
      <c r="F83" s="173">
        <f t="shared" si="9"/>
        <v>9.4499999999999993</v>
      </c>
      <c r="G83" s="173">
        <f t="shared" si="10"/>
        <v>15.75</v>
      </c>
      <c r="H83" s="174">
        <f t="shared" si="13"/>
        <v>37.369592496839154</v>
      </c>
      <c r="I83" s="185">
        <v>1438</v>
      </c>
      <c r="J83" s="174">
        <f t="shared" si="15"/>
        <v>179.75</v>
      </c>
      <c r="K83" s="173">
        <v>212</v>
      </c>
      <c r="L83" s="174">
        <f t="shared" si="11"/>
        <v>6.2032639662624076</v>
      </c>
      <c r="M83" s="185">
        <f t="shared" si="14"/>
        <v>16.190999999999999</v>
      </c>
      <c r="N83" s="185"/>
      <c r="O83" s="185"/>
      <c r="P83" s="185"/>
      <c r="Q83" s="185"/>
      <c r="R83" s="185"/>
      <c r="S83" s="185">
        <v>2349</v>
      </c>
      <c r="T83" s="177">
        <v>275</v>
      </c>
    </row>
    <row r="84" spans="1:20" x14ac:dyDescent="0.25">
      <c r="A84" s="172" t="str">
        <f t="shared" si="7"/>
        <v>CARF  160*8</v>
      </c>
      <c r="B84" s="174">
        <f t="shared" si="8"/>
        <v>36.457344596654046</v>
      </c>
      <c r="C84" s="173">
        <v>160</v>
      </c>
      <c r="D84" s="173"/>
      <c r="E84" s="173">
        <v>8</v>
      </c>
      <c r="F84" s="173">
        <f t="shared" si="9"/>
        <v>12</v>
      </c>
      <c r="G84" s="173">
        <f t="shared" si="10"/>
        <v>20</v>
      </c>
      <c r="H84" s="174">
        <f t="shared" si="13"/>
        <v>46.442477193189873</v>
      </c>
      <c r="I84" s="185">
        <v>1732</v>
      </c>
      <c r="J84" s="174">
        <f t="shared" si="15"/>
        <v>216.5</v>
      </c>
      <c r="K84" s="173">
        <v>260</v>
      </c>
      <c r="L84" s="174">
        <f t="shared" si="11"/>
        <v>6.1068359786664503</v>
      </c>
      <c r="M84" s="185">
        <f t="shared" si="14"/>
        <v>19.2</v>
      </c>
      <c r="N84" s="185"/>
      <c r="O84" s="185"/>
      <c r="P84" s="185"/>
      <c r="Q84" s="185"/>
      <c r="R84" s="185"/>
      <c r="S84" s="185">
        <v>2897</v>
      </c>
      <c r="T84" s="177">
        <v>334</v>
      </c>
    </row>
    <row r="85" spans="1:20" x14ac:dyDescent="0.25">
      <c r="A85" s="172" t="str">
        <f t="shared" si="7"/>
        <v>CARF  160*10</v>
      </c>
      <c r="B85" s="174">
        <f t="shared" si="8"/>
        <v>44.404600932271954</v>
      </c>
      <c r="C85" s="173">
        <v>160</v>
      </c>
      <c r="D85" s="173"/>
      <c r="E85" s="173">
        <v>10</v>
      </c>
      <c r="F85" s="173">
        <f t="shared" si="9"/>
        <v>15</v>
      </c>
      <c r="G85" s="173">
        <f t="shared" si="10"/>
        <v>25</v>
      </c>
      <c r="H85" s="174">
        <f t="shared" si="13"/>
        <v>56.56637061435918</v>
      </c>
      <c r="I85" s="185">
        <v>2030</v>
      </c>
      <c r="J85" s="174">
        <f t="shared" si="15"/>
        <v>253.75</v>
      </c>
      <c r="K85" s="173">
        <v>310</v>
      </c>
      <c r="L85" s="174">
        <f t="shared" si="11"/>
        <v>5.9905798538080557</v>
      </c>
      <c r="M85" s="185">
        <f t="shared" si="14"/>
        <v>22</v>
      </c>
      <c r="N85" s="185"/>
      <c r="O85" s="185"/>
      <c r="P85" s="185"/>
      <c r="Q85" s="185"/>
      <c r="R85" s="185"/>
      <c r="S85" s="185">
        <v>3490</v>
      </c>
      <c r="T85" s="177">
        <v>395</v>
      </c>
    </row>
    <row r="86" spans="1:20" x14ac:dyDescent="0.25">
      <c r="A86" s="172" t="str">
        <f t="shared" si="7"/>
        <v>CARF  160*12</v>
      </c>
      <c r="B86" s="174">
        <f t="shared" si="8"/>
        <v>50.914681678089508</v>
      </c>
      <c r="C86" s="173">
        <v>160</v>
      </c>
      <c r="D86" s="173"/>
      <c r="E86" s="173">
        <v>12</v>
      </c>
      <c r="F86" s="173">
        <f t="shared" si="9"/>
        <v>24</v>
      </c>
      <c r="G86" s="173">
        <f t="shared" si="10"/>
        <v>36</v>
      </c>
      <c r="H86" s="174">
        <f t="shared" si="13"/>
        <v>64.859467105846505</v>
      </c>
      <c r="I86" s="185">
        <v>2181</v>
      </c>
      <c r="J86" s="174">
        <f t="shared" si="15"/>
        <v>272.625</v>
      </c>
      <c r="K86" s="173">
        <v>343</v>
      </c>
      <c r="L86" s="174">
        <f t="shared" si="11"/>
        <v>5.7988402502910867</v>
      </c>
      <c r="M86" s="185">
        <f t="shared" si="14"/>
        <v>21.12</v>
      </c>
      <c r="N86" s="185"/>
      <c r="O86" s="185"/>
      <c r="P86" s="185"/>
      <c r="Q86" s="185"/>
      <c r="R86" s="185"/>
      <c r="S86" s="185">
        <v>3997</v>
      </c>
      <c r="T86" s="177">
        <v>443</v>
      </c>
    </row>
    <row r="87" spans="1:20" x14ac:dyDescent="0.25">
      <c r="A87" s="172" t="str">
        <f t="shared" si="7"/>
        <v>CARF  160*12.5</v>
      </c>
      <c r="B87" s="174">
        <f t="shared" si="8"/>
        <v>52.629298695843659</v>
      </c>
      <c r="C87" s="173">
        <v>160</v>
      </c>
      <c r="D87" s="173"/>
      <c r="E87" s="173">
        <v>12.5</v>
      </c>
      <c r="F87" s="173">
        <f t="shared" si="9"/>
        <v>25</v>
      </c>
      <c r="G87" s="173">
        <f t="shared" si="10"/>
        <v>37.5</v>
      </c>
      <c r="H87" s="174">
        <f t="shared" si="13"/>
        <v>67.043692606170268</v>
      </c>
      <c r="I87" s="185">
        <v>2226</v>
      </c>
      <c r="J87" s="174">
        <f t="shared" si="15"/>
        <v>278.25</v>
      </c>
      <c r="K87" s="173">
        <v>352</v>
      </c>
      <c r="L87" s="174">
        <f t="shared" si="11"/>
        <v>5.7621374922167723</v>
      </c>
      <c r="M87" s="185">
        <f t="shared" si="14"/>
        <v>21.25</v>
      </c>
      <c r="N87" s="185"/>
      <c r="O87" s="185"/>
      <c r="P87" s="185"/>
      <c r="Q87" s="185"/>
      <c r="R87" s="185"/>
      <c r="S87" s="185">
        <v>4114</v>
      </c>
      <c r="T87" s="177">
        <v>455</v>
      </c>
    </row>
    <row r="88" spans="1:20" x14ac:dyDescent="0.25">
      <c r="A88" s="178" t="str">
        <f t="shared" si="7"/>
        <v>CARF  160*16</v>
      </c>
      <c r="B88" s="180">
        <f t="shared" si="8"/>
        <v>63.720322983270243</v>
      </c>
      <c r="C88" s="179">
        <v>160</v>
      </c>
      <c r="D88" s="179"/>
      <c r="E88" s="179">
        <v>16</v>
      </c>
      <c r="F88" s="179">
        <f t="shared" si="9"/>
        <v>32</v>
      </c>
      <c r="G88" s="179">
        <f t="shared" si="10"/>
        <v>48</v>
      </c>
      <c r="H88" s="180">
        <f t="shared" si="13"/>
        <v>81.17238596594936</v>
      </c>
      <c r="I88" s="186">
        <v>2446</v>
      </c>
      <c r="J88" s="180">
        <f t="shared" si="15"/>
        <v>305.75</v>
      </c>
      <c r="K88" s="179">
        <v>406</v>
      </c>
      <c r="L88" s="180">
        <f t="shared" si="11"/>
        <v>5.489389793474805</v>
      </c>
      <c r="M88" s="186">
        <f t="shared" si="14"/>
        <v>20.48</v>
      </c>
      <c r="N88" s="186"/>
      <c r="O88" s="186"/>
      <c r="P88" s="186"/>
      <c r="Q88" s="186"/>
      <c r="R88" s="186"/>
      <c r="S88" s="186">
        <v>4799</v>
      </c>
      <c r="T88" s="183">
        <v>520</v>
      </c>
    </row>
    <row r="89" spans="1:20" x14ac:dyDescent="0.25">
      <c r="A89" s="162" t="str">
        <f t="shared" si="7"/>
        <v>CARF  180*4</v>
      </c>
      <c r="B89" s="163">
        <f t="shared" si="8"/>
        <v>21.782152111872634</v>
      </c>
      <c r="C89" s="64">
        <v>180</v>
      </c>
      <c r="E89" s="64">
        <v>4</v>
      </c>
      <c r="F89" s="64">
        <f t="shared" si="9"/>
        <v>4</v>
      </c>
      <c r="G89" s="64">
        <f t="shared" si="10"/>
        <v>8</v>
      </c>
      <c r="H89" s="163">
        <f t="shared" si="13"/>
        <v>27.747964473723101</v>
      </c>
      <c r="I89" s="187">
        <v>1421</v>
      </c>
      <c r="J89" s="163">
        <f t="shared" si="15"/>
        <v>157.88888888888889</v>
      </c>
      <c r="K89" s="64">
        <v>182</v>
      </c>
      <c r="L89" s="163">
        <f t="shared" si="11"/>
        <v>7.156183595261326</v>
      </c>
      <c r="M89" s="165">
        <f t="shared" si="14"/>
        <v>13.120000000000001</v>
      </c>
      <c r="N89" s="165"/>
      <c r="O89" s="165"/>
      <c r="P89" s="165"/>
      <c r="Q89" s="165"/>
      <c r="R89" s="165"/>
      <c r="S89" s="187">
        <v>2210</v>
      </c>
      <c r="T89" s="64">
        <v>237</v>
      </c>
    </row>
    <row r="90" spans="1:20" x14ac:dyDescent="0.25">
      <c r="A90" s="162" t="str">
        <f t="shared" si="7"/>
        <v>CARF  180*5</v>
      </c>
      <c r="B90" s="163">
        <f t="shared" si="8"/>
        <v>26.969612674800992</v>
      </c>
      <c r="C90" s="64">
        <v>180</v>
      </c>
      <c r="E90" s="64">
        <v>5</v>
      </c>
      <c r="F90" s="64">
        <f t="shared" si="9"/>
        <v>5</v>
      </c>
      <c r="G90" s="64">
        <f t="shared" si="10"/>
        <v>10</v>
      </c>
      <c r="H90" s="163">
        <f t="shared" si="13"/>
        <v>34.356194490192351</v>
      </c>
      <c r="I90" s="187">
        <v>1735</v>
      </c>
      <c r="J90" s="163">
        <f t="shared" si="15"/>
        <v>192.77777777777777</v>
      </c>
      <c r="K90" s="64">
        <v>224</v>
      </c>
      <c r="L90" s="163">
        <f t="shared" si="11"/>
        <v>7.1063601421646423</v>
      </c>
      <c r="M90" s="165">
        <f t="shared" si="14"/>
        <v>16</v>
      </c>
      <c r="N90" s="165"/>
      <c r="O90" s="165"/>
      <c r="P90" s="165"/>
      <c r="Q90" s="165"/>
      <c r="R90" s="165"/>
      <c r="S90" s="187">
        <v>2724</v>
      </c>
      <c r="T90" s="64">
        <v>290</v>
      </c>
    </row>
    <row r="91" spans="1:20" x14ac:dyDescent="0.25">
      <c r="A91" s="162" t="str">
        <f t="shared" si="7"/>
        <v>CARF  180*6</v>
      </c>
      <c r="B91" s="163">
        <f t="shared" si="8"/>
        <v>32.053842251713426</v>
      </c>
      <c r="C91" s="64">
        <v>180</v>
      </c>
      <c r="E91" s="64">
        <v>6</v>
      </c>
      <c r="F91" s="64">
        <f t="shared" si="9"/>
        <v>6</v>
      </c>
      <c r="G91" s="64">
        <f t="shared" si="10"/>
        <v>12</v>
      </c>
      <c r="H91" s="163">
        <f t="shared" si="13"/>
        <v>40.832920065876976</v>
      </c>
      <c r="I91" s="187">
        <v>2034</v>
      </c>
      <c r="J91" s="163">
        <f t="shared" si="15"/>
        <v>226</v>
      </c>
      <c r="K91" s="64">
        <v>264</v>
      </c>
      <c r="L91" s="163">
        <f t="shared" si="11"/>
        <v>7.057814749949614</v>
      </c>
      <c r="M91" s="165">
        <f t="shared" si="14"/>
        <v>18.72</v>
      </c>
      <c r="N91" s="165"/>
      <c r="O91" s="165"/>
      <c r="P91" s="165"/>
      <c r="Q91" s="165"/>
      <c r="R91" s="165"/>
      <c r="S91" s="187">
        <v>3223</v>
      </c>
      <c r="T91" s="64">
        <v>340</v>
      </c>
    </row>
    <row r="92" spans="1:20" x14ac:dyDescent="0.25">
      <c r="A92" s="162" t="str">
        <f t="shared" si="7"/>
        <v>CARF  180*6.3</v>
      </c>
      <c r="B92" s="163">
        <f t="shared" si="8"/>
        <v>33.291530110018741</v>
      </c>
      <c r="C92" s="64">
        <v>180</v>
      </c>
      <c r="E92" s="64">
        <v>6.3</v>
      </c>
      <c r="F92" s="64">
        <f t="shared" si="9"/>
        <v>9.4499999999999993</v>
      </c>
      <c r="G92" s="64">
        <f t="shared" si="10"/>
        <v>15.75</v>
      </c>
      <c r="H92" s="163">
        <f t="shared" si="13"/>
        <v>42.40959249683916</v>
      </c>
      <c r="I92" s="187">
        <v>2090</v>
      </c>
      <c r="J92" s="163">
        <f t="shared" si="15"/>
        <v>232.22222222222223</v>
      </c>
      <c r="K92" s="64">
        <v>273</v>
      </c>
      <c r="L92" s="163">
        <f>SQRT(I92/H92)</f>
        <v>7.0200643529876947</v>
      </c>
      <c r="M92" s="165">
        <f t="shared" si="14"/>
        <v>18.710999999999999</v>
      </c>
      <c r="N92" s="165"/>
      <c r="O92" s="165"/>
      <c r="P92" s="165"/>
      <c r="Q92" s="165"/>
      <c r="R92" s="165"/>
      <c r="S92" s="187">
        <v>3383</v>
      </c>
      <c r="T92" s="64">
        <v>354</v>
      </c>
    </row>
    <row r="93" spans="1:20" x14ac:dyDescent="0.25">
      <c r="A93" s="162" t="str">
        <f t="shared" si="7"/>
        <v>CARF  180*8</v>
      </c>
      <c r="B93" s="163">
        <f t="shared" si="8"/>
        <v>41.481344596654047</v>
      </c>
      <c r="C93" s="64">
        <v>180</v>
      </c>
      <c r="E93" s="64">
        <v>8</v>
      </c>
      <c r="F93" s="64">
        <f t="shared" si="9"/>
        <v>12</v>
      </c>
      <c r="G93" s="64">
        <f t="shared" si="10"/>
        <v>20</v>
      </c>
      <c r="H93" s="163">
        <f t="shared" si="13"/>
        <v>52.842477193189872</v>
      </c>
      <c r="I93" s="187">
        <v>2535</v>
      </c>
      <c r="J93" s="163">
        <f t="shared" si="15"/>
        <v>281.66666666666669</v>
      </c>
      <c r="K93" s="64">
        <v>335</v>
      </c>
      <c r="L93" s="163">
        <f t="shared" si="11"/>
        <v>6.926237789203209</v>
      </c>
      <c r="M93" s="165">
        <f t="shared" si="14"/>
        <v>22.400000000000002</v>
      </c>
      <c r="N93" s="165"/>
      <c r="O93" s="165"/>
      <c r="P93" s="165"/>
      <c r="Q93" s="165"/>
      <c r="R93" s="165"/>
      <c r="S93" s="187">
        <v>4189</v>
      </c>
      <c r="T93" s="64">
        <v>432</v>
      </c>
    </row>
    <row r="94" spans="1:20" x14ac:dyDescent="0.25">
      <c r="A94" s="162" t="str">
        <f t="shared" si="7"/>
        <v>CARF  180*10</v>
      </c>
      <c r="B94" s="163">
        <f t="shared" si="8"/>
        <v>50.684600932271955</v>
      </c>
      <c r="C94" s="64">
        <v>180</v>
      </c>
      <c r="E94" s="64">
        <v>10</v>
      </c>
      <c r="F94" s="64">
        <f t="shared" si="9"/>
        <v>15</v>
      </c>
      <c r="G94" s="64">
        <f t="shared" si="10"/>
        <v>25</v>
      </c>
      <c r="H94" s="163">
        <f t="shared" si="13"/>
        <v>64.566370614359172</v>
      </c>
      <c r="I94" s="187">
        <v>2996</v>
      </c>
      <c r="J94" s="163">
        <f t="shared" si="15"/>
        <v>332.88888888888891</v>
      </c>
      <c r="K94" s="64">
        <v>402</v>
      </c>
      <c r="L94" s="163">
        <f t="shared" si="11"/>
        <v>6.811891426171484</v>
      </c>
      <c r="M94" s="165">
        <f t="shared" si="14"/>
        <v>26</v>
      </c>
      <c r="N94" s="165"/>
      <c r="O94" s="165"/>
      <c r="P94" s="165"/>
      <c r="Q94" s="165"/>
      <c r="R94" s="165"/>
      <c r="S94" s="187">
        <v>5074</v>
      </c>
      <c r="T94" s="64">
        <v>515</v>
      </c>
    </row>
    <row r="95" spans="1:20" x14ac:dyDescent="0.25">
      <c r="A95" s="162" t="str">
        <f t="shared" si="7"/>
        <v>CARF  180*12</v>
      </c>
      <c r="B95" s="163">
        <f t="shared" si="8"/>
        <v>58.450681678089509</v>
      </c>
      <c r="C95" s="64">
        <v>180</v>
      </c>
      <c r="E95" s="64">
        <v>12</v>
      </c>
      <c r="F95" s="64">
        <f t="shared" si="9"/>
        <v>24</v>
      </c>
      <c r="G95" s="64">
        <f t="shared" si="10"/>
        <v>36</v>
      </c>
      <c r="H95" s="163">
        <f t="shared" si="13"/>
        <v>74.459467105846514</v>
      </c>
      <c r="I95" s="187">
        <v>3273</v>
      </c>
      <c r="J95" s="163">
        <f t="shared" si="15"/>
        <v>363.66666666666669</v>
      </c>
      <c r="K95" s="64">
        <v>451</v>
      </c>
      <c r="L95" s="163">
        <f t="shared" si="11"/>
        <v>6.6299925560752238</v>
      </c>
      <c r="M95" s="165">
        <f t="shared" si="14"/>
        <v>25.92</v>
      </c>
      <c r="N95" s="165"/>
      <c r="O95" s="165"/>
      <c r="P95" s="165"/>
      <c r="Q95" s="165"/>
      <c r="R95" s="165"/>
      <c r="S95" s="187">
        <v>5865</v>
      </c>
      <c r="T95" s="64">
        <v>584</v>
      </c>
    </row>
    <row r="96" spans="1:20" x14ac:dyDescent="0.25">
      <c r="A96" s="162" t="str">
        <f t="shared" si="7"/>
        <v>CARF  180*12.5</v>
      </c>
      <c r="B96" s="163">
        <f t="shared" si="8"/>
        <v>60.479298695843653</v>
      </c>
      <c r="C96" s="64">
        <v>180</v>
      </c>
      <c r="E96" s="64">
        <v>12.5</v>
      </c>
      <c r="F96" s="64">
        <f t="shared" si="9"/>
        <v>25</v>
      </c>
      <c r="G96" s="64">
        <f t="shared" si="10"/>
        <v>37.5</v>
      </c>
      <c r="H96" s="163">
        <f t="shared" si="13"/>
        <v>77.043692606170268</v>
      </c>
      <c r="I96" s="187">
        <v>3350</v>
      </c>
      <c r="J96" s="163">
        <f t="shared" si="15"/>
        <v>372.22222222222223</v>
      </c>
      <c r="K96" s="64">
        <v>464</v>
      </c>
      <c r="L96" s="163">
        <f t="shared" si="11"/>
        <v>6.5940746384153739</v>
      </c>
      <c r="M96" s="165">
        <f t="shared" si="14"/>
        <v>26.25</v>
      </c>
      <c r="N96" s="165"/>
      <c r="O96" s="165"/>
      <c r="P96" s="165"/>
      <c r="Q96" s="165"/>
      <c r="R96" s="165"/>
      <c r="S96" s="187">
        <v>6050</v>
      </c>
      <c r="T96" s="64">
        <v>600</v>
      </c>
    </row>
    <row r="97" spans="1:20" x14ac:dyDescent="0.25">
      <c r="A97" s="162" t="str">
        <f t="shared" si="7"/>
        <v>CARF  180*16</v>
      </c>
      <c r="B97" s="163">
        <f t="shared" si="8"/>
        <v>73.768322983270238</v>
      </c>
      <c r="C97" s="64">
        <v>180</v>
      </c>
      <c r="E97" s="64">
        <v>16</v>
      </c>
      <c r="F97" s="64">
        <f t="shared" si="9"/>
        <v>32</v>
      </c>
      <c r="G97" s="64">
        <f t="shared" si="10"/>
        <v>48</v>
      </c>
      <c r="H97" s="163">
        <f t="shared" si="13"/>
        <v>93.972385965949357</v>
      </c>
      <c r="I97" s="187">
        <v>3772</v>
      </c>
      <c r="J97" s="163">
        <f t="shared" si="15"/>
        <v>419.11111111111109</v>
      </c>
      <c r="K97" s="64">
        <v>542</v>
      </c>
      <c r="L97" s="163">
        <f t="shared" si="11"/>
        <v>6.3355703131856593</v>
      </c>
      <c r="M97" s="165">
        <f t="shared" si="14"/>
        <v>26.88</v>
      </c>
      <c r="N97" s="165"/>
      <c r="O97" s="165"/>
      <c r="P97" s="165"/>
      <c r="Q97" s="165"/>
      <c r="R97" s="165"/>
      <c r="S97" s="187">
        <v>7178</v>
      </c>
      <c r="T97" s="64">
        <v>698</v>
      </c>
    </row>
    <row r="98" spans="1:20" x14ac:dyDescent="0.25">
      <c r="A98" s="166" t="str">
        <f t="shared" si="7"/>
        <v>CARF  200*4</v>
      </c>
      <c r="B98" s="168">
        <f t="shared" si="8"/>
        <v>24.294152111872634</v>
      </c>
      <c r="C98" s="167">
        <v>200</v>
      </c>
      <c r="D98" s="167"/>
      <c r="E98" s="167">
        <v>4</v>
      </c>
      <c r="F98" s="167">
        <f t="shared" si="9"/>
        <v>4</v>
      </c>
      <c r="G98" s="167">
        <f t="shared" si="10"/>
        <v>8</v>
      </c>
      <c r="H98" s="168">
        <f t="shared" si="13"/>
        <v>30.947964473723101</v>
      </c>
      <c r="I98" s="184">
        <v>1967</v>
      </c>
      <c r="J98" s="168">
        <f t="shared" si="15"/>
        <v>196.7</v>
      </c>
      <c r="K98" s="167">
        <v>226</v>
      </c>
      <c r="L98" s="168">
        <f t="shared" si="11"/>
        <v>7.9723459322599224</v>
      </c>
      <c r="M98" s="184">
        <f t="shared" si="14"/>
        <v>14.72</v>
      </c>
      <c r="N98" s="184"/>
      <c r="O98" s="184"/>
      <c r="P98" s="184"/>
      <c r="Q98" s="184"/>
      <c r="R98" s="184"/>
      <c r="S98" s="184">
        <v>3049</v>
      </c>
      <c r="T98" s="171">
        <v>295</v>
      </c>
    </row>
    <row r="99" spans="1:20" x14ac:dyDescent="0.25">
      <c r="A99" s="172" t="str">
        <f t="shared" si="7"/>
        <v>CARF  200*5</v>
      </c>
      <c r="B99" s="174">
        <f t="shared" si="8"/>
        <v>30.109612674800992</v>
      </c>
      <c r="C99" s="173">
        <v>200</v>
      </c>
      <c r="D99" s="173"/>
      <c r="E99" s="173">
        <v>5</v>
      </c>
      <c r="F99" s="173">
        <f t="shared" si="9"/>
        <v>5</v>
      </c>
      <c r="G99" s="173">
        <f t="shared" si="10"/>
        <v>10</v>
      </c>
      <c r="H99" s="174">
        <f t="shared" si="13"/>
        <v>38.356194490192351</v>
      </c>
      <c r="I99" s="185">
        <v>2408</v>
      </c>
      <c r="J99" s="174">
        <f t="shared" si="15"/>
        <v>240.8</v>
      </c>
      <c r="K99" s="173">
        <v>279</v>
      </c>
      <c r="L99" s="174">
        <f t="shared" si="11"/>
        <v>7.9233800061956368</v>
      </c>
      <c r="M99" s="185">
        <f t="shared" si="14"/>
        <v>18</v>
      </c>
      <c r="N99" s="185"/>
      <c r="O99" s="185"/>
      <c r="P99" s="185"/>
      <c r="Q99" s="185"/>
      <c r="R99" s="185"/>
      <c r="S99" s="185">
        <v>6763</v>
      </c>
      <c r="T99" s="177">
        <v>362</v>
      </c>
    </row>
    <row r="100" spans="1:20" x14ac:dyDescent="0.25">
      <c r="A100" s="172" t="str">
        <f t="shared" si="7"/>
        <v>CARF  200*6</v>
      </c>
      <c r="B100" s="174">
        <f t="shared" si="8"/>
        <v>35.821842251713427</v>
      </c>
      <c r="C100" s="173">
        <v>200</v>
      </c>
      <c r="D100" s="173"/>
      <c r="E100" s="173">
        <v>6</v>
      </c>
      <c r="F100" s="173">
        <f t="shared" si="9"/>
        <v>6</v>
      </c>
      <c r="G100" s="173">
        <f t="shared" si="10"/>
        <v>12</v>
      </c>
      <c r="H100" s="174">
        <f t="shared" si="13"/>
        <v>45.632920065876981</v>
      </c>
      <c r="I100" s="185">
        <v>2830</v>
      </c>
      <c r="J100" s="174">
        <f t="shared" si="15"/>
        <v>283</v>
      </c>
      <c r="K100" s="173">
        <v>330</v>
      </c>
      <c r="L100" s="174">
        <f t="shared" si="11"/>
        <v>7.8750639212065892</v>
      </c>
      <c r="M100" s="185">
        <f t="shared" si="14"/>
        <v>21.12</v>
      </c>
      <c r="N100" s="185"/>
      <c r="O100" s="185"/>
      <c r="P100" s="185"/>
      <c r="Q100" s="185"/>
      <c r="R100" s="185"/>
      <c r="S100" s="185">
        <v>4459</v>
      </c>
      <c r="T100" s="177">
        <v>426</v>
      </c>
    </row>
    <row r="101" spans="1:20" x14ac:dyDescent="0.25">
      <c r="A101" s="172" t="str">
        <f t="shared" si="7"/>
        <v>CARF  200*6.3</v>
      </c>
      <c r="B101" s="174">
        <f t="shared" si="8"/>
        <v>37.247930110018743</v>
      </c>
      <c r="C101" s="173">
        <v>200</v>
      </c>
      <c r="D101" s="173"/>
      <c r="E101" s="173">
        <v>6.3</v>
      </c>
      <c r="F101" s="173">
        <f t="shared" si="9"/>
        <v>9.4499999999999993</v>
      </c>
      <c r="G101" s="173">
        <f t="shared" si="10"/>
        <v>15.75</v>
      </c>
      <c r="H101" s="174">
        <f t="shared" si="13"/>
        <v>47.449592496839159</v>
      </c>
      <c r="I101" s="185">
        <v>2916</v>
      </c>
      <c r="J101" s="174">
        <f t="shared" si="15"/>
        <v>291.60000000000002</v>
      </c>
      <c r="K101" s="173">
        <v>341</v>
      </c>
      <c r="L101" s="174">
        <f t="shared" si="11"/>
        <v>7.839304181639779</v>
      </c>
      <c r="M101" s="185">
        <f t="shared" si="14"/>
        <v>21.230999999999998</v>
      </c>
      <c r="N101" s="185"/>
      <c r="O101" s="185"/>
      <c r="P101" s="185"/>
      <c r="Q101" s="185"/>
      <c r="R101" s="185"/>
      <c r="S101" s="185">
        <v>4682</v>
      </c>
      <c r="T101" s="177">
        <v>444</v>
      </c>
    </row>
    <row r="102" spans="1:20" x14ac:dyDescent="0.25">
      <c r="A102" s="172" t="str">
        <f t="shared" si="7"/>
        <v>CARF  200*8</v>
      </c>
      <c r="B102" s="174">
        <f t="shared" si="8"/>
        <v>46.505344596654048</v>
      </c>
      <c r="C102" s="173">
        <v>200</v>
      </c>
      <c r="D102" s="173"/>
      <c r="E102" s="173">
        <v>8</v>
      </c>
      <c r="F102" s="173">
        <f t="shared" si="9"/>
        <v>12</v>
      </c>
      <c r="G102" s="173">
        <f t="shared" si="10"/>
        <v>20</v>
      </c>
      <c r="H102" s="174">
        <f t="shared" si="13"/>
        <v>59.24247719318987</v>
      </c>
      <c r="I102" s="185">
        <v>3554</v>
      </c>
      <c r="J102" s="174">
        <f t="shared" si="15"/>
        <v>355.4</v>
      </c>
      <c r="K102" s="173">
        <v>420</v>
      </c>
      <c r="L102" s="174">
        <f t="shared" si="11"/>
        <v>7.74536888852084</v>
      </c>
      <c r="M102" s="185">
        <f t="shared" si="14"/>
        <v>25.6</v>
      </c>
      <c r="N102" s="185"/>
      <c r="O102" s="185"/>
      <c r="P102" s="185"/>
      <c r="Q102" s="185"/>
      <c r="R102" s="185"/>
      <c r="S102" s="185">
        <v>5815</v>
      </c>
      <c r="T102" s="177">
        <v>544</v>
      </c>
    </row>
    <row r="103" spans="1:20" x14ac:dyDescent="0.25">
      <c r="A103" s="172" t="str">
        <f t="shared" si="7"/>
        <v>CARF  200*10</v>
      </c>
      <c r="B103" s="174">
        <f t="shared" si="8"/>
        <v>56.964600932271956</v>
      </c>
      <c r="C103" s="173">
        <v>200</v>
      </c>
      <c r="D103" s="173"/>
      <c r="E103" s="173">
        <v>10</v>
      </c>
      <c r="F103" s="173">
        <f t="shared" si="9"/>
        <v>15</v>
      </c>
      <c r="G103" s="173">
        <f t="shared" si="10"/>
        <v>25</v>
      </c>
      <c r="H103" s="174">
        <f t="shared" si="13"/>
        <v>72.566370614359172</v>
      </c>
      <c r="I103" s="185">
        <v>4228</v>
      </c>
      <c r="J103" s="174">
        <f t="shared" si="15"/>
        <v>422.8</v>
      </c>
      <c r="K103" s="173">
        <v>507</v>
      </c>
      <c r="L103" s="174">
        <f t="shared" si="11"/>
        <v>7.6330795420832347</v>
      </c>
      <c r="M103" s="185">
        <f t="shared" si="14"/>
        <v>30</v>
      </c>
      <c r="N103" s="185"/>
      <c r="O103" s="185"/>
      <c r="P103" s="185"/>
      <c r="Q103" s="185"/>
      <c r="R103" s="185"/>
      <c r="S103" s="185">
        <v>7072</v>
      </c>
      <c r="T103" s="177">
        <v>651</v>
      </c>
    </row>
    <row r="104" spans="1:20" x14ac:dyDescent="0.25">
      <c r="A104" s="172" t="str">
        <f t="shared" si="7"/>
        <v>CARF  200*12</v>
      </c>
      <c r="B104" s="174">
        <f t="shared" si="8"/>
        <v>65.986681678089511</v>
      </c>
      <c r="C104" s="173">
        <v>200</v>
      </c>
      <c r="D104" s="173"/>
      <c r="E104" s="173">
        <v>12</v>
      </c>
      <c r="F104" s="173">
        <f t="shared" si="9"/>
        <v>24</v>
      </c>
      <c r="G104" s="173">
        <f t="shared" si="10"/>
        <v>36</v>
      </c>
      <c r="H104" s="174">
        <f t="shared" si="13"/>
        <v>84.059467105846508</v>
      </c>
      <c r="I104" s="185">
        <v>4675</v>
      </c>
      <c r="J104" s="174">
        <f t="shared" si="15"/>
        <v>467.5</v>
      </c>
      <c r="K104" s="173">
        <v>573</v>
      </c>
      <c r="L104" s="174">
        <f t="shared" si="11"/>
        <v>7.4575726244798908</v>
      </c>
      <c r="M104" s="185">
        <f t="shared" si="14"/>
        <v>30.72</v>
      </c>
      <c r="N104" s="185"/>
      <c r="O104" s="185"/>
      <c r="P104" s="185"/>
      <c r="Q104" s="185"/>
      <c r="R104" s="185"/>
      <c r="S104" s="185">
        <v>8230</v>
      </c>
      <c r="T104" s="177">
        <v>743</v>
      </c>
    </row>
    <row r="105" spans="1:20" x14ac:dyDescent="0.25">
      <c r="A105" s="172" t="str">
        <f t="shared" si="7"/>
        <v>CARF  200*12.5</v>
      </c>
      <c r="B105" s="174">
        <f t="shared" si="8"/>
        <v>68.329298695843661</v>
      </c>
      <c r="C105" s="173">
        <v>200</v>
      </c>
      <c r="D105" s="173"/>
      <c r="E105" s="173">
        <v>12.5</v>
      </c>
      <c r="F105" s="173">
        <f t="shared" si="9"/>
        <v>25</v>
      </c>
      <c r="G105" s="173">
        <f t="shared" si="10"/>
        <v>37.5</v>
      </c>
      <c r="H105" s="174">
        <f t="shared" si="13"/>
        <v>87.043692606170268</v>
      </c>
      <c r="I105" s="185">
        <v>4797</v>
      </c>
      <c r="J105" s="174">
        <f t="shared" si="15"/>
        <v>479.7</v>
      </c>
      <c r="K105" s="173">
        <v>590</v>
      </c>
      <c r="L105" s="174">
        <f t="shared" si="11"/>
        <v>7.4236280820717111</v>
      </c>
      <c r="M105" s="185">
        <f t="shared" si="14"/>
        <v>31.25</v>
      </c>
      <c r="N105" s="185"/>
      <c r="O105" s="185"/>
      <c r="P105" s="185"/>
      <c r="Q105" s="185"/>
      <c r="R105" s="185"/>
      <c r="S105" s="185">
        <v>8502</v>
      </c>
      <c r="T105" s="177">
        <v>765</v>
      </c>
    </row>
    <row r="106" spans="1:20" x14ac:dyDescent="0.25">
      <c r="A106" s="178" t="str">
        <f t="shared" si="7"/>
        <v>CARF  200*16</v>
      </c>
      <c r="B106" s="180">
        <f t="shared" si="8"/>
        <v>83.816322983270254</v>
      </c>
      <c r="C106" s="179">
        <v>200</v>
      </c>
      <c r="D106" s="179"/>
      <c r="E106" s="179">
        <v>16</v>
      </c>
      <c r="F106" s="179">
        <f t="shared" si="9"/>
        <v>32</v>
      </c>
      <c r="G106" s="179">
        <f t="shared" si="10"/>
        <v>48</v>
      </c>
      <c r="H106" s="180">
        <f t="shared" si="13"/>
        <v>106.77238596594937</v>
      </c>
      <c r="I106" s="186">
        <v>5496</v>
      </c>
      <c r="J106" s="180">
        <f t="shared" si="15"/>
        <v>549.6</v>
      </c>
      <c r="K106" s="179">
        <v>699</v>
      </c>
      <c r="L106" s="180">
        <f t="shared" si="11"/>
        <v>7.1745371409282139</v>
      </c>
      <c r="M106" s="186">
        <f t="shared" si="14"/>
        <v>33.28</v>
      </c>
      <c r="N106" s="186"/>
      <c r="O106" s="186"/>
      <c r="P106" s="186"/>
      <c r="Q106" s="186"/>
      <c r="R106" s="186"/>
      <c r="S106" s="186">
        <v>10210</v>
      </c>
      <c r="T106" s="183">
        <v>901</v>
      </c>
    </row>
    <row r="107" spans="1:20" x14ac:dyDescent="0.25">
      <c r="A107" s="162" t="str">
        <f t="shared" si="7"/>
        <v>CARF  220*5</v>
      </c>
      <c r="B107" s="163">
        <f t="shared" si="8"/>
        <v>33.249612674800993</v>
      </c>
      <c r="C107" s="64">
        <v>220</v>
      </c>
      <c r="E107" s="64">
        <v>5</v>
      </c>
      <c r="F107" s="64">
        <f t="shared" si="9"/>
        <v>5</v>
      </c>
      <c r="G107" s="64">
        <f t="shared" si="10"/>
        <v>10</v>
      </c>
      <c r="H107" s="163">
        <f t="shared" si="13"/>
        <v>42.356194490192351</v>
      </c>
      <c r="I107" s="187">
        <v>3236</v>
      </c>
      <c r="J107" s="163">
        <f t="shared" si="15"/>
        <v>294.18181818181819</v>
      </c>
      <c r="K107" s="64">
        <v>340</v>
      </c>
      <c r="L107" s="163">
        <f t="shared" si="11"/>
        <v>8.7406914465119137</v>
      </c>
      <c r="M107" s="165">
        <f t="shared" si="14"/>
        <v>20</v>
      </c>
      <c r="N107" s="165"/>
      <c r="O107" s="165"/>
      <c r="P107" s="165"/>
      <c r="Q107" s="165"/>
      <c r="R107" s="165"/>
      <c r="S107" s="187">
        <v>5038</v>
      </c>
      <c r="T107" s="64">
        <v>442</v>
      </c>
    </row>
    <row r="108" spans="1:20" x14ac:dyDescent="0.25">
      <c r="A108" s="162" t="str">
        <f t="shared" si="7"/>
        <v>CARF  220*6</v>
      </c>
      <c r="B108" s="163">
        <f t="shared" si="8"/>
        <v>39.589842251713428</v>
      </c>
      <c r="C108" s="64">
        <v>220</v>
      </c>
      <c r="E108" s="64">
        <v>6</v>
      </c>
      <c r="F108" s="64">
        <f t="shared" si="9"/>
        <v>6</v>
      </c>
      <c r="G108" s="64">
        <f t="shared" si="10"/>
        <v>12</v>
      </c>
      <c r="H108" s="163">
        <f t="shared" si="13"/>
        <v>50.432920065876978</v>
      </c>
      <c r="I108" s="187">
        <v>3810</v>
      </c>
      <c r="J108" s="163">
        <f t="shared" si="15"/>
        <v>346.36363636363637</v>
      </c>
      <c r="K108" s="64">
        <v>402</v>
      </c>
      <c r="L108" s="163">
        <f t="shared" si="11"/>
        <v>8.6917140621163504</v>
      </c>
      <c r="M108" s="165">
        <f t="shared" si="14"/>
        <v>23.52</v>
      </c>
      <c r="N108" s="165"/>
      <c r="O108" s="165"/>
      <c r="P108" s="165"/>
      <c r="Q108" s="165"/>
      <c r="R108" s="165"/>
      <c r="S108" s="187">
        <v>5976</v>
      </c>
      <c r="T108" s="64">
        <v>521</v>
      </c>
    </row>
    <row r="109" spans="1:20" x14ac:dyDescent="0.25">
      <c r="A109" s="162" t="str">
        <f t="shared" si="7"/>
        <v>CARF  220*6.3</v>
      </c>
      <c r="B109" s="163">
        <f t="shared" si="8"/>
        <v>41.204330110018738</v>
      </c>
      <c r="C109" s="64">
        <v>220</v>
      </c>
      <c r="E109" s="64">
        <v>6.3</v>
      </c>
      <c r="F109" s="64">
        <f t="shared" si="9"/>
        <v>9.4499999999999993</v>
      </c>
      <c r="G109" s="64">
        <f t="shared" si="10"/>
        <v>15.75</v>
      </c>
      <c r="H109" s="163">
        <f t="shared" si="13"/>
        <v>52.489592496839158</v>
      </c>
      <c r="I109" s="187">
        <v>3934</v>
      </c>
      <c r="J109" s="163">
        <f t="shared" si="15"/>
        <v>357.63636363636363</v>
      </c>
      <c r="K109" s="64">
        <v>416</v>
      </c>
      <c r="L109" s="163">
        <f t="shared" si="11"/>
        <v>8.6572623227239749</v>
      </c>
      <c r="M109" s="165">
        <f t="shared" si="14"/>
        <v>23.751000000000001</v>
      </c>
      <c r="N109" s="165"/>
      <c r="O109" s="165"/>
      <c r="P109" s="165"/>
      <c r="Q109" s="165"/>
      <c r="R109" s="165"/>
      <c r="S109" s="187">
        <v>6277</v>
      </c>
      <c r="T109" s="64">
        <v>543</v>
      </c>
    </row>
    <row r="110" spans="1:20" x14ac:dyDescent="0.25">
      <c r="A110" s="162" t="str">
        <f t="shared" si="7"/>
        <v>CARF  220*8</v>
      </c>
      <c r="B110" s="163">
        <f t="shared" si="8"/>
        <v>51.529344596654056</v>
      </c>
      <c r="C110" s="64">
        <v>220</v>
      </c>
      <c r="E110" s="64">
        <v>8</v>
      </c>
      <c r="F110" s="64">
        <f t="shared" si="9"/>
        <v>12</v>
      </c>
      <c r="G110" s="64">
        <f t="shared" si="10"/>
        <v>20</v>
      </c>
      <c r="H110" s="163">
        <f t="shared" si="13"/>
        <v>65.642477193189876</v>
      </c>
      <c r="I110" s="187">
        <v>4815</v>
      </c>
      <c r="J110" s="163">
        <f t="shared" si="15"/>
        <v>437.72727272727275</v>
      </c>
      <c r="K110" s="64">
        <v>515</v>
      </c>
      <c r="L110" s="163">
        <f t="shared" si="11"/>
        <v>8.5645720009020394</v>
      </c>
      <c r="M110" s="165">
        <f t="shared" si="14"/>
        <v>28.8</v>
      </c>
      <c r="N110" s="165"/>
      <c r="O110" s="165"/>
      <c r="P110" s="165"/>
      <c r="Q110" s="165"/>
      <c r="R110" s="165"/>
      <c r="S110" s="187">
        <v>7815</v>
      </c>
      <c r="T110" s="64">
        <v>668</v>
      </c>
    </row>
    <row r="111" spans="1:20" x14ac:dyDescent="0.25">
      <c r="A111" s="162" t="str">
        <f t="shared" si="7"/>
        <v>CARF  220*10</v>
      </c>
      <c r="B111" s="163">
        <f t="shared" si="8"/>
        <v>63.24460093227195</v>
      </c>
      <c r="C111" s="64">
        <v>220</v>
      </c>
      <c r="E111" s="64">
        <v>10</v>
      </c>
      <c r="F111" s="64">
        <f t="shared" si="9"/>
        <v>15</v>
      </c>
      <c r="G111" s="64">
        <f t="shared" si="10"/>
        <v>25</v>
      </c>
      <c r="H111" s="163">
        <f t="shared" si="13"/>
        <v>80.566370614359172</v>
      </c>
      <c r="I111" s="187">
        <v>5757</v>
      </c>
      <c r="J111" s="163">
        <f t="shared" si="15"/>
        <v>523.36363636363637</v>
      </c>
      <c r="K111" s="64">
        <v>623</v>
      </c>
      <c r="L111" s="163">
        <f t="shared" si="11"/>
        <v>8.4532013713406062</v>
      </c>
      <c r="M111" s="165">
        <f t="shared" si="14"/>
        <v>34</v>
      </c>
      <c r="N111" s="165"/>
      <c r="O111" s="165"/>
      <c r="P111" s="165"/>
      <c r="Q111" s="165"/>
      <c r="R111" s="165"/>
      <c r="S111" s="187">
        <v>9533</v>
      </c>
      <c r="T111" s="64">
        <v>804</v>
      </c>
    </row>
    <row r="112" spans="1:20" x14ac:dyDescent="0.25">
      <c r="A112" s="162" t="str">
        <f t="shared" si="7"/>
        <v>CARF  220*12</v>
      </c>
      <c r="B112" s="163">
        <f t="shared" si="8"/>
        <v>73.522681678089498</v>
      </c>
      <c r="C112" s="64">
        <v>220</v>
      </c>
      <c r="E112" s="64">
        <v>12</v>
      </c>
      <c r="F112" s="64">
        <f t="shared" si="9"/>
        <v>24</v>
      </c>
      <c r="G112" s="64">
        <f t="shared" si="10"/>
        <v>36</v>
      </c>
      <c r="H112" s="163">
        <f t="shared" si="13"/>
        <v>93.659467105846502</v>
      </c>
      <c r="I112" s="187">
        <v>6425</v>
      </c>
      <c r="J112" s="163">
        <f t="shared" si="15"/>
        <v>584.09090909090912</v>
      </c>
      <c r="K112" s="64">
        <v>709</v>
      </c>
      <c r="L112" s="163">
        <f t="shared" si="11"/>
        <v>8.2824862730380246</v>
      </c>
      <c r="M112" s="165">
        <f t="shared" si="14"/>
        <v>35.520000000000003</v>
      </c>
      <c r="N112" s="165"/>
      <c r="O112" s="165"/>
      <c r="P112" s="165"/>
      <c r="Q112" s="165"/>
      <c r="R112" s="165"/>
      <c r="S112" s="187">
        <v>11149</v>
      </c>
      <c r="T112" s="64">
        <v>922</v>
      </c>
    </row>
    <row r="113" spans="1:20" x14ac:dyDescent="0.25">
      <c r="A113" s="162" t="str">
        <f t="shared" si="7"/>
        <v>CARF  220*12.5</v>
      </c>
      <c r="B113" s="163">
        <f t="shared" si="8"/>
        <v>76.179298695843656</v>
      </c>
      <c r="C113" s="64">
        <v>220</v>
      </c>
      <c r="E113" s="64">
        <v>12.5</v>
      </c>
      <c r="F113" s="64">
        <f t="shared" si="9"/>
        <v>25</v>
      </c>
      <c r="G113" s="64">
        <f t="shared" si="10"/>
        <v>37.5</v>
      </c>
      <c r="H113" s="163">
        <f t="shared" si="13"/>
        <v>97.043692606170268</v>
      </c>
      <c r="I113" s="187">
        <v>6605</v>
      </c>
      <c r="J113" s="163">
        <f t="shared" si="15"/>
        <v>600.4545454545455</v>
      </c>
      <c r="K113" s="64">
        <v>732</v>
      </c>
      <c r="L113" s="163">
        <f t="shared" si="11"/>
        <v>8.2499773122766626</v>
      </c>
      <c r="M113" s="165">
        <f t="shared" si="14"/>
        <v>36.25</v>
      </c>
      <c r="N113" s="165"/>
      <c r="O113" s="165"/>
      <c r="P113" s="165"/>
      <c r="Q113" s="165"/>
      <c r="R113" s="165"/>
      <c r="S113" s="187">
        <v>11530</v>
      </c>
      <c r="T113" s="64">
        <v>951</v>
      </c>
    </row>
    <row r="114" spans="1:20" x14ac:dyDescent="0.25">
      <c r="A114" s="162" t="str">
        <f t="shared" si="7"/>
        <v>CARF  220*16</v>
      </c>
      <c r="B114" s="163">
        <f t="shared" si="8"/>
        <v>93.864322983270256</v>
      </c>
      <c r="C114" s="64">
        <v>220</v>
      </c>
      <c r="E114" s="64">
        <v>16</v>
      </c>
      <c r="F114" s="64">
        <f t="shared" si="9"/>
        <v>32</v>
      </c>
      <c r="G114" s="64">
        <f t="shared" si="10"/>
        <v>48</v>
      </c>
      <c r="H114" s="163">
        <f t="shared" si="13"/>
        <v>119.57238596594937</v>
      </c>
      <c r="I114" s="187">
        <v>7669</v>
      </c>
      <c r="J114" s="163">
        <f t="shared" si="15"/>
        <v>697.18181818181813</v>
      </c>
      <c r="K114" s="64">
        <v>874</v>
      </c>
      <c r="L114" s="163">
        <f t="shared" si="11"/>
        <v>8.0085505507190593</v>
      </c>
      <c r="M114" s="165">
        <f t="shared" si="14"/>
        <v>39.68</v>
      </c>
      <c r="N114" s="165"/>
      <c r="O114" s="165"/>
      <c r="P114" s="165"/>
      <c r="Q114" s="165"/>
      <c r="R114" s="165"/>
      <c r="S114" s="187">
        <v>13971</v>
      </c>
      <c r="T114" s="64">
        <v>1129</v>
      </c>
    </row>
    <row r="115" spans="1:20" x14ac:dyDescent="0.25">
      <c r="A115" s="166" t="str">
        <f t="shared" si="7"/>
        <v>CARF  250*5</v>
      </c>
      <c r="B115" s="168">
        <f t="shared" si="8"/>
        <v>37.959612674800994</v>
      </c>
      <c r="C115" s="167">
        <v>250</v>
      </c>
      <c r="D115" s="167"/>
      <c r="E115" s="167">
        <v>5</v>
      </c>
      <c r="F115" s="167">
        <f t="shared" si="9"/>
        <v>5</v>
      </c>
      <c r="G115" s="167">
        <f t="shared" si="10"/>
        <v>10</v>
      </c>
      <c r="H115" s="168">
        <f t="shared" si="13"/>
        <v>48.356194490192351</v>
      </c>
      <c r="I115" s="184">
        <v>4803</v>
      </c>
      <c r="J115" s="168">
        <f t="shared" si="15"/>
        <v>384.24</v>
      </c>
      <c r="K115" s="167">
        <v>442</v>
      </c>
      <c r="L115" s="168">
        <f t="shared" si="11"/>
        <v>9.9662146229410027</v>
      </c>
      <c r="M115" s="184">
        <f t="shared" si="14"/>
        <v>23</v>
      </c>
      <c r="N115" s="184"/>
      <c r="O115" s="184"/>
      <c r="P115" s="184"/>
      <c r="Q115" s="184"/>
      <c r="R115" s="184"/>
      <c r="S115" s="184">
        <v>7443</v>
      </c>
      <c r="T115" s="171">
        <v>577</v>
      </c>
    </row>
    <row r="116" spans="1:20" x14ac:dyDescent="0.25">
      <c r="A116" s="172" t="str">
        <f t="shared" si="7"/>
        <v>CARF  250*6</v>
      </c>
      <c r="B116" s="174">
        <f t="shared" si="8"/>
        <v>45.241842251713429</v>
      </c>
      <c r="C116" s="173">
        <v>250</v>
      </c>
      <c r="D116" s="173"/>
      <c r="E116" s="173">
        <v>6</v>
      </c>
      <c r="F116" s="173">
        <f t="shared" si="9"/>
        <v>6</v>
      </c>
      <c r="G116" s="173">
        <f t="shared" si="10"/>
        <v>12</v>
      </c>
      <c r="H116" s="174">
        <f t="shared" si="13"/>
        <v>57.632920065876981</v>
      </c>
      <c r="I116" s="185">
        <v>5668</v>
      </c>
      <c r="J116" s="174">
        <f t="shared" si="15"/>
        <v>453.44</v>
      </c>
      <c r="K116" s="173">
        <v>524</v>
      </c>
      <c r="L116" s="174">
        <f t="shared" si="11"/>
        <v>9.9169839098775334</v>
      </c>
      <c r="M116" s="185">
        <f t="shared" si="14"/>
        <v>27.12</v>
      </c>
      <c r="N116" s="185"/>
      <c r="O116" s="185"/>
      <c r="P116" s="185"/>
      <c r="Q116" s="185"/>
      <c r="R116" s="185"/>
      <c r="S116" s="185">
        <v>8843</v>
      </c>
      <c r="T116" s="177">
        <v>681</v>
      </c>
    </row>
    <row r="117" spans="1:20" x14ac:dyDescent="0.25">
      <c r="A117" s="172" t="str">
        <f t="shared" si="7"/>
        <v>CARF  250*6.3</v>
      </c>
      <c r="B117" s="174">
        <f t="shared" si="8"/>
        <v>47.138930110018741</v>
      </c>
      <c r="C117" s="173">
        <v>250</v>
      </c>
      <c r="D117" s="173"/>
      <c r="E117" s="173">
        <v>6.3</v>
      </c>
      <c r="F117" s="173">
        <f t="shared" si="9"/>
        <v>9.4499999999999993</v>
      </c>
      <c r="G117" s="173">
        <f t="shared" si="10"/>
        <v>15.75</v>
      </c>
      <c r="H117" s="174">
        <f t="shared" si="13"/>
        <v>60.049592496839161</v>
      </c>
      <c r="I117" s="185">
        <v>5865</v>
      </c>
      <c r="J117" s="174">
        <f t="shared" si="15"/>
        <v>469.2</v>
      </c>
      <c r="K117" s="173">
        <v>544</v>
      </c>
      <c r="L117" s="174">
        <f t="shared" si="11"/>
        <v>9.8827765472083371</v>
      </c>
      <c r="M117" s="185">
        <f t="shared" si="14"/>
        <v>27.530999999999999</v>
      </c>
      <c r="N117" s="185"/>
      <c r="O117" s="185"/>
      <c r="P117" s="185"/>
      <c r="Q117" s="185"/>
      <c r="R117" s="185"/>
      <c r="S117" s="185">
        <v>9290</v>
      </c>
      <c r="T117" s="177">
        <v>711</v>
      </c>
    </row>
    <row r="118" spans="1:20" x14ac:dyDescent="0.25">
      <c r="A118" s="172" t="str">
        <f t="shared" si="7"/>
        <v>CARF  250*8</v>
      </c>
      <c r="B118" s="174">
        <f t="shared" si="8"/>
        <v>59.06534459665405</v>
      </c>
      <c r="C118" s="173">
        <v>250</v>
      </c>
      <c r="D118" s="173"/>
      <c r="E118" s="173">
        <v>8</v>
      </c>
      <c r="F118" s="173">
        <f t="shared" si="9"/>
        <v>12</v>
      </c>
      <c r="G118" s="173">
        <f t="shared" si="10"/>
        <v>20</v>
      </c>
      <c r="H118" s="174">
        <f t="shared" si="13"/>
        <v>75.24247719318987</v>
      </c>
      <c r="I118" s="185">
        <v>7214</v>
      </c>
      <c r="J118" s="174">
        <f t="shared" si="15"/>
        <v>577.12</v>
      </c>
      <c r="K118" s="173">
        <v>675</v>
      </c>
      <c r="L118" s="174">
        <f t="shared" si="11"/>
        <v>9.7916645423359832</v>
      </c>
      <c r="M118" s="185">
        <f t="shared" si="14"/>
        <v>33.6</v>
      </c>
      <c r="N118" s="185"/>
      <c r="O118" s="185"/>
      <c r="P118" s="185"/>
      <c r="Q118" s="185"/>
      <c r="R118" s="185"/>
      <c r="S118" s="185">
        <v>11598</v>
      </c>
      <c r="T118" s="177">
        <v>878</v>
      </c>
    </row>
    <row r="119" spans="1:20" x14ac:dyDescent="0.25">
      <c r="A119" s="172" t="str">
        <f t="shared" ref="A119:A145" si="16">$B$3&amp;"  "&amp;C119&amp;"*"&amp;E119</f>
        <v>CARF  250*10</v>
      </c>
      <c r="B119" s="174">
        <f t="shared" ref="B119:B145" si="17">(H119*7850)/10000</f>
        <v>72.664600932271952</v>
      </c>
      <c r="C119" s="173">
        <v>250</v>
      </c>
      <c r="D119" s="173"/>
      <c r="E119" s="173">
        <v>10</v>
      </c>
      <c r="F119" s="173">
        <f t="shared" ref="F119:F145" si="18">IF(E119&lt;=6,1*E119,IF(E119&lt;=10,1.5*E119,2*E119))</f>
        <v>15</v>
      </c>
      <c r="G119" s="173">
        <f t="shared" ref="G119:G145" si="19">IF(E119&lt;=6,2*E119,IF(E119&lt;=10,2.5*E119,3*E119))</f>
        <v>25</v>
      </c>
      <c r="H119" s="174">
        <f t="shared" si="13"/>
        <v>92.566370614359172</v>
      </c>
      <c r="I119" s="185">
        <v>8678</v>
      </c>
      <c r="J119" s="174">
        <f t="shared" si="15"/>
        <v>694.24</v>
      </c>
      <c r="K119" s="173">
        <v>821</v>
      </c>
      <c r="L119" s="174">
        <f t="shared" ref="L119:L145" si="20">SQRT(I119/H119)</f>
        <v>9.6824041154792688</v>
      </c>
      <c r="M119" s="185">
        <f t="shared" si="14"/>
        <v>40</v>
      </c>
      <c r="N119" s="185"/>
      <c r="O119" s="185"/>
      <c r="P119" s="185"/>
      <c r="Q119" s="185"/>
      <c r="R119" s="185"/>
      <c r="S119" s="185">
        <v>14197</v>
      </c>
      <c r="T119" s="177">
        <v>1062</v>
      </c>
    </row>
    <row r="120" spans="1:20" x14ac:dyDescent="0.25">
      <c r="A120" s="172" t="str">
        <f t="shared" si="16"/>
        <v>CARF  250*12</v>
      </c>
      <c r="B120" s="174">
        <f t="shared" si="17"/>
        <v>84.826681678089514</v>
      </c>
      <c r="C120" s="173">
        <v>250</v>
      </c>
      <c r="D120" s="173"/>
      <c r="E120" s="173">
        <v>12</v>
      </c>
      <c r="F120" s="173">
        <f t="shared" si="18"/>
        <v>24</v>
      </c>
      <c r="G120" s="173">
        <f t="shared" si="19"/>
        <v>36</v>
      </c>
      <c r="H120" s="174">
        <f t="shared" si="13"/>
        <v>108.05946710584651</v>
      </c>
      <c r="I120" s="185">
        <v>9789</v>
      </c>
      <c r="J120" s="174">
        <f t="shared" si="15"/>
        <v>783.12</v>
      </c>
      <c r="K120" s="173">
        <v>941</v>
      </c>
      <c r="L120" s="174">
        <f t="shared" si="20"/>
        <v>9.5178258361147652</v>
      </c>
      <c r="M120" s="185">
        <f t="shared" si="14"/>
        <v>42.72</v>
      </c>
      <c r="N120" s="185"/>
      <c r="O120" s="185"/>
      <c r="P120" s="185"/>
      <c r="Q120" s="185"/>
      <c r="R120" s="185"/>
      <c r="S120" s="185">
        <v>16691</v>
      </c>
      <c r="T120" s="177">
        <v>1226</v>
      </c>
    </row>
    <row r="121" spans="1:20" x14ac:dyDescent="0.25">
      <c r="A121" s="172" t="str">
        <f t="shared" si="16"/>
        <v>CARF  250*12.5</v>
      </c>
      <c r="B121" s="174">
        <f t="shared" si="17"/>
        <v>87.954298695843661</v>
      </c>
      <c r="C121" s="173">
        <v>250</v>
      </c>
      <c r="D121" s="173"/>
      <c r="E121" s="173">
        <v>12.5</v>
      </c>
      <c r="F121" s="173">
        <f t="shared" si="18"/>
        <v>25</v>
      </c>
      <c r="G121" s="173">
        <f t="shared" si="19"/>
        <v>37.5</v>
      </c>
      <c r="H121" s="174">
        <f t="shared" si="13"/>
        <v>112.04369260617027</v>
      </c>
      <c r="I121" s="185">
        <v>10082</v>
      </c>
      <c r="J121" s="174">
        <f t="shared" si="15"/>
        <v>806.56</v>
      </c>
      <c r="K121" s="173">
        <v>972</v>
      </c>
      <c r="L121" s="174">
        <f t="shared" si="20"/>
        <v>9.4859239792906376</v>
      </c>
      <c r="M121" s="185">
        <f t="shared" si="14"/>
        <v>43.75</v>
      </c>
      <c r="N121" s="185"/>
      <c r="O121" s="185"/>
      <c r="P121" s="185"/>
      <c r="Q121" s="185"/>
      <c r="R121" s="185"/>
      <c r="S121" s="185">
        <v>13283</v>
      </c>
      <c r="T121" s="177">
        <v>1266</v>
      </c>
    </row>
    <row r="122" spans="1:20" x14ac:dyDescent="0.25">
      <c r="A122" s="178" t="str">
        <f t="shared" si="16"/>
        <v>CARF  250*16</v>
      </c>
      <c r="B122" s="180">
        <f t="shared" si="17"/>
        <v>108.93632298327023</v>
      </c>
      <c r="C122" s="179">
        <v>250</v>
      </c>
      <c r="D122" s="179"/>
      <c r="E122" s="179">
        <v>16</v>
      </c>
      <c r="F122" s="179">
        <f t="shared" si="18"/>
        <v>32</v>
      </c>
      <c r="G122" s="179">
        <f t="shared" si="19"/>
        <v>48</v>
      </c>
      <c r="H122" s="180">
        <f t="shared" si="13"/>
        <v>138.77238596594935</v>
      </c>
      <c r="I122" s="186">
        <v>11883</v>
      </c>
      <c r="J122" s="180">
        <f t="shared" si="15"/>
        <v>950.64</v>
      </c>
      <c r="K122" s="179">
        <v>1173</v>
      </c>
      <c r="L122" s="180">
        <f t="shared" si="20"/>
        <v>9.2536170099099948</v>
      </c>
      <c r="M122" s="186">
        <f t="shared" si="14"/>
        <v>49.28</v>
      </c>
      <c r="N122" s="186"/>
      <c r="O122" s="186"/>
      <c r="P122" s="186"/>
      <c r="Q122" s="186"/>
      <c r="R122" s="186"/>
      <c r="S122" s="186">
        <v>21146</v>
      </c>
      <c r="T122" s="183">
        <v>1520</v>
      </c>
    </row>
    <row r="123" spans="1:20" x14ac:dyDescent="0.25">
      <c r="A123" s="162" t="str">
        <f t="shared" si="16"/>
        <v>CARF  260*6</v>
      </c>
      <c r="B123" s="163">
        <f t="shared" si="17"/>
        <v>47.125842251713429</v>
      </c>
      <c r="C123" s="64">
        <v>260</v>
      </c>
      <c r="E123" s="64">
        <v>6</v>
      </c>
      <c r="F123" s="64">
        <f t="shared" si="18"/>
        <v>6</v>
      </c>
      <c r="G123" s="64">
        <f t="shared" si="19"/>
        <v>12</v>
      </c>
      <c r="H123" s="163">
        <f t="shared" si="13"/>
        <v>60.032920065876979</v>
      </c>
      <c r="I123" s="187">
        <v>6400</v>
      </c>
      <c r="J123" s="163">
        <f t="shared" si="15"/>
        <v>492.30769230769232</v>
      </c>
      <c r="K123" s="64">
        <v>569</v>
      </c>
      <c r="L123" s="163">
        <f t="shared" si="20"/>
        <v>10.325123447108979</v>
      </c>
      <c r="M123" s="165">
        <f t="shared" si="14"/>
        <v>28.32</v>
      </c>
      <c r="N123" s="165"/>
      <c r="O123" s="165"/>
      <c r="P123" s="165"/>
      <c r="Q123" s="165"/>
      <c r="R123" s="165"/>
      <c r="S123" s="187">
        <v>9970</v>
      </c>
      <c r="T123" s="64">
        <v>739</v>
      </c>
    </row>
    <row r="124" spans="1:20" x14ac:dyDescent="0.25">
      <c r="A124" s="162" t="str">
        <f t="shared" si="16"/>
        <v>CARF  260*6.3</v>
      </c>
      <c r="B124" s="163">
        <f t="shared" si="17"/>
        <v>49.117130110018742</v>
      </c>
      <c r="C124" s="64">
        <v>260</v>
      </c>
      <c r="E124" s="64">
        <v>6.3</v>
      </c>
      <c r="F124" s="64">
        <f t="shared" si="18"/>
        <v>9.4499999999999993</v>
      </c>
      <c r="G124" s="64">
        <f t="shared" si="19"/>
        <v>15.75</v>
      </c>
      <c r="H124" s="163">
        <f t="shared" si="13"/>
        <v>62.569592496839164</v>
      </c>
      <c r="I124" s="187">
        <v>6627</v>
      </c>
      <c r="J124" s="163">
        <f t="shared" si="15"/>
        <v>509.76923076923077</v>
      </c>
      <c r="K124" s="64">
        <v>590</v>
      </c>
      <c r="L124" s="163">
        <f t="shared" si="20"/>
        <v>10.29145601021763</v>
      </c>
      <c r="M124" s="165">
        <f t="shared" si="14"/>
        <v>28.791</v>
      </c>
      <c r="N124" s="165"/>
      <c r="O124" s="165"/>
      <c r="P124" s="165"/>
      <c r="Q124" s="165"/>
      <c r="R124" s="165"/>
      <c r="S124" s="187">
        <v>10475</v>
      </c>
      <c r="T124" s="64">
        <v>772</v>
      </c>
    </row>
    <row r="125" spans="1:20" x14ac:dyDescent="0.25">
      <c r="A125" s="162" t="str">
        <f t="shared" si="16"/>
        <v>CARF  260*8</v>
      </c>
      <c r="B125" s="163">
        <f t="shared" si="17"/>
        <v>61.577344596654051</v>
      </c>
      <c r="C125" s="64">
        <v>260</v>
      </c>
      <c r="E125" s="64">
        <v>8</v>
      </c>
      <c r="F125" s="64">
        <f t="shared" si="18"/>
        <v>12</v>
      </c>
      <c r="G125" s="64">
        <f t="shared" si="19"/>
        <v>20</v>
      </c>
      <c r="H125" s="163">
        <f t="shared" si="13"/>
        <v>78.442477193189873</v>
      </c>
      <c r="I125" s="187">
        <v>8163</v>
      </c>
      <c r="J125" s="163">
        <f t="shared" si="15"/>
        <v>627.92307692307691</v>
      </c>
      <c r="K125" s="64">
        <v>733</v>
      </c>
      <c r="L125" s="163">
        <f t="shared" si="20"/>
        <v>10.201152692168279</v>
      </c>
      <c r="M125" s="165">
        <f t="shared" si="14"/>
        <v>35.200000000000003</v>
      </c>
      <c r="N125" s="165"/>
      <c r="O125" s="165"/>
      <c r="P125" s="165"/>
      <c r="Q125" s="165"/>
      <c r="R125" s="165"/>
      <c r="S125" s="187">
        <v>13087</v>
      </c>
      <c r="T125" s="64">
        <v>955</v>
      </c>
    </row>
    <row r="126" spans="1:20" x14ac:dyDescent="0.25">
      <c r="A126" s="162" t="str">
        <f t="shared" si="16"/>
        <v>CARF  260*10</v>
      </c>
      <c r="B126" s="163">
        <f t="shared" si="17"/>
        <v>75.804600932271953</v>
      </c>
      <c r="C126" s="64">
        <v>260</v>
      </c>
      <c r="E126" s="64">
        <v>10</v>
      </c>
      <c r="F126" s="64">
        <f t="shared" si="18"/>
        <v>15</v>
      </c>
      <c r="G126" s="64">
        <f t="shared" si="19"/>
        <v>25</v>
      </c>
      <c r="H126" s="163">
        <f t="shared" si="13"/>
        <v>96.566370614359172</v>
      </c>
      <c r="I126" s="187">
        <v>9835</v>
      </c>
      <c r="J126" s="163">
        <f t="shared" si="15"/>
        <v>756.53846153846155</v>
      </c>
      <c r="K126" s="64">
        <v>893</v>
      </c>
      <c r="L126" s="163">
        <f t="shared" si="20"/>
        <v>10.091929956437607</v>
      </c>
      <c r="M126" s="165">
        <f t="shared" si="14"/>
        <v>42</v>
      </c>
      <c r="N126" s="165"/>
      <c r="O126" s="165"/>
      <c r="P126" s="165"/>
      <c r="Q126" s="165"/>
      <c r="R126" s="165"/>
      <c r="S126" s="187">
        <v>16035</v>
      </c>
      <c r="T126" s="64">
        <v>1156</v>
      </c>
    </row>
    <row r="127" spans="1:20" x14ac:dyDescent="0.25">
      <c r="A127" s="162" t="str">
        <f t="shared" si="16"/>
        <v>CARF  260*12</v>
      </c>
      <c r="B127" s="163">
        <f t="shared" si="17"/>
        <v>88.594681678089515</v>
      </c>
      <c r="C127" s="64">
        <v>260</v>
      </c>
      <c r="E127" s="64">
        <v>12</v>
      </c>
      <c r="F127" s="64">
        <f t="shared" si="18"/>
        <v>24</v>
      </c>
      <c r="G127" s="64">
        <f t="shared" si="19"/>
        <v>36</v>
      </c>
      <c r="H127" s="163">
        <f t="shared" si="13"/>
        <v>112.85946710584651</v>
      </c>
      <c r="I127" s="187">
        <v>11126</v>
      </c>
      <c r="J127" s="163">
        <f t="shared" si="15"/>
        <v>855.84615384615381</v>
      </c>
      <c r="K127" s="64">
        <v>1025</v>
      </c>
      <c r="L127" s="163">
        <f t="shared" si="20"/>
        <v>9.9288861335398604</v>
      </c>
      <c r="M127" s="165">
        <f t="shared" si="14"/>
        <v>45.12</v>
      </c>
      <c r="N127" s="165"/>
      <c r="O127" s="165"/>
      <c r="P127" s="165"/>
      <c r="Q127" s="165"/>
      <c r="R127" s="165"/>
      <c r="S127" s="187">
        <v>18878</v>
      </c>
      <c r="T127" s="64">
        <v>1337</v>
      </c>
    </row>
    <row r="128" spans="1:20" x14ac:dyDescent="0.25">
      <c r="A128" s="162" t="str">
        <f t="shared" si="16"/>
        <v>CARF  260*12.5</v>
      </c>
      <c r="B128" s="163">
        <f t="shared" si="17"/>
        <v>91.879298695843659</v>
      </c>
      <c r="C128" s="64">
        <v>260</v>
      </c>
      <c r="E128" s="64">
        <v>12.5</v>
      </c>
      <c r="F128" s="64">
        <f t="shared" si="18"/>
        <v>25</v>
      </c>
      <c r="G128" s="64">
        <f t="shared" si="19"/>
        <v>37.5</v>
      </c>
      <c r="H128" s="163">
        <f t="shared" si="13"/>
        <v>117.04369260617027</v>
      </c>
      <c r="I128" s="187">
        <v>11465</v>
      </c>
      <c r="J128" s="163">
        <f t="shared" si="15"/>
        <v>881.92307692307691</v>
      </c>
      <c r="K128" s="64">
        <v>1059</v>
      </c>
      <c r="L128" s="163">
        <f t="shared" si="20"/>
        <v>9.8972153971806662</v>
      </c>
      <c r="M128" s="165">
        <f t="shared" si="14"/>
        <v>46.25</v>
      </c>
      <c r="N128" s="165"/>
      <c r="O128" s="165"/>
      <c r="P128" s="165"/>
      <c r="Q128" s="165"/>
      <c r="R128" s="165"/>
      <c r="S128" s="187">
        <v>19553</v>
      </c>
      <c r="T128" s="64">
        <v>1381</v>
      </c>
    </row>
    <row r="129" spans="1:20" x14ac:dyDescent="0.25">
      <c r="A129" s="162" t="str">
        <f t="shared" si="16"/>
        <v>CARF  260*16</v>
      </c>
      <c r="B129" s="163">
        <f t="shared" si="17"/>
        <v>113.96032298327026</v>
      </c>
      <c r="C129" s="64">
        <v>260</v>
      </c>
      <c r="E129" s="64">
        <v>16</v>
      </c>
      <c r="F129" s="64">
        <f t="shared" si="18"/>
        <v>32</v>
      </c>
      <c r="G129" s="64">
        <f t="shared" si="19"/>
        <v>48</v>
      </c>
      <c r="H129" s="163">
        <f t="shared" si="13"/>
        <v>145.17238596594936</v>
      </c>
      <c r="I129" s="187">
        <v>13568</v>
      </c>
      <c r="J129" s="163">
        <f t="shared" si="15"/>
        <v>1043.6923076923076</v>
      </c>
      <c r="K129" s="64">
        <v>1282</v>
      </c>
      <c r="L129" s="163">
        <f t="shared" si="20"/>
        <v>9.6675384961902413</v>
      </c>
      <c r="M129" s="165">
        <f t="shared" si="14"/>
        <v>52.480000000000004</v>
      </c>
      <c r="N129" s="165"/>
      <c r="O129" s="165"/>
      <c r="P129" s="165"/>
      <c r="Q129" s="165"/>
      <c r="R129" s="165"/>
      <c r="S129" s="187">
        <v>23986</v>
      </c>
      <c r="T129" s="64">
        <v>1663</v>
      </c>
    </row>
    <row r="130" spans="1:20" x14ac:dyDescent="0.25">
      <c r="A130" s="166" t="str">
        <f t="shared" si="16"/>
        <v>CARF  300*6</v>
      </c>
      <c r="B130" s="168">
        <f t="shared" si="17"/>
        <v>54.661842251713423</v>
      </c>
      <c r="C130" s="167">
        <v>300</v>
      </c>
      <c r="D130" s="167"/>
      <c r="E130" s="167">
        <v>6</v>
      </c>
      <c r="F130" s="167">
        <f t="shared" si="18"/>
        <v>6</v>
      </c>
      <c r="G130" s="167">
        <f t="shared" si="19"/>
        <v>12</v>
      </c>
      <c r="H130" s="168">
        <f t="shared" si="13"/>
        <v>69.632920065876974</v>
      </c>
      <c r="I130" s="184">
        <v>9959</v>
      </c>
      <c r="J130" s="168">
        <f t="shared" si="15"/>
        <v>663.93333333333328</v>
      </c>
      <c r="K130" s="167">
        <v>764</v>
      </c>
      <c r="L130" s="168">
        <f t="shared" si="20"/>
        <v>11.959156861191962</v>
      </c>
      <c r="M130" s="184">
        <f t="shared" si="14"/>
        <v>33.119999999999997</v>
      </c>
      <c r="N130" s="184"/>
      <c r="O130" s="184"/>
      <c r="P130" s="184"/>
      <c r="Q130" s="184"/>
      <c r="R130" s="184"/>
      <c r="S130" s="184">
        <v>15434</v>
      </c>
      <c r="T130" s="171">
        <v>997</v>
      </c>
    </row>
    <row r="131" spans="1:20" x14ac:dyDescent="0.25">
      <c r="A131" s="172" t="str">
        <f t="shared" si="16"/>
        <v>CARF  300*6.3</v>
      </c>
      <c r="B131" s="174">
        <f t="shared" si="17"/>
        <v>57.029930110018746</v>
      </c>
      <c r="C131" s="173">
        <v>300</v>
      </c>
      <c r="D131" s="173"/>
      <c r="E131" s="173">
        <v>6.3</v>
      </c>
      <c r="F131" s="173">
        <f t="shared" si="18"/>
        <v>9.4499999999999993</v>
      </c>
      <c r="G131" s="173">
        <f t="shared" si="19"/>
        <v>15.75</v>
      </c>
      <c r="H131" s="174">
        <f t="shared" si="13"/>
        <v>72.649592496839162</v>
      </c>
      <c r="I131" s="185">
        <v>10333</v>
      </c>
      <c r="J131" s="174">
        <f t="shared" si="15"/>
        <v>688.86666666666667</v>
      </c>
      <c r="K131" s="173">
        <v>795</v>
      </c>
      <c r="L131" s="174">
        <f t="shared" si="20"/>
        <v>11.926049933909507</v>
      </c>
      <c r="M131" s="185">
        <f t="shared" si="14"/>
        <v>33.831000000000003</v>
      </c>
      <c r="N131" s="185"/>
      <c r="O131" s="185"/>
      <c r="P131" s="185"/>
      <c r="Q131" s="185"/>
      <c r="R131" s="185"/>
      <c r="S131" s="185">
        <v>16218</v>
      </c>
      <c r="T131" s="177">
        <v>1042</v>
      </c>
    </row>
    <row r="132" spans="1:20" x14ac:dyDescent="0.25">
      <c r="A132" s="172" t="str">
        <f t="shared" si="16"/>
        <v>CARF  300*8</v>
      </c>
      <c r="B132" s="174">
        <f t="shared" si="17"/>
        <v>71.62534459665406</v>
      </c>
      <c r="C132" s="173">
        <v>300</v>
      </c>
      <c r="D132" s="173"/>
      <c r="E132" s="173">
        <v>8</v>
      </c>
      <c r="F132" s="173">
        <f t="shared" si="18"/>
        <v>12</v>
      </c>
      <c r="G132" s="173">
        <f t="shared" si="19"/>
        <v>20</v>
      </c>
      <c r="H132" s="174">
        <f t="shared" ref="H132:H145" si="21">(4*(C132-2*G132)*E132+PI()*(G132^2-F132^2))*0.01</f>
        <v>91.242477193189885</v>
      </c>
      <c r="I132" s="185">
        <v>12783</v>
      </c>
      <c r="J132" s="174">
        <f t="shared" si="15"/>
        <v>852.2</v>
      </c>
      <c r="K132" s="173">
        <v>990</v>
      </c>
      <c r="L132" s="174">
        <f t="shared" si="20"/>
        <v>11.836351686792376</v>
      </c>
      <c r="M132" s="185">
        <f t="shared" ref="M132:M145" si="22">2*(C132-2*G132)*E132*0.01</f>
        <v>41.6</v>
      </c>
      <c r="N132" s="185"/>
      <c r="O132" s="185"/>
      <c r="P132" s="185"/>
      <c r="Q132" s="185"/>
      <c r="R132" s="185"/>
      <c r="S132" s="185">
        <v>20312</v>
      </c>
      <c r="T132" s="177">
        <v>1293</v>
      </c>
    </row>
    <row r="133" spans="1:20" x14ac:dyDescent="0.25">
      <c r="A133" s="172" t="str">
        <f t="shared" si="16"/>
        <v>CARF  300*10</v>
      </c>
      <c r="B133" s="174">
        <f t="shared" si="17"/>
        <v>88.364600932271955</v>
      </c>
      <c r="C133" s="173">
        <v>300</v>
      </c>
      <c r="D133" s="173"/>
      <c r="E133" s="173">
        <v>10</v>
      </c>
      <c r="F133" s="173">
        <f t="shared" si="18"/>
        <v>15</v>
      </c>
      <c r="G133" s="173">
        <f t="shared" si="19"/>
        <v>25</v>
      </c>
      <c r="H133" s="174">
        <f t="shared" si="21"/>
        <v>112.56637061435917</v>
      </c>
      <c r="I133" s="185">
        <v>15484</v>
      </c>
      <c r="J133" s="174">
        <f t="shared" si="15"/>
        <v>1032.2666666666667</v>
      </c>
      <c r="K133" s="173">
        <v>1210</v>
      </c>
      <c r="L133" s="174">
        <f t="shared" si="20"/>
        <v>11.728358956804252</v>
      </c>
      <c r="M133" s="185">
        <f t="shared" si="22"/>
        <v>50</v>
      </c>
      <c r="N133" s="185"/>
      <c r="O133" s="185"/>
      <c r="P133" s="185"/>
      <c r="Q133" s="185"/>
      <c r="R133" s="185"/>
      <c r="S133" s="185">
        <v>24966</v>
      </c>
      <c r="T133" s="177">
        <v>1572</v>
      </c>
    </row>
    <row r="134" spans="1:20" x14ac:dyDescent="0.25">
      <c r="A134" s="172" t="str">
        <f t="shared" si="16"/>
        <v>CARF  300*12</v>
      </c>
      <c r="B134" s="174">
        <f t="shared" si="17"/>
        <v>103.66668167808952</v>
      </c>
      <c r="C134" s="173">
        <v>300</v>
      </c>
      <c r="D134" s="173"/>
      <c r="E134" s="173">
        <v>12</v>
      </c>
      <c r="F134" s="173">
        <f t="shared" si="18"/>
        <v>24</v>
      </c>
      <c r="G134" s="173">
        <f t="shared" si="19"/>
        <v>36</v>
      </c>
      <c r="H134" s="174">
        <f t="shared" si="21"/>
        <v>132.05946710584652</v>
      </c>
      <c r="I134" s="185">
        <v>17682</v>
      </c>
      <c r="J134" s="174">
        <f t="shared" si="15"/>
        <v>1178.8</v>
      </c>
      <c r="K134" s="173">
        <v>1399</v>
      </c>
      <c r="L134" s="174">
        <f t="shared" si="20"/>
        <v>11.571267216017194</v>
      </c>
      <c r="M134" s="185">
        <f t="shared" si="22"/>
        <v>54.72</v>
      </c>
      <c r="N134" s="185"/>
      <c r="O134" s="185"/>
      <c r="P134" s="185"/>
      <c r="Q134" s="185"/>
      <c r="R134" s="185"/>
      <c r="S134" s="185">
        <v>29514</v>
      </c>
      <c r="T134" s="177">
        <v>1829</v>
      </c>
    </row>
    <row r="135" spans="1:20" x14ac:dyDescent="0.25">
      <c r="A135" s="172" t="str">
        <f t="shared" si="16"/>
        <v>CARF  300*12.5</v>
      </c>
      <c r="B135" s="174">
        <f t="shared" si="17"/>
        <v>107.57929869584365</v>
      </c>
      <c r="C135" s="173">
        <v>300</v>
      </c>
      <c r="D135" s="173"/>
      <c r="E135" s="173">
        <v>12.5</v>
      </c>
      <c r="F135" s="173">
        <f t="shared" si="18"/>
        <v>25</v>
      </c>
      <c r="G135" s="173">
        <f t="shared" si="19"/>
        <v>37.5</v>
      </c>
      <c r="H135" s="174">
        <f t="shared" si="21"/>
        <v>137.04369260617025</v>
      </c>
      <c r="I135" s="185">
        <v>18252</v>
      </c>
      <c r="J135" s="174">
        <f t="shared" si="15"/>
        <v>1216.8</v>
      </c>
      <c r="K135" s="173">
        <v>1447</v>
      </c>
      <c r="L135" s="174">
        <f t="shared" si="20"/>
        <v>11.540528663964205</v>
      </c>
      <c r="M135" s="185">
        <f t="shared" si="22"/>
        <v>56.25</v>
      </c>
      <c r="N135" s="185"/>
      <c r="O135" s="185"/>
      <c r="P135" s="185"/>
      <c r="Q135" s="185"/>
      <c r="R135" s="185"/>
      <c r="S135" s="185">
        <v>30601</v>
      </c>
      <c r="T135" s="177">
        <v>1892</v>
      </c>
    </row>
    <row r="136" spans="1:20" x14ac:dyDescent="0.25">
      <c r="A136" s="178" t="str">
        <f t="shared" si="16"/>
        <v>CARF  300*16</v>
      </c>
      <c r="B136" s="180">
        <f t="shared" si="17"/>
        <v>134.05632298327023</v>
      </c>
      <c r="C136" s="179">
        <v>300</v>
      </c>
      <c r="D136" s="179"/>
      <c r="E136" s="179">
        <v>16</v>
      </c>
      <c r="F136" s="179">
        <f t="shared" si="18"/>
        <v>32</v>
      </c>
      <c r="G136" s="179">
        <f t="shared" si="19"/>
        <v>48</v>
      </c>
      <c r="H136" s="180">
        <f t="shared" si="21"/>
        <v>170.77238596594935</v>
      </c>
      <c r="I136" s="186">
        <v>21877</v>
      </c>
      <c r="J136" s="180">
        <f t="shared" si="15"/>
        <v>1458.4666666666667</v>
      </c>
      <c r="K136" s="179">
        <v>1767</v>
      </c>
      <c r="L136" s="180">
        <f t="shared" si="20"/>
        <v>11.318400576947388</v>
      </c>
      <c r="M136" s="186">
        <f t="shared" si="22"/>
        <v>65.28</v>
      </c>
      <c r="N136" s="186"/>
      <c r="O136" s="186"/>
      <c r="P136" s="186"/>
      <c r="Q136" s="186"/>
      <c r="R136" s="186"/>
      <c r="S136" s="186">
        <v>37837</v>
      </c>
      <c r="T136" s="183">
        <v>2299</v>
      </c>
    </row>
    <row r="137" spans="1:20" x14ac:dyDescent="0.25">
      <c r="A137" s="162" t="str">
        <f t="shared" si="16"/>
        <v>CARF  350*8</v>
      </c>
      <c r="B137" s="163">
        <f t="shared" si="17"/>
        <v>84.185344596654062</v>
      </c>
      <c r="C137" s="64">
        <v>350</v>
      </c>
      <c r="E137" s="64">
        <v>8</v>
      </c>
      <c r="F137" s="64">
        <f t="shared" si="18"/>
        <v>12</v>
      </c>
      <c r="G137" s="64">
        <f t="shared" si="19"/>
        <v>20</v>
      </c>
      <c r="H137" s="163">
        <f t="shared" si="21"/>
        <v>107.24247719318988</v>
      </c>
      <c r="I137" s="187">
        <v>20660</v>
      </c>
      <c r="J137" s="163">
        <f t="shared" si="15"/>
        <v>1180.5714285714287</v>
      </c>
      <c r="K137" s="64">
        <v>1365</v>
      </c>
      <c r="L137" s="163">
        <f t="shared" si="20"/>
        <v>13.879753076227047</v>
      </c>
      <c r="M137" s="165">
        <f t="shared" si="22"/>
        <v>49.6</v>
      </c>
      <c r="N137" s="165"/>
      <c r="O137" s="165"/>
      <c r="P137" s="165"/>
      <c r="Q137" s="165"/>
      <c r="R137" s="165"/>
      <c r="S137" s="187">
        <v>32577</v>
      </c>
      <c r="T137" s="64">
        <v>1787</v>
      </c>
    </row>
    <row r="138" spans="1:20" x14ac:dyDescent="0.25">
      <c r="A138" s="162" t="str">
        <f t="shared" si="16"/>
        <v>CARF  350*10</v>
      </c>
      <c r="B138" s="163">
        <f t="shared" si="17"/>
        <v>104.06460093227194</v>
      </c>
      <c r="C138" s="64">
        <v>350</v>
      </c>
      <c r="E138" s="64">
        <v>10</v>
      </c>
      <c r="F138" s="64">
        <f t="shared" si="18"/>
        <v>15</v>
      </c>
      <c r="G138" s="64">
        <f t="shared" si="19"/>
        <v>25</v>
      </c>
      <c r="H138" s="163">
        <f t="shared" si="21"/>
        <v>132.56637061435916</v>
      </c>
      <c r="I138" s="187">
        <v>25148</v>
      </c>
      <c r="J138" s="163">
        <f t="shared" si="15"/>
        <v>1437.0285714285715</v>
      </c>
      <c r="K138" s="64">
        <v>1674</v>
      </c>
      <c r="L138" s="163">
        <f t="shared" si="20"/>
        <v>13.773205985865605</v>
      </c>
      <c r="M138" s="165">
        <f t="shared" si="22"/>
        <v>60</v>
      </c>
      <c r="N138" s="165"/>
      <c r="O138" s="165"/>
      <c r="P138" s="165"/>
      <c r="Q138" s="165"/>
      <c r="R138" s="165"/>
      <c r="S138" s="187">
        <v>40127</v>
      </c>
      <c r="T138" s="64">
        <v>2182</v>
      </c>
    </row>
    <row r="139" spans="1:20" x14ac:dyDescent="0.25">
      <c r="A139" s="162" t="str">
        <f t="shared" si="16"/>
        <v>CARF  350*12</v>
      </c>
      <c r="B139" s="163">
        <f t="shared" si="17"/>
        <v>122.50668167808952</v>
      </c>
      <c r="C139" s="64">
        <v>350</v>
      </c>
      <c r="E139" s="64">
        <v>12</v>
      </c>
      <c r="F139" s="64">
        <f t="shared" si="18"/>
        <v>24</v>
      </c>
      <c r="G139" s="64">
        <f t="shared" si="19"/>
        <v>36</v>
      </c>
      <c r="H139" s="163">
        <f t="shared" si="21"/>
        <v>156.05946710584652</v>
      </c>
      <c r="I139" s="187">
        <v>28954</v>
      </c>
      <c r="J139" s="163">
        <f t="shared" si="15"/>
        <v>1654.5142857142857</v>
      </c>
      <c r="K139" s="64">
        <v>1946</v>
      </c>
      <c r="L139" s="163">
        <f t="shared" si="20"/>
        <v>13.621007285708819</v>
      </c>
      <c r="M139" s="165">
        <f t="shared" si="22"/>
        <v>66.72</v>
      </c>
      <c r="N139" s="165"/>
      <c r="O139" s="165"/>
      <c r="P139" s="165"/>
      <c r="Q139" s="165"/>
      <c r="R139" s="165"/>
      <c r="S139" s="187">
        <v>47598</v>
      </c>
      <c r="T139" s="64">
        <v>2552</v>
      </c>
    </row>
    <row r="140" spans="1:20" x14ac:dyDescent="0.25">
      <c r="A140" s="162" t="str">
        <f t="shared" si="16"/>
        <v>CARF  350*12.5</v>
      </c>
      <c r="B140" s="163">
        <f t="shared" si="17"/>
        <v>127.20429869584365</v>
      </c>
      <c r="C140" s="64">
        <v>350</v>
      </c>
      <c r="E140" s="64">
        <v>12.5</v>
      </c>
      <c r="F140" s="64">
        <f t="shared" si="18"/>
        <v>25</v>
      </c>
      <c r="G140" s="64">
        <f t="shared" si="19"/>
        <v>37.5</v>
      </c>
      <c r="H140" s="163">
        <f t="shared" si="21"/>
        <v>162.04369260617025</v>
      </c>
      <c r="I140" s="187">
        <v>29932</v>
      </c>
      <c r="J140" s="163">
        <f t="shared" si="15"/>
        <v>1710.4</v>
      </c>
      <c r="K140" s="64">
        <v>2016</v>
      </c>
      <c r="L140" s="163">
        <f t="shared" si="20"/>
        <v>13.591012211114407</v>
      </c>
      <c r="M140" s="165">
        <f t="shared" si="22"/>
        <v>68.75</v>
      </c>
      <c r="N140" s="165"/>
      <c r="O140" s="165"/>
      <c r="P140" s="165"/>
      <c r="Q140" s="165"/>
      <c r="R140" s="165"/>
      <c r="S140" s="187">
        <v>49393</v>
      </c>
      <c r="T140" s="64">
        <v>2642</v>
      </c>
    </row>
    <row r="141" spans="1:20" x14ac:dyDescent="0.25">
      <c r="A141" s="162" t="str">
        <f t="shared" si="16"/>
        <v>CARF  350*16</v>
      </c>
      <c r="B141" s="163">
        <f t="shared" si="17"/>
        <v>159.17632298327024</v>
      </c>
      <c r="C141" s="64">
        <v>350</v>
      </c>
      <c r="E141" s="64">
        <v>16</v>
      </c>
      <c r="F141" s="64">
        <f t="shared" si="18"/>
        <v>32</v>
      </c>
      <c r="G141" s="64">
        <f t="shared" si="19"/>
        <v>48</v>
      </c>
      <c r="H141" s="163">
        <f t="shared" si="21"/>
        <v>202.77238596594935</v>
      </c>
      <c r="I141" s="187">
        <v>36277</v>
      </c>
      <c r="J141" s="163">
        <f t="shared" si="15"/>
        <v>2072.9714285714285</v>
      </c>
      <c r="K141" s="64">
        <v>2481</v>
      </c>
      <c r="L141" s="163">
        <f t="shared" si="20"/>
        <v>13.375538531733842</v>
      </c>
      <c r="M141" s="165">
        <f t="shared" si="22"/>
        <v>81.28</v>
      </c>
      <c r="N141" s="165"/>
      <c r="O141" s="165"/>
      <c r="P141" s="165"/>
      <c r="Q141" s="165"/>
      <c r="R141" s="165"/>
      <c r="S141" s="187">
        <v>61481</v>
      </c>
      <c r="T141" s="64">
        <v>3238</v>
      </c>
    </row>
    <row r="142" spans="1:20" x14ac:dyDescent="0.25">
      <c r="A142" s="166" t="str">
        <f t="shared" si="16"/>
        <v>CARF  400*10</v>
      </c>
      <c r="B142" s="168">
        <f t="shared" si="17"/>
        <v>119.76460093227195</v>
      </c>
      <c r="C142" s="167">
        <v>400</v>
      </c>
      <c r="D142" s="167"/>
      <c r="E142" s="167">
        <v>10</v>
      </c>
      <c r="F142" s="167">
        <f t="shared" si="18"/>
        <v>15</v>
      </c>
      <c r="G142" s="167">
        <f t="shared" si="19"/>
        <v>25</v>
      </c>
      <c r="H142" s="168">
        <f t="shared" si="21"/>
        <v>152.56637061435916</v>
      </c>
      <c r="I142" s="184">
        <v>38169</v>
      </c>
      <c r="J142" s="168">
        <f t="shared" si="15"/>
        <v>1908.45</v>
      </c>
      <c r="K142" s="167">
        <v>2213</v>
      </c>
      <c r="L142" s="168">
        <f t="shared" si="20"/>
        <v>15.817068063361127</v>
      </c>
      <c r="M142" s="184">
        <f t="shared" si="22"/>
        <v>70</v>
      </c>
      <c r="N142" s="184"/>
      <c r="O142" s="184"/>
      <c r="P142" s="184"/>
      <c r="Q142" s="184"/>
      <c r="R142" s="184"/>
      <c r="S142" s="184">
        <v>60431</v>
      </c>
      <c r="T142" s="171">
        <v>2892</v>
      </c>
    </row>
    <row r="143" spans="1:20" x14ac:dyDescent="0.25">
      <c r="A143" s="172" t="str">
        <f t="shared" si="16"/>
        <v>CARF  400*12</v>
      </c>
      <c r="B143" s="174">
        <f t="shared" si="17"/>
        <v>141.34668167808951</v>
      </c>
      <c r="C143" s="173">
        <v>400</v>
      </c>
      <c r="D143" s="173"/>
      <c r="E143" s="173">
        <v>12</v>
      </c>
      <c r="F143" s="173">
        <f t="shared" si="18"/>
        <v>24</v>
      </c>
      <c r="G143" s="173">
        <f t="shared" si="19"/>
        <v>36</v>
      </c>
      <c r="H143" s="174">
        <f t="shared" si="21"/>
        <v>180.05946710584652</v>
      </c>
      <c r="I143" s="185">
        <v>44204</v>
      </c>
      <c r="J143" s="174">
        <f t="shared" si="15"/>
        <v>2210.1999999999998</v>
      </c>
      <c r="K143" s="173">
        <v>2584</v>
      </c>
      <c r="L143" s="174">
        <f t="shared" si="20"/>
        <v>15.668333426124926</v>
      </c>
      <c r="M143" s="185">
        <f t="shared" si="22"/>
        <v>78.72</v>
      </c>
      <c r="N143" s="185"/>
      <c r="O143" s="185"/>
      <c r="P143" s="185"/>
      <c r="Q143" s="185"/>
      <c r="R143" s="185"/>
      <c r="S143" s="185">
        <v>71843</v>
      </c>
      <c r="T143" s="177">
        <v>3395</v>
      </c>
    </row>
    <row r="144" spans="1:20" x14ac:dyDescent="0.25">
      <c r="A144" s="172" t="str">
        <f t="shared" si="16"/>
        <v>CARF  400*12.5</v>
      </c>
      <c r="B144" s="174">
        <f t="shared" si="17"/>
        <v>146.82929869584365</v>
      </c>
      <c r="C144" s="173">
        <v>400</v>
      </c>
      <c r="D144" s="173"/>
      <c r="E144" s="173">
        <v>12.5</v>
      </c>
      <c r="F144" s="173">
        <f t="shared" si="18"/>
        <v>25</v>
      </c>
      <c r="G144" s="173">
        <f t="shared" si="19"/>
        <v>37.5</v>
      </c>
      <c r="H144" s="174">
        <f t="shared" si="21"/>
        <v>187.04369260617025</v>
      </c>
      <c r="I144" s="185">
        <v>45746</v>
      </c>
      <c r="J144" s="174">
        <f t="shared" si="15"/>
        <v>2287.3000000000002</v>
      </c>
      <c r="K144" s="173">
        <v>2679</v>
      </c>
      <c r="L144" s="174">
        <f t="shared" si="20"/>
        <v>15.638857735918283</v>
      </c>
      <c r="M144" s="185">
        <f t="shared" si="22"/>
        <v>81.25</v>
      </c>
      <c r="N144" s="185"/>
      <c r="O144" s="185"/>
      <c r="P144" s="185"/>
      <c r="Q144" s="185"/>
      <c r="R144" s="185"/>
      <c r="S144" s="185">
        <v>74598</v>
      </c>
      <c r="T144" s="177">
        <v>3518</v>
      </c>
    </row>
    <row r="145" spans="1:20" ht="15.75" thickBot="1" x14ac:dyDescent="0.3">
      <c r="A145" s="172" t="str">
        <f t="shared" si="16"/>
        <v>CARF  400*16</v>
      </c>
      <c r="B145" s="174">
        <f t="shared" si="17"/>
        <v>184.29632298327024</v>
      </c>
      <c r="C145" s="173">
        <v>400</v>
      </c>
      <c r="D145" s="173"/>
      <c r="E145" s="173">
        <v>16</v>
      </c>
      <c r="F145" s="173">
        <f t="shared" si="18"/>
        <v>32</v>
      </c>
      <c r="G145" s="173">
        <f t="shared" si="19"/>
        <v>48</v>
      </c>
      <c r="H145" s="174">
        <f t="shared" si="21"/>
        <v>234.77238596594935</v>
      </c>
      <c r="I145" s="185">
        <v>55884</v>
      </c>
      <c r="J145" s="174">
        <f t="shared" ref="J145" si="23">I145/(0.5*C145*0.1)</f>
        <v>2794.2</v>
      </c>
      <c r="K145" s="173">
        <v>3315</v>
      </c>
      <c r="L145" s="174">
        <f t="shared" si="20"/>
        <v>15.428376738303486</v>
      </c>
      <c r="M145" s="185">
        <f t="shared" si="22"/>
        <v>97.28</v>
      </c>
      <c r="N145" s="185"/>
      <c r="O145" s="185"/>
      <c r="P145" s="185"/>
      <c r="Q145" s="185"/>
      <c r="R145" s="185"/>
      <c r="S145" s="185">
        <v>93279</v>
      </c>
      <c r="T145" s="177">
        <v>4336</v>
      </c>
    </row>
    <row r="146" spans="1:20" ht="16.5" thickBot="1" x14ac:dyDescent="0.3">
      <c r="A146" s="157"/>
      <c r="B146" s="158" t="s">
        <v>416</v>
      </c>
      <c r="C146" s="159"/>
      <c r="D146" s="159"/>
      <c r="E146" s="159"/>
      <c r="F146" s="159"/>
      <c r="G146" s="159"/>
      <c r="H146" s="159"/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60"/>
    </row>
    <row r="147" spans="1:20" x14ac:dyDescent="0.25">
      <c r="A147" s="162" t="str">
        <f>$B$146&amp;"  "&amp;C147&amp;"*"&amp;E147</f>
        <v>CARC  40*2.6</v>
      </c>
      <c r="B147" s="163">
        <f>(H147*7850)/10000</f>
        <v>2.8371976946942459</v>
      </c>
      <c r="C147" s="64">
        <v>40</v>
      </c>
      <c r="E147" s="64">
        <v>2.6</v>
      </c>
      <c r="F147" s="64">
        <f>1*E147</f>
        <v>2.6</v>
      </c>
      <c r="G147" s="64">
        <f>1.5*E147</f>
        <v>3.9000000000000004</v>
      </c>
      <c r="H147" s="163">
        <f t="shared" ref="H147:H206" si="24">(4*(C147-2*G147)*E147+PI()*(G147^2-F147^2))*0.01</f>
        <v>3.6142645792283385</v>
      </c>
      <c r="I147" s="64">
        <v>8.8000000000000007</v>
      </c>
      <c r="J147" s="163">
        <f t="shared" ref="J147:J206" si="25">I147/(0.5*C147*0.1)</f>
        <v>4.4000000000000004</v>
      </c>
      <c r="K147" s="64">
        <v>5.31</v>
      </c>
      <c r="L147" s="163">
        <f>SQRT(I147/H147)</f>
        <v>1.5603835575016916</v>
      </c>
      <c r="M147" s="188">
        <f t="shared" ref="M147:M210" si="26">2*(C147-2*G147)*E147*0.01</f>
        <v>1.6744000000000003</v>
      </c>
      <c r="N147" s="188"/>
      <c r="O147" s="188"/>
      <c r="P147" s="188"/>
      <c r="Q147" s="188"/>
      <c r="R147" s="188"/>
      <c r="S147" s="64">
        <v>14</v>
      </c>
      <c r="T147" s="64">
        <v>6.41</v>
      </c>
    </row>
    <row r="148" spans="1:20" x14ac:dyDescent="0.25">
      <c r="A148" s="162" t="str">
        <f t="shared" ref="A148:A238" si="27">$B$146&amp;"  "&amp;C148&amp;"*"&amp;E148</f>
        <v>CARC  40*3.2</v>
      </c>
      <c r="B148" s="163">
        <f t="shared" ref="B148:B190" si="28">(H148*7850)/10000</f>
        <v>3.370259229832703</v>
      </c>
      <c r="C148" s="64">
        <v>40</v>
      </c>
      <c r="E148" s="64">
        <v>3.2</v>
      </c>
      <c r="F148" s="64">
        <f>1*E148</f>
        <v>3.2</v>
      </c>
      <c r="G148" s="64">
        <f>1.5*E148</f>
        <v>4.8000000000000007</v>
      </c>
      <c r="H148" s="163">
        <f>(4*(C148-2*G148)*E148+PI()*(G148^2-F148^2))*0.01</f>
        <v>4.2933238596594938</v>
      </c>
      <c r="I148" s="64">
        <v>10.199999999999999</v>
      </c>
      <c r="J148" s="163">
        <f>I148/(0.5*C148*0.1)</f>
        <v>5.0999999999999996</v>
      </c>
      <c r="K148" s="64">
        <v>6.28</v>
      </c>
      <c r="L148" s="163">
        <f>SQRT(I148/H148)</f>
        <v>1.5413570773567649</v>
      </c>
      <c r="M148" s="188">
        <f t="shared" si="26"/>
        <v>1.9456</v>
      </c>
      <c r="N148" s="188"/>
      <c r="O148" s="188"/>
      <c r="P148" s="188"/>
      <c r="Q148" s="188"/>
      <c r="R148" s="188"/>
      <c r="S148" s="64">
        <v>16.5</v>
      </c>
      <c r="T148" s="64">
        <v>7.42</v>
      </c>
    </row>
    <row r="149" spans="1:20" x14ac:dyDescent="0.25">
      <c r="A149" s="162" t="str">
        <f t="shared" si="27"/>
        <v>CARC  40*4</v>
      </c>
      <c r="B149" s="163">
        <f t="shared" si="28"/>
        <v>4.0100300466135979</v>
      </c>
      <c r="C149" s="64">
        <v>40</v>
      </c>
      <c r="E149" s="64">
        <v>4</v>
      </c>
      <c r="F149" s="64">
        <f t="shared" ref="F149:F238" si="29">1*E149</f>
        <v>4</v>
      </c>
      <c r="G149" s="64">
        <f t="shared" ref="G149:G238" si="30">1.5*E149</f>
        <v>6</v>
      </c>
      <c r="H149" s="163">
        <f t="shared" si="24"/>
        <v>5.108318530717959</v>
      </c>
      <c r="I149" s="64">
        <v>11.8</v>
      </c>
      <c r="J149" s="163">
        <f t="shared" si="25"/>
        <v>5.9</v>
      </c>
      <c r="K149" s="64">
        <v>7.44</v>
      </c>
      <c r="L149" s="163">
        <f t="shared" ref="L149:L238" si="31">SQRT(I149/H149)</f>
        <v>1.5198545173841318</v>
      </c>
      <c r="M149" s="188">
        <f t="shared" si="26"/>
        <v>2.2400000000000002</v>
      </c>
      <c r="N149" s="188"/>
      <c r="O149" s="188"/>
      <c r="P149" s="188"/>
      <c r="Q149" s="188"/>
      <c r="R149" s="188"/>
      <c r="S149" s="64">
        <v>19.5</v>
      </c>
      <c r="T149" s="64">
        <v>8.5399999999999991</v>
      </c>
    </row>
    <row r="150" spans="1:20" x14ac:dyDescent="0.25">
      <c r="A150" s="162" t="str">
        <f>$B$146&amp;"  "&amp;C150&amp;"*"&amp;E150</f>
        <v>CARC  40*5</v>
      </c>
      <c r="B150" s="163">
        <f>(H150*7850)/10000</f>
        <v>4.6956719478337465</v>
      </c>
      <c r="C150" s="64">
        <v>40</v>
      </c>
      <c r="E150" s="64">
        <v>5</v>
      </c>
      <c r="F150" s="64">
        <f>1*E150</f>
        <v>5</v>
      </c>
      <c r="G150" s="64">
        <f>1.5*E150</f>
        <v>7.5</v>
      </c>
      <c r="H150" s="163">
        <f>(4*(C150-2*G150)*E150+PI()*(G150^2-F150^2))*0.01</f>
        <v>5.9817477042468106</v>
      </c>
      <c r="I150" s="64">
        <v>13.4</v>
      </c>
      <c r="J150" s="163">
        <f>I150/(0.5*C150*0.1)</f>
        <v>6.7</v>
      </c>
      <c r="K150" s="64">
        <v>8.66</v>
      </c>
      <c r="L150" s="163">
        <f>SQRT(I150/H150)</f>
        <v>1.4967123885007869</v>
      </c>
      <c r="M150" s="188">
        <f t="shared" si="26"/>
        <v>2.5</v>
      </c>
      <c r="N150" s="188"/>
      <c r="O150" s="188"/>
      <c r="P150" s="188"/>
      <c r="Q150" s="188"/>
      <c r="R150" s="188"/>
      <c r="S150" s="64">
        <v>22.5</v>
      </c>
      <c r="T150" s="64">
        <v>9.6</v>
      </c>
    </row>
    <row r="151" spans="1:20" x14ac:dyDescent="0.25">
      <c r="A151" s="166" t="str">
        <f t="shared" si="27"/>
        <v>CARC  50*2.6</v>
      </c>
      <c r="B151" s="168">
        <f t="shared" si="28"/>
        <v>3.6535976946942457</v>
      </c>
      <c r="C151" s="167">
        <v>50</v>
      </c>
      <c r="D151" s="167"/>
      <c r="E151" s="167">
        <v>2.6</v>
      </c>
      <c r="F151" s="167">
        <f t="shared" si="29"/>
        <v>2.6</v>
      </c>
      <c r="G151" s="167">
        <f t="shared" si="30"/>
        <v>3.9000000000000004</v>
      </c>
      <c r="H151" s="168">
        <f t="shared" si="24"/>
        <v>4.6542645792283386</v>
      </c>
      <c r="I151" s="167">
        <v>18</v>
      </c>
      <c r="J151" s="168">
        <f t="shared" si="25"/>
        <v>7.2</v>
      </c>
      <c r="K151" s="167">
        <v>5.58</v>
      </c>
      <c r="L151" s="168">
        <f t="shared" si="31"/>
        <v>1.9665759270443677</v>
      </c>
      <c r="M151" s="170">
        <f t="shared" si="26"/>
        <v>2.1944000000000004</v>
      </c>
      <c r="N151" s="170"/>
      <c r="O151" s="170"/>
      <c r="P151" s="170"/>
      <c r="Q151" s="170"/>
      <c r="R151" s="170"/>
      <c r="S151" s="167">
        <v>28.4</v>
      </c>
      <c r="T151" s="171">
        <v>10.6</v>
      </c>
    </row>
    <row r="152" spans="1:20" x14ac:dyDescent="0.25">
      <c r="A152" s="172" t="str">
        <f>$B$146&amp;"  "&amp;C152&amp;"*"&amp;E152</f>
        <v>CARC  50*3.2</v>
      </c>
      <c r="B152" s="174">
        <f>(H152*7850)/10000</f>
        <v>4.3750592298327025</v>
      </c>
      <c r="C152" s="173">
        <v>50</v>
      </c>
      <c r="D152" s="173"/>
      <c r="E152" s="173">
        <v>3.2</v>
      </c>
      <c r="F152" s="173">
        <f>1*E152</f>
        <v>3.2</v>
      </c>
      <c r="G152" s="173">
        <f>1.5*E152</f>
        <v>4.8000000000000007</v>
      </c>
      <c r="H152" s="174">
        <f>(4*(C152-2*G152)*E152+PI()*(G152^2-F152^2))*0.01</f>
        <v>5.5733238596594941</v>
      </c>
      <c r="I152" s="173">
        <v>21.2</v>
      </c>
      <c r="J152" s="174">
        <f>I152/(0.5*C152*0.1)</f>
        <v>8.48</v>
      </c>
      <c r="K152" s="173">
        <v>10.199999999999999</v>
      </c>
      <c r="L152" s="174">
        <f>SQRT(I152/H152)</f>
        <v>1.950342076928232</v>
      </c>
      <c r="M152" s="176">
        <f t="shared" si="26"/>
        <v>2.5855999999999999</v>
      </c>
      <c r="N152" s="176"/>
      <c r="O152" s="176"/>
      <c r="P152" s="176"/>
      <c r="Q152" s="176"/>
      <c r="R152" s="176"/>
      <c r="S152" s="173">
        <v>33.799999999999997</v>
      </c>
      <c r="T152" s="177">
        <v>12.4</v>
      </c>
    </row>
    <row r="153" spans="1:20" x14ac:dyDescent="0.25">
      <c r="A153" s="172" t="str">
        <f t="shared" si="27"/>
        <v>CARC  50*4</v>
      </c>
      <c r="B153" s="174">
        <f t="shared" si="28"/>
        <v>5.2660300466135972</v>
      </c>
      <c r="C153" s="173">
        <v>50</v>
      </c>
      <c r="D153" s="173"/>
      <c r="E153" s="173">
        <v>4</v>
      </c>
      <c r="F153" s="173">
        <f t="shared" si="29"/>
        <v>4</v>
      </c>
      <c r="G153" s="173">
        <f t="shared" si="30"/>
        <v>6</v>
      </c>
      <c r="H153" s="174">
        <f t="shared" si="24"/>
        <v>6.7083185307179587</v>
      </c>
      <c r="I153" s="173">
        <v>25</v>
      </c>
      <c r="J153" s="174">
        <f t="shared" si="25"/>
        <v>10</v>
      </c>
      <c r="K153" s="173">
        <v>12.3</v>
      </c>
      <c r="L153" s="174">
        <f t="shared" si="31"/>
        <v>1.9304704861536361</v>
      </c>
      <c r="M153" s="176">
        <f t="shared" si="26"/>
        <v>3.04</v>
      </c>
      <c r="N153" s="176"/>
      <c r="O153" s="176"/>
      <c r="P153" s="176"/>
      <c r="Q153" s="176"/>
      <c r="R153" s="176"/>
      <c r="S153" s="173">
        <v>40.4</v>
      </c>
      <c r="T153" s="177">
        <v>14.5</v>
      </c>
    </row>
    <row r="154" spans="1:20" x14ac:dyDescent="0.25">
      <c r="A154" s="172" t="str">
        <f t="shared" si="27"/>
        <v>CARC  50*5</v>
      </c>
      <c r="B154" s="174">
        <f t="shared" si="28"/>
        <v>6.2656719478337468</v>
      </c>
      <c r="C154" s="173">
        <v>50</v>
      </c>
      <c r="D154" s="173"/>
      <c r="E154" s="173">
        <v>5</v>
      </c>
      <c r="F154" s="173">
        <f t="shared" si="29"/>
        <v>5</v>
      </c>
      <c r="G154" s="173">
        <f t="shared" si="30"/>
        <v>7.5</v>
      </c>
      <c r="H154" s="174">
        <f t="shared" si="24"/>
        <v>7.9817477042468106</v>
      </c>
      <c r="I154" s="173">
        <v>28.9</v>
      </c>
      <c r="J154" s="174">
        <f t="shared" si="25"/>
        <v>11.559999999999999</v>
      </c>
      <c r="K154" s="173">
        <v>14.5</v>
      </c>
      <c r="L154" s="174">
        <f t="shared" si="31"/>
        <v>1.9028297085786354</v>
      </c>
      <c r="M154" s="176">
        <f t="shared" si="26"/>
        <v>3.5</v>
      </c>
      <c r="N154" s="176"/>
      <c r="O154" s="176"/>
      <c r="P154" s="176"/>
      <c r="Q154" s="176"/>
      <c r="R154" s="176"/>
      <c r="S154" s="173">
        <v>47.6</v>
      </c>
      <c r="T154" s="177">
        <v>16.7</v>
      </c>
    </row>
    <row r="155" spans="1:20" x14ac:dyDescent="0.25">
      <c r="A155" s="178" t="str">
        <f t="shared" si="27"/>
        <v>CARC  50*6.3</v>
      </c>
      <c r="B155" s="180">
        <f t="shared" si="28"/>
        <v>7.3757207843808557</v>
      </c>
      <c r="C155" s="179">
        <v>50</v>
      </c>
      <c r="D155" s="179"/>
      <c r="E155" s="179">
        <v>6.3</v>
      </c>
      <c r="F155" s="179">
        <f t="shared" si="29"/>
        <v>6.3</v>
      </c>
      <c r="G155" s="179">
        <f t="shared" si="30"/>
        <v>9.4499999999999993</v>
      </c>
      <c r="H155" s="180">
        <f t="shared" si="24"/>
        <v>9.3958226552622364</v>
      </c>
      <c r="I155" s="179">
        <v>32.799999999999997</v>
      </c>
      <c r="J155" s="180">
        <f t="shared" si="25"/>
        <v>13.12</v>
      </c>
      <c r="K155" s="179">
        <v>17</v>
      </c>
      <c r="L155" s="180">
        <f t="shared" si="31"/>
        <v>1.8683985276762396</v>
      </c>
      <c r="M155" s="182">
        <f t="shared" si="26"/>
        <v>3.9186000000000001</v>
      </c>
      <c r="N155" s="182"/>
      <c r="O155" s="182"/>
      <c r="P155" s="182"/>
      <c r="Q155" s="182"/>
      <c r="R155" s="182"/>
      <c r="S155" s="179">
        <v>55.2</v>
      </c>
      <c r="T155" s="183">
        <v>18.8</v>
      </c>
    </row>
    <row r="156" spans="1:20" x14ac:dyDescent="0.25">
      <c r="A156" s="162" t="str">
        <f>$B$146&amp;"  "&amp;C156&amp;"*"&amp;E156</f>
        <v>CARC  60*2.6</v>
      </c>
      <c r="B156" s="163">
        <f>(H156*7850)/10000</f>
        <v>4.4699976946942446</v>
      </c>
      <c r="C156" s="64">
        <v>60</v>
      </c>
      <c r="E156" s="64">
        <v>2.6</v>
      </c>
      <c r="F156" s="64">
        <f>1*E156</f>
        <v>2.6</v>
      </c>
      <c r="G156" s="64">
        <f>1.5*E156</f>
        <v>3.9000000000000004</v>
      </c>
      <c r="H156" s="163">
        <f>(4*(C156-2*G156)*E156+PI()*(G156^2-F156^2))*0.01</f>
        <v>5.6942645792283377</v>
      </c>
      <c r="I156" s="64">
        <v>32.200000000000003</v>
      </c>
      <c r="J156" s="163">
        <f>I156/(0.5*C156*0.1)</f>
        <v>10.733333333333334</v>
      </c>
      <c r="K156" s="64">
        <v>12.6</v>
      </c>
      <c r="L156" s="163">
        <f>SQRT(I156/H156)</f>
        <v>2.3779850209258555</v>
      </c>
      <c r="M156" s="188">
        <f t="shared" si="26"/>
        <v>2.7143999999999999</v>
      </c>
      <c r="N156" s="188"/>
      <c r="O156" s="188"/>
      <c r="P156" s="188"/>
      <c r="Q156" s="188"/>
      <c r="R156" s="188"/>
      <c r="S156" s="64">
        <v>50.2</v>
      </c>
      <c r="T156" s="64">
        <v>15.7</v>
      </c>
    </row>
    <row r="157" spans="1:20" x14ac:dyDescent="0.25">
      <c r="A157" s="162" t="str">
        <f t="shared" si="27"/>
        <v>CARC  60*3.2</v>
      </c>
      <c r="B157" s="163">
        <f t="shared" si="28"/>
        <v>5.3798592298327019</v>
      </c>
      <c r="C157" s="64">
        <v>60</v>
      </c>
      <c r="E157" s="64">
        <v>3.2</v>
      </c>
      <c r="F157" s="64">
        <f t="shared" si="29"/>
        <v>3.2</v>
      </c>
      <c r="G157" s="64">
        <f t="shared" si="30"/>
        <v>4.8000000000000007</v>
      </c>
      <c r="H157" s="163">
        <f t="shared" si="24"/>
        <v>6.8533238596594934</v>
      </c>
      <c r="I157" s="64">
        <v>38.200000000000003</v>
      </c>
      <c r="J157" s="163">
        <f t="shared" si="25"/>
        <v>12.733333333333334</v>
      </c>
      <c r="K157" s="64">
        <v>15.2</v>
      </c>
      <c r="L157" s="163">
        <f t="shared" si="31"/>
        <v>2.36091881821392</v>
      </c>
      <c r="M157" s="188">
        <f t="shared" si="26"/>
        <v>3.2256</v>
      </c>
      <c r="N157" s="188"/>
      <c r="O157" s="188"/>
      <c r="P157" s="188"/>
      <c r="Q157" s="188"/>
      <c r="R157" s="188"/>
      <c r="S157" s="64">
        <v>60.2</v>
      </c>
      <c r="T157" s="64">
        <v>18.600000000000001</v>
      </c>
    </row>
    <row r="158" spans="1:20" x14ac:dyDescent="0.25">
      <c r="A158" s="162" t="str">
        <f t="shared" si="27"/>
        <v>CARC  60*4</v>
      </c>
      <c r="B158" s="163">
        <f t="shared" si="28"/>
        <v>6.5220300466135974</v>
      </c>
      <c r="C158" s="64">
        <v>60</v>
      </c>
      <c r="E158" s="64">
        <v>4</v>
      </c>
      <c r="F158" s="64">
        <f t="shared" si="29"/>
        <v>4</v>
      </c>
      <c r="G158" s="64">
        <f t="shared" si="30"/>
        <v>6</v>
      </c>
      <c r="H158" s="163">
        <f t="shared" si="24"/>
        <v>8.3083185307179583</v>
      </c>
      <c r="I158" s="64">
        <v>45.4</v>
      </c>
      <c r="J158" s="163">
        <f t="shared" si="25"/>
        <v>15.133333333333333</v>
      </c>
      <c r="K158" s="64">
        <v>18.3</v>
      </c>
      <c r="L158" s="163">
        <f t="shared" si="31"/>
        <v>2.3376062361399264</v>
      </c>
      <c r="M158" s="188">
        <f t="shared" si="26"/>
        <v>3.84</v>
      </c>
      <c r="N158" s="188"/>
      <c r="O158" s="188"/>
      <c r="P158" s="188"/>
      <c r="Q158" s="188"/>
      <c r="R158" s="188"/>
      <c r="S158" s="64">
        <v>72.5</v>
      </c>
      <c r="T158" s="64">
        <v>22</v>
      </c>
    </row>
    <row r="159" spans="1:20" x14ac:dyDescent="0.25">
      <c r="A159" s="162" t="str">
        <f t="shared" si="27"/>
        <v>CARC  60*5</v>
      </c>
      <c r="B159" s="163">
        <f t="shared" si="28"/>
        <v>7.8356719478337462</v>
      </c>
      <c r="C159" s="64">
        <v>60</v>
      </c>
      <c r="E159" s="64">
        <v>5</v>
      </c>
      <c r="F159" s="64">
        <f t="shared" si="29"/>
        <v>5</v>
      </c>
      <c r="G159" s="64">
        <f t="shared" si="30"/>
        <v>7.5</v>
      </c>
      <c r="H159" s="163">
        <f t="shared" si="24"/>
        <v>9.9817477042468106</v>
      </c>
      <c r="I159" s="64">
        <v>53.3</v>
      </c>
      <c r="J159" s="163">
        <f t="shared" si="25"/>
        <v>17.766666666666666</v>
      </c>
      <c r="K159" s="64">
        <v>21.9</v>
      </c>
      <c r="L159" s="163">
        <f t="shared" si="31"/>
        <v>2.3107890995942419</v>
      </c>
      <c r="M159" s="188">
        <f t="shared" si="26"/>
        <v>4.5</v>
      </c>
      <c r="N159" s="188"/>
      <c r="O159" s="188"/>
      <c r="P159" s="188"/>
      <c r="Q159" s="188"/>
      <c r="R159" s="188"/>
      <c r="S159" s="64">
        <v>86.4</v>
      </c>
      <c r="T159" s="64">
        <v>25.7</v>
      </c>
    </row>
    <row r="160" spans="1:20" x14ac:dyDescent="0.25">
      <c r="A160" s="162" t="str">
        <f>$B$146&amp;"  "&amp;C160&amp;"*"&amp;E160</f>
        <v>CARC  60*6.3</v>
      </c>
      <c r="B160" s="163">
        <f>(H160*7850)/10000</f>
        <v>9.3539207843808558</v>
      </c>
      <c r="C160" s="64">
        <v>60</v>
      </c>
      <c r="E160" s="64">
        <v>6.3</v>
      </c>
      <c r="F160" s="64">
        <f>1*E160</f>
        <v>6.3</v>
      </c>
      <c r="G160" s="64">
        <f>1.5*E160</f>
        <v>9.4499999999999993</v>
      </c>
      <c r="H160" s="163">
        <f>(4*(C160-2*G160)*E160+PI()*(G160^2-F160^2))*0.01</f>
        <v>11.915822655262236</v>
      </c>
      <c r="I160" s="64">
        <v>61.6</v>
      </c>
      <c r="J160" s="163">
        <f>I160/(0.5*C160*0.1)</f>
        <v>20.533333333333335</v>
      </c>
      <c r="K160" s="64">
        <v>26</v>
      </c>
      <c r="L160" s="163">
        <f>SQRT(I160/H160)</f>
        <v>2.2736747594550994</v>
      </c>
      <c r="M160" s="188">
        <f t="shared" si="26"/>
        <v>5.1786000000000003</v>
      </c>
      <c r="N160" s="188"/>
      <c r="O160" s="188"/>
      <c r="P160" s="188"/>
      <c r="Q160" s="188"/>
      <c r="R160" s="188"/>
      <c r="S160" s="64">
        <v>102</v>
      </c>
      <c r="T160" s="64">
        <v>29.6</v>
      </c>
    </row>
    <row r="161" spans="1:20" x14ac:dyDescent="0.25">
      <c r="A161" s="162" t="str">
        <f>$B$146&amp;"  "&amp;C161&amp;"*"&amp;E161</f>
        <v>CARC  60*8</v>
      </c>
      <c r="B161" s="163">
        <f>(H161*7850)/10000</f>
        <v>11.016120186454391</v>
      </c>
      <c r="C161" s="64">
        <v>60</v>
      </c>
      <c r="E161" s="64">
        <v>8</v>
      </c>
      <c r="F161" s="64">
        <f>1*E161</f>
        <v>8</v>
      </c>
      <c r="G161" s="64">
        <f>1.5*E161</f>
        <v>12</v>
      </c>
      <c r="H161" s="163">
        <f>(4*(C161-2*G161)*E161+PI()*(G161^2-F161^2))*0.01</f>
        <v>14.033274122871836</v>
      </c>
      <c r="I161" s="64">
        <v>69.7</v>
      </c>
      <c r="J161" s="163">
        <f>I161/(0.5*C161*0.1)</f>
        <v>23.233333333333334</v>
      </c>
      <c r="K161" s="64">
        <v>30.4</v>
      </c>
      <c r="L161" s="163">
        <f>SQRT(I161/H161)</f>
        <v>2.2286244186435762</v>
      </c>
      <c r="M161" s="188">
        <f t="shared" si="26"/>
        <v>5.76</v>
      </c>
      <c r="N161" s="188"/>
      <c r="O161" s="188"/>
      <c r="P161" s="188"/>
      <c r="Q161" s="188"/>
      <c r="R161" s="188"/>
      <c r="S161" s="64">
        <v>118</v>
      </c>
      <c r="T161" s="64">
        <v>33.4</v>
      </c>
    </row>
    <row r="162" spans="1:20" x14ac:dyDescent="0.25">
      <c r="A162" s="166" t="str">
        <f>$B$146&amp;"  "&amp;C162&amp;"*"&amp;E162</f>
        <v>CARC  70*3.2</v>
      </c>
      <c r="B162" s="168">
        <f>(H162*7850)/10000</f>
        <v>6.3846592298327032</v>
      </c>
      <c r="C162" s="167">
        <v>70</v>
      </c>
      <c r="D162" s="167"/>
      <c r="E162" s="167">
        <v>3.2</v>
      </c>
      <c r="F162" s="167">
        <f>1*E162</f>
        <v>3.2</v>
      </c>
      <c r="G162" s="167">
        <f>1.5*E162</f>
        <v>4.8000000000000007</v>
      </c>
      <c r="H162" s="168">
        <f>(4*(C162-2*G162)*E162+PI()*(G162^2-F162^2))*0.01</f>
        <v>8.1333238596594946</v>
      </c>
      <c r="I162" s="167">
        <v>62.3</v>
      </c>
      <c r="J162" s="168">
        <f>I162/(0.5*C162*0.1)</f>
        <v>17.8</v>
      </c>
      <c r="K162" s="167">
        <v>21</v>
      </c>
      <c r="L162" s="168">
        <f>SQRT(I162/H162)</f>
        <v>2.7676424963730946</v>
      </c>
      <c r="M162" s="170">
        <f t="shared" si="26"/>
        <v>3.8656000000000001</v>
      </c>
      <c r="N162" s="170"/>
      <c r="O162" s="170"/>
      <c r="P162" s="170"/>
      <c r="Q162" s="170"/>
      <c r="R162" s="170"/>
      <c r="S162" s="167">
        <v>97.6</v>
      </c>
      <c r="T162" s="171">
        <v>26.1</v>
      </c>
    </row>
    <row r="163" spans="1:20" x14ac:dyDescent="0.25">
      <c r="A163" s="172" t="str">
        <f t="shared" si="27"/>
        <v>CARC  70*4</v>
      </c>
      <c r="B163" s="174">
        <f t="shared" si="28"/>
        <v>7.7780300466135985</v>
      </c>
      <c r="C163" s="173">
        <v>70</v>
      </c>
      <c r="D163" s="173"/>
      <c r="E163" s="173">
        <v>4</v>
      </c>
      <c r="F163" s="173">
        <f t="shared" si="29"/>
        <v>4</v>
      </c>
      <c r="G163" s="173">
        <f t="shared" si="30"/>
        <v>6</v>
      </c>
      <c r="H163" s="174">
        <f t="shared" si="24"/>
        <v>9.9083185307179598</v>
      </c>
      <c r="I163" s="173">
        <v>74.7</v>
      </c>
      <c r="J163" s="174">
        <f t="shared" si="25"/>
        <v>21.342857142857145</v>
      </c>
      <c r="K163" s="173">
        <v>25.5</v>
      </c>
      <c r="L163" s="174">
        <f t="shared" si="31"/>
        <v>2.7457457561921932</v>
      </c>
      <c r="M163" s="176">
        <f t="shared" si="26"/>
        <v>4.6399999999999997</v>
      </c>
      <c r="N163" s="176"/>
      <c r="O163" s="176"/>
      <c r="P163" s="176"/>
      <c r="Q163" s="176"/>
      <c r="R163" s="176"/>
      <c r="S163" s="173">
        <v>118</v>
      </c>
      <c r="T163" s="177">
        <v>31.2</v>
      </c>
    </row>
    <row r="164" spans="1:20" x14ac:dyDescent="0.25">
      <c r="A164" s="172" t="str">
        <f t="shared" si="27"/>
        <v>CARC  70*5</v>
      </c>
      <c r="B164" s="174">
        <f t="shared" si="28"/>
        <v>9.4056719478337474</v>
      </c>
      <c r="C164" s="173">
        <v>70</v>
      </c>
      <c r="D164" s="173"/>
      <c r="E164" s="173">
        <v>5</v>
      </c>
      <c r="F164" s="173">
        <f t="shared" si="29"/>
        <v>5</v>
      </c>
      <c r="G164" s="173">
        <f t="shared" si="30"/>
        <v>7.5</v>
      </c>
      <c r="H164" s="174">
        <f t="shared" si="24"/>
        <v>11.981747704246812</v>
      </c>
      <c r="I164" s="173">
        <v>88.5</v>
      </c>
      <c r="J164" s="174">
        <f t="shared" si="25"/>
        <v>25.285714285714285</v>
      </c>
      <c r="K164" s="173">
        <v>30.8</v>
      </c>
      <c r="L164" s="174">
        <f t="shared" si="31"/>
        <v>2.7177628014484299</v>
      </c>
      <c r="M164" s="176">
        <f t="shared" si="26"/>
        <v>5.5</v>
      </c>
      <c r="N164" s="176"/>
      <c r="O164" s="176"/>
      <c r="P164" s="176"/>
      <c r="Q164" s="176"/>
      <c r="R164" s="176"/>
      <c r="S164" s="173">
        <v>142</v>
      </c>
      <c r="T164" s="177">
        <v>36.799999999999997</v>
      </c>
    </row>
    <row r="165" spans="1:20" x14ac:dyDescent="0.25">
      <c r="A165" s="172" t="str">
        <f>$B$146&amp;"  "&amp;C165&amp;"*"&amp;E165</f>
        <v>CARC  70*6.3</v>
      </c>
      <c r="B165" s="174">
        <f>(H165*7850)/10000</f>
        <v>11.332120784380855</v>
      </c>
      <c r="C165" s="173">
        <v>70</v>
      </c>
      <c r="D165" s="173"/>
      <c r="E165" s="173">
        <v>6.3</v>
      </c>
      <c r="F165" s="173">
        <f>1*E165</f>
        <v>6.3</v>
      </c>
      <c r="G165" s="173">
        <f>1.5*E165</f>
        <v>9.4499999999999993</v>
      </c>
      <c r="H165" s="174">
        <f>(4*(C165-2*G165)*E165+PI()*(G165^2-F165^2))*0.01</f>
        <v>14.435822655262237</v>
      </c>
      <c r="I165" s="173">
        <v>104</v>
      </c>
      <c r="J165" s="174">
        <f>I165/(0.5*C165*0.1)</f>
        <v>29.714285714285715</v>
      </c>
      <c r="K165" s="173">
        <v>36.9</v>
      </c>
      <c r="L165" s="174">
        <f>SQRT(I165/H165)</f>
        <v>2.6840827478037994</v>
      </c>
      <c r="M165" s="176">
        <f t="shared" si="26"/>
        <v>6.4386000000000001</v>
      </c>
      <c r="N165" s="176"/>
      <c r="O165" s="176"/>
      <c r="P165" s="176"/>
      <c r="Q165" s="176"/>
      <c r="R165" s="176"/>
      <c r="S165" s="173">
        <v>169</v>
      </c>
      <c r="T165" s="177">
        <v>42.9</v>
      </c>
    </row>
    <row r="166" spans="1:20" x14ac:dyDescent="0.25">
      <c r="A166" s="178" t="str">
        <f>$B$146&amp;"  "&amp;C166&amp;"*"&amp;E166</f>
        <v>CARC  70*8</v>
      </c>
      <c r="B166" s="180">
        <f>(H166*7850)/10000</f>
        <v>13.528120186454393</v>
      </c>
      <c r="C166" s="179">
        <v>70</v>
      </c>
      <c r="D166" s="179"/>
      <c r="E166" s="179">
        <v>8</v>
      </c>
      <c r="F166" s="179">
        <f>1*E166</f>
        <v>8</v>
      </c>
      <c r="G166" s="179">
        <f>1.5*E166</f>
        <v>12</v>
      </c>
      <c r="H166" s="180">
        <f>(4*(C166-2*G166)*E166+PI()*(G166^2-F166^2))*0.01</f>
        <v>17.233274122871837</v>
      </c>
      <c r="I166" s="179">
        <v>120</v>
      </c>
      <c r="J166" s="180">
        <f>I166/(0.5*C166*0.1)</f>
        <v>34.285714285714285</v>
      </c>
      <c r="K166" s="179">
        <v>43.8</v>
      </c>
      <c r="L166" s="180">
        <f>SQRT(I166/H166)</f>
        <v>2.6388015160156582</v>
      </c>
      <c r="M166" s="182">
        <f t="shared" si="26"/>
        <v>7.36</v>
      </c>
      <c r="N166" s="182"/>
      <c r="O166" s="182"/>
      <c r="P166" s="182"/>
      <c r="Q166" s="182"/>
      <c r="R166" s="182"/>
      <c r="S166" s="179">
        <v>200</v>
      </c>
      <c r="T166" s="183">
        <v>49.2</v>
      </c>
    </row>
    <row r="167" spans="1:20" x14ac:dyDescent="0.25">
      <c r="A167" s="162" t="str">
        <f>$B$146&amp;"  "&amp;C167&amp;"*"&amp;E167</f>
        <v>CARC  80*3.2</v>
      </c>
      <c r="B167" s="163">
        <f>(H167*7850)/10000</f>
        <v>7.3894592298327044</v>
      </c>
      <c r="C167" s="64">
        <v>80</v>
      </c>
      <c r="E167" s="64">
        <v>3.2</v>
      </c>
      <c r="F167" s="64">
        <f>1*E167</f>
        <v>3.2</v>
      </c>
      <c r="G167" s="64">
        <f>1.5*E167</f>
        <v>4.8000000000000007</v>
      </c>
      <c r="H167" s="163">
        <f>(4*(C167-2*G167)*E167+PI()*(G167^2-F167^2))*0.01</f>
        <v>9.4133238596594957</v>
      </c>
      <c r="I167" s="64">
        <v>95</v>
      </c>
      <c r="J167" s="163">
        <f>I167/(0.5*C167*0.1)</f>
        <v>23.75</v>
      </c>
      <c r="K167" s="64">
        <v>27.9</v>
      </c>
      <c r="L167" s="163">
        <f>SQRT(I167/H167)</f>
        <v>3.1768031329369522</v>
      </c>
      <c r="M167" s="188">
        <f t="shared" si="26"/>
        <v>4.5056000000000003</v>
      </c>
      <c r="N167" s="188"/>
      <c r="O167" s="188"/>
      <c r="P167" s="188"/>
      <c r="Q167" s="188"/>
      <c r="R167" s="188"/>
      <c r="S167" s="64">
        <v>148</v>
      </c>
      <c r="T167" s="64">
        <v>34.9</v>
      </c>
    </row>
    <row r="168" spans="1:20" x14ac:dyDescent="0.25">
      <c r="A168" s="162" t="str">
        <f t="shared" si="27"/>
        <v>CARC  80*4</v>
      </c>
      <c r="B168" s="163">
        <f t="shared" si="28"/>
        <v>9.0340300466135997</v>
      </c>
      <c r="C168" s="64">
        <v>80</v>
      </c>
      <c r="E168" s="64">
        <v>4</v>
      </c>
      <c r="F168" s="64">
        <f t="shared" si="29"/>
        <v>4</v>
      </c>
      <c r="G168" s="64">
        <f t="shared" si="30"/>
        <v>6</v>
      </c>
      <c r="H168" s="163">
        <f t="shared" si="24"/>
        <v>11.508318530717959</v>
      </c>
      <c r="I168" s="64">
        <v>114</v>
      </c>
      <c r="J168" s="163">
        <f t="shared" si="25"/>
        <v>28.5</v>
      </c>
      <c r="K168" s="64">
        <v>34</v>
      </c>
      <c r="L168" s="163">
        <f t="shared" si="31"/>
        <v>3.1473604903860952</v>
      </c>
      <c r="M168" s="188">
        <f t="shared" si="26"/>
        <v>5.44</v>
      </c>
      <c r="N168" s="188"/>
      <c r="O168" s="188"/>
      <c r="P168" s="188"/>
      <c r="Q168" s="188"/>
      <c r="R168" s="188"/>
      <c r="S168" s="64">
        <v>180</v>
      </c>
      <c r="T168" s="64">
        <v>41.9</v>
      </c>
    </row>
    <row r="169" spans="1:20" x14ac:dyDescent="0.25">
      <c r="A169" s="162" t="str">
        <f t="shared" si="27"/>
        <v>CARC  80*5</v>
      </c>
      <c r="B169" s="163">
        <f t="shared" si="28"/>
        <v>10.975671947833748</v>
      </c>
      <c r="C169" s="64">
        <v>80</v>
      </c>
      <c r="E169" s="64">
        <v>5</v>
      </c>
      <c r="F169" s="64">
        <f t="shared" si="29"/>
        <v>5</v>
      </c>
      <c r="G169" s="64">
        <f t="shared" si="30"/>
        <v>7.5</v>
      </c>
      <c r="H169" s="163">
        <f t="shared" si="24"/>
        <v>13.981747704246812</v>
      </c>
      <c r="I169" s="64">
        <v>137</v>
      </c>
      <c r="J169" s="163">
        <f t="shared" si="25"/>
        <v>34.25</v>
      </c>
      <c r="K169" s="64">
        <v>41.1</v>
      </c>
      <c r="L169" s="163">
        <f t="shared" si="31"/>
        <v>3.1302538112262601</v>
      </c>
      <c r="M169" s="188">
        <f t="shared" si="26"/>
        <v>6.5</v>
      </c>
      <c r="N169" s="188"/>
      <c r="O169" s="188"/>
      <c r="P169" s="188"/>
      <c r="Q169" s="188"/>
      <c r="R169" s="188"/>
      <c r="S169" s="64">
        <v>217</v>
      </c>
      <c r="T169" s="64">
        <v>49.8</v>
      </c>
    </row>
    <row r="170" spans="1:20" x14ac:dyDescent="0.25">
      <c r="A170" s="162" t="str">
        <f t="shared" si="27"/>
        <v>CARC  80*6.3</v>
      </c>
      <c r="B170" s="163">
        <f t="shared" si="28"/>
        <v>13.310320784380854</v>
      </c>
      <c r="C170" s="64">
        <v>80</v>
      </c>
      <c r="E170" s="64">
        <v>6.3</v>
      </c>
      <c r="F170" s="64">
        <f t="shared" si="29"/>
        <v>6.3</v>
      </c>
      <c r="G170" s="64">
        <f t="shared" si="30"/>
        <v>9.4499999999999993</v>
      </c>
      <c r="H170" s="163">
        <f t="shared" si="24"/>
        <v>16.955822655262235</v>
      </c>
      <c r="I170" s="64">
        <v>162</v>
      </c>
      <c r="J170" s="163">
        <f t="shared" si="25"/>
        <v>40.5</v>
      </c>
      <c r="K170" s="64">
        <v>49.7</v>
      </c>
      <c r="L170" s="163">
        <f t="shared" si="31"/>
        <v>3.0909933769380529</v>
      </c>
      <c r="M170" s="188">
        <f t="shared" si="26"/>
        <v>7.6985999999999999</v>
      </c>
      <c r="N170" s="188"/>
      <c r="O170" s="188"/>
      <c r="P170" s="188"/>
      <c r="Q170" s="188"/>
      <c r="R170" s="188"/>
      <c r="S170" s="64">
        <v>262</v>
      </c>
      <c r="T170" s="64">
        <v>58.7</v>
      </c>
    </row>
    <row r="171" spans="1:20" x14ac:dyDescent="0.25">
      <c r="A171" s="162" t="str">
        <f t="shared" si="27"/>
        <v>CARC  80*8</v>
      </c>
      <c r="B171" s="163">
        <f t="shared" si="28"/>
        <v>16.040120186454391</v>
      </c>
      <c r="C171" s="64">
        <v>80</v>
      </c>
      <c r="E171" s="64">
        <v>8</v>
      </c>
      <c r="F171" s="64">
        <f t="shared" si="29"/>
        <v>8</v>
      </c>
      <c r="G171" s="64">
        <f t="shared" si="30"/>
        <v>12</v>
      </c>
      <c r="H171" s="163">
        <f t="shared" si="24"/>
        <v>20.433274122871836</v>
      </c>
      <c r="I171" s="64">
        <v>189</v>
      </c>
      <c r="J171" s="163">
        <f t="shared" si="25"/>
        <v>47.25</v>
      </c>
      <c r="K171" s="64">
        <v>39.5</v>
      </c>
      <c r="L171" s="163">
        <f t="shared" si="31"/>
        <v>3.0413186239913452</v>
      </c>
      <c r="M171" s="188">
        <f t="shared" si="26"/>
        <v>8.9600000000000009</v>
      </c>
      <c r="N171" s="188"/>
      <c r="O171" s="188"/>
      <c r="P171" s="188"/>
      <c r="Q171" s="188"/>
      <c r="R171" s="188"/>
      <c r="S171" s="64">
        <v>312</v>
      </c>
      <c r="T171" s="64">
        <v>68.3</v>
      </c>
    </row>
    <row r="172" spans="1:20" x14ac:dyDescent="0.25">
      <c r="A172" s="166" t="str">
        <f t="shared" si="27"/>
        <v>CARC  90*4</v>
      </c>
      <c r="B172" s="168">
        <f t="shared" si="28"/>
        <v>10.290030046613598</v>
      </c>
      <c r="C172" s="167">
        <v>90</v>
      </c>
      <c r="D172" s="167"/>
      <c r="E172" s="167">
        <v>4</v>
      </c>
      <c r="F172" s="167">
        <f t="shared" si="29"/>
        <v>4</v>
      </c>
      <c r="G172" s="167">
        <f t="shared" si="30"/>
        <v>6</v>
      </c>
      <c r="H172" s="168">
        <f t="shared" si="24"/>
        <v>13.108318530717959</v>
      </c>
      <c r="I172" s="167">
        <v>166</v>
      </c>
      <c r="J172" s="168">
        <f t="shared" si="25"/>
        <v>36.888888888888886</v>
      </c>
      <c r="K172" s="167">
        <v>43.6</v>
      </c>
      <c r="L172" s="168">
        <f t="shared" si="31"/>
        <v>3.5586112792710942</v>
      </c>
      <c r="M172" s="170">
        <f t="shared" si="26"/>
        <v>6.24</v>
      </c>
      <c r="N172" s="170"/>
      <c r="O172" s="170"/>
      <c r="P172" s="170"/>
      <c r="Q172" s="170"/>
      <c r="R172" s="170"/>
      <c r="S172" s="167">
        <v>260</v>
      </c>
      <c r="T172" s="171">
        <v>54.2</v>
      </c>
    </row>
    <row r="173" spans="1:20" x14ac:dyDescent="0.25">
      <c r="A173" s="172" t="str">
        <f t="shared" si="27"/>
        <v>CARC  90*5</v>
      </c>
      <c r="B173" s="174">
        <f t="shared" si="28"/>
        <v>12.545671947833748</v>
      </c>
      <c r="C173" s="173">
        <v>90</v>
      </c>
      <c r="D173" s="173"/>
      <c r="E173" s="173">
        <v>5</v>
      </c>
      <c r="F173" s="173">
        <f t="shared" si="29"/>
        <v>5</v>
      </c>
      <c r="G173" s="173">
        <f t="shared" si="30"/>
        <v>7.5</v>
      </c>
      <c r="H173" s="174">
        <f t="shared" si="24"/>
        <v>15.981747704246812</v>
      </c>
      <c r="I173" s="173">
        <v>200</v>
      </c>
      <c r="J173" s="174">
        <f t="shared" si="25"/>
        <v>44.444444444444443</v>
      </c>
      <c r="K173" s="173">
        <v>53</v>
      </c>
      <c r="L173" s="174">
        <f t="shared" si="31"/>
        <v>3.5375522457688651</v>
      </c>
      <c r="M173" s="176">
        <f t="shared" si="26"/>
        <v>7.5</v>
      </c>
      <c r="N173" s="176"/>
      <c r="O173" s="176"/>
      <c r="P173" s="176"/>
      <c r="Q173" s="176"/>
      <c r="R173" s="176"/>
      <c r="S173" s="173">
        <v>316</v>
      </c>
      <c r="T173" s="177">
        <v>64.8</v>
      </c>
    </row>
    <row r="174" spans="1:20" x14ac:dyDescent="0.25">
      <c r="A174" s="172" t="str">
        <f>$B$146&amp;"  "&amp;C174&amp;"*"&amp;E174</f>
        <v>CARC  90*6.3</v>
      </c>
      <c r="B174" s="174">
        <f>(H174*7850)/10000</f>
        <v>15.288520784380854</v>
      </c>
      <c r="C174" s="173">
        <v>90</v>
      </c>
      <c r="D174" s="173"/>
      <c r="E174" s="173">
        <v>6.3</v>
      </c>
      <c r="F174" s="173">
        <f>1*E174</f>
        <v>6.3</v>
      </c>
      <c r="G174" s="173">
        <f>1.5*E174</f>
        <v>9.4499999999999993</v>
      </c>
      <c r="H174" s="174">
        <f>(4*(C174-2*G174)*E174+PI()*(G174^2-F174^2))*0.01</f>
        <v>19.475822655262235</v>
      </c>
      <c r="I174" s="173">
        <v>238</v>
      </c>
      <c r="J174" s="174">
        <f>I174/(0.5*C174*0.1)</f>
        <v>52.888888888888886</v>
      </c>
      <c r="K174" s="173">
        <v>64.3</v>
      </c>
      <c r="L174" s="174">
        <f>SQRT(I174/H174)</f>
        <v>3.4957516627956897</v>
      </c>
      <c r="M174" s="176">
        <f t="shared" si="26"/>
        <v>8.9585999999999988</v>
      </c>
      <c r="N174" s="176"/>
      <c r="O174" s="176"/>
      <c r="P174" s="176"/>
      <c r="Q174" s="176"/>
      <c r="R174" s="176"/>
      <c r="S174" s="173">
        <v>382</v>
      </c>
      <c r="T174" s="177">
        <v>77</v>
      </c>
    </row>
    <row r="175" spans="1:20" x14ac:dyDescent="0.25">
      <c r="A175" s="178" t="str">
        <f t="shared" si="27"/>
        <v>CARC  90*8</v>
      </c>
      <c r="B175" s="180">
        <f t="shared" si="28"/>
        <v>18.552120186454388</v>
      </c>
      <c r="C175" s="179">
        <v>90</v>
      </c>
      <c r="D175" s="179"/>
      <c r="E175" s="179">
        <v>8</v>
      </c>
      <c r="F175" s="179">
        <f t="shared" si="29"/>
        <v>8</v>
      </c>
      <c r="G175" s="179">
        <f t="shared" si="30"/>
        <v>12</v>
      </c>
      <c r="H175" s="180">
        <f t="shared" si="24"/>
        <v>23.633274122871835</v>
      </c>
      <c r="I175" s="179">
        <v>281</v>
      </c>
      <c r="J175" s="180">
        <f t="shared" si="25"/>
        <v>62.444444444444443</v>
      </c>
      <c r="K175" s="179">
        <v>77.599999999999994</v>
      </c>
      <c r="L175" s="180">
        <f t="shared" si="31"/>
        <v>3.4481902042412766</v>
      </c>
      <c r="M175" s="182">
        <f t="shared" si="26"/>
        <v>10.56</v>
      </c>
      <c r="N175" s="182"/>
      <c r="O175" s="182"/>
      <c r="P175" s="182"/>
      <c r="Q175" s="182"/>
      <c r="R175" s="182"/>
      <c r="S175" s="179">
        <v>459</v>
      </c>
      <c r="T175" s="183">
        <v>90.5</v>
      </c>
    </row>
    <row r="176" spans="1:20" x14ac:dyDescent="0.25">
      <c r="A176" s="162" t="str">
        <f t="shared" si="27"/>
        <v>CARC  100*4</v>
      </c>
      <c r="B176" s="163">
        <f t="shared" si="28"/>
        <v>11.546030046613597</v>
      </c>
      <c r="C176" s="64">
        <v>100</v>
      </c>
      <c r="E176" s="64">
        <v>4</v>
      </c>
      <c r="F176" s="64">
        <f t="shared" si="29"/>
        <v>4</v>
      </c>
      <c r="G176" s="64">
        <f t="shared" si="30"/>
        <v>6</v>
      </c>
      <c r="H176" s="163">
        <f t="shared" si="24"/>
        <v>14.708318530717959</v>
      </c>
      <c r="I176" s="64">
        <v>232</v>
      </c>
      <c r="J176" s="163">
        <f t="shared" si="25"/>
        <v>46.4</v>
      </c>
      <c r="K176" s="64">
        <v>54.4</v>
      </c>
      <c r="L176" s="163">
        <f t="shared" si="31"/>
        <v>3.9715723560464053</v>
      </c>
      <c r="M176" s="188">
        <f t="shared" si="26"/>
        <v>7.04</v>
      </c>
      <c r="N176" s="188"/>
      <c r="O176" s="188"/>
      <c r="P176" s="188"/>
      <c r="Q176" s="188"/>
      <c r="R176" s="188"/>
      <c r="S176" s="64">
        <v>361</v>
      </c>
      <c r="T176" s="64">
        <v>68.2</v>
      </c>
    </row>
    <row r="177" spans="1:20" x14ac:dyDescent="0.25">
      <c r="A177" s="162" t="str">
        <f t="shared" si="27"/>
        <v>CARC  100*5</v>
      </c>
      <c r="B177" s="163">
        <f t="shared" si="28"/>
        <v>14.115671947833746</v>
      </c>
      <c r="C177" s="64">
        <v>100</v>
      </c>
      <c r="E177" s="64">
        <v>5</v>
      </c>
      <c r="F177" s="64">
        <f t="shared" si="29"/>
        <v>5</v>
      </c>
      <c r="G177" s="64">
        <f t="shared" si="30"/>
        <v>7.5</v>
      </c>
      <c r="H177" s="163">
        <f t="shared" si="24"/>
        <v>17.981747704246811</v>
      </c>
      <c r="I177" s="64">
        <v>279</v>
      </c>
      <c r="J177" s="163">
        <f t="shared" si="25"/>
        <v>55.8</v>
      </c>
      <c r="K177" s="64">
        <v>66.400000000000006</v>
      </c>
      <c r="L177" s="163">
        <f t="shared" si="31"/>
        <v>3.9390015496833954</v>
      </c>
      <c r="M177" s="188">
        <f t="shared" si="26"/>
        <v>8.5</v>
      </c>
      <c r="N177" s="188"/>
      <c r="O177" s="188"/>
      <c r="P177" s="188"/>
      <c r="Q177" s="188"/>
      <c r="R177" s="188"/>
      <c r="S177" s="64">
        <v>439</v>
      </c>
      <c r="T177" s="64">
        <v>81.8</v>
      </c>
    </row>
    <row r="178" spans="1:20" x14ac:dyDescent="0.25">
      <c r="A178" s="162" t="str">
        <f t="shared" si="27"/>
        <v>CARC  100*6.3</v>
      </c>
      <c r="B178" s="163">
        <f t="shared" si="28"/>
        <v>17.266720784380851</v>
      </c>
      <c r="C178" s="64">
        <v>100</v>
      </c>
      <c r="E178" s="64">
        <v>6.3</v>
      </c>
      <c r="F178" s="64">
        <f t="shared" si="29"/>
        <v>6.3</v>
      </c>
      <c r="G178" s="64">
        <f t="shared" si="30"/>
        <v>9.4499999999999993</v>
      </c>
      <c r="H178" s="163">
        <f t="shared" si="24"/>
        <v>21.995822655262231</v>
      </c>
      <c r="I178" s="64">
        <v>336</v>
      </c>
      <c r="J178" s="163">
        <f t="shared" si="25"/>
        <v>67.2</v>
      </c>
      <c r="K178" s="64">
        <v>80.900000000000006</v>
      </c>
      <c r="L178" s="163">
        <f t="shared" si="31"/>
        <v>3.908404763882106</v>
      </c>
      <c r="M178" s="188">
        <f t="shared" si="26"/>
        <v>10.218599999999999</v>
      </c>
      <c r="N178" s="188"/>
      <c r="O178" s="188"/>
      <c r="P178" s="188"/>
      <c r="Q178" s="188"/>
      <c r="R178" s="188"/>
      <c r="S178" s="64">
        <v>534</v>
      </c>
      <c r="T178" s="64">
        <v>97.8</v>
      </c>
    </row>
    <row r="179" spans="1:20" x14ac:dyDescent="0.25">
      <c r="A179" s="162" t="str">
        <f t="shared" si="27"/>
        <v>CARC  100*8</v>
      </c>
      <c r="B179" s="163">
        <f t="shared" si="28"/>
        <v>21.064120186454389</v>
      </c>
      <c r="C179" s="64">
        <v>100</v>
      </c>
      <c r="E179" s="64">
        <v>8</v>
      </c>
      <c r="F179" s="64">
        <f t="shared" si="29"/>
        <v>8</v>
      </c>
      <c r="G179" s="64">
        <f t="shared" si="30"/>
        <v>12</v>
      </c>
      <c r="H179" s="163">
        <f t="shared" si="24"/>
        <v>26.833274122871835</v>
      </c>
      <c r="I179" s="64">
        <v>400</v>
      </c>
      <c r="J179" s="163">
        <f t="shared" si="25"/>
        <v>80</v>
      </c>
      <c r="K179" s="64">
        <v>98.2</v>
      </c>
      <c r="L179" s="163">
        <f t="shared" si="31"/>
        <v>3.8609409723072723</v>
      </c>
      <c r="M179" s="188">
        <f t="shared" si="26"/>
        <v>12.16</v>
      </c>
      <c r="N179" s="188"/>
      <c r="O179" s="188"/>
      <c r="P179" s="188"/>
      <c r="Q179" s="188"/>
      <c r="R179" s="188"/>
      <c r="S179" s="64">
        <v>646</v>
      </c>
      <c r="T179" s="64">
        <v>116</v>
      </c>
    </row>
    <row r="180" spans="1:20" x14ac:dyDescent="0.25">
      <c r="A180" s="162" t="str">
        <f t="shared" si="27"/>
        <v>CARC  100*10</v>
      </c>
      <c r="B180" s="163">
        <f t="shared" si="28"/>
        <v>25.062687791334987</v>
      </c>
      <c r="C180" s="64">
        <v>100</v>
      </c>
      <c r="E180" s="64">
        <v>10</v>
      </c>
      <c r="F180" s="64">
        <f t="shared" si="29"/>
        <v>10</v>
      </c>
      <c r="G180" s="64">
        <f t="shared" si="30"/>
        <v>15</v>
      </c>
      <c r="H180" s="163">
        <f t="shared" si="24"/>
        <v>31.926990816987242</v>
      </c>
      <c r="I180" s="64">
        <v>462</v>
      </c>
      <c r="J180" s="163">
        <f t="shared" si="25"/>
        <v>92.4</v>
      </c>
      <c r="K180" s="64">
        <v>116</v>
      </c>
      <c r="L180" s="163">
        <f t="shared" si="31"/>
        <v>3.8040130145636031</v>
      </c>
      <c r="M180" s="188">
        <f t="shared" si="26"/>
        <v>14</v>
      </c>
      <c r="N180" s="188"/>
      <c r="O180" s="188"/>
      <c r="P180" s="188"/>
      <c r="Q180" s="188"/>
      <c r="R180" s="188"/>
      <c r="S180" s="64">
        <v>761</v>
      </c>
      <c r="T180" s="64">
        <v>133</v>
      </c>
    </row>
    <row r="181" spans="1:20" x14ac:dyDescent="0.25">
      <c r="A181" s="166" t="str">
        <f t="shared" si="27"/>
        <v>CARC  120*5</v>
      </c>
      <c r="B181" s="168">
        <f t="shared" si="28"/>
        <v>17.255671947833747</v>
      </c>
      <c r="C181" s="167">
        <v>120</v>
      </c>
      <c r="D181" s="167"/>
      <c r="E181" s="167">
        <v>5</v>
      </c>
      <c r="F181" s="167">
        <f t="shared" si="29"/>
        <v>5</v>
      </c>
      <c r="G181" s="167">
        <f t="shared" si="30"/>
        <v>7.5</v>
      </c>
      <c r="H181" s="168">
        <f t="shared" si="24"/>
        <v>21.981747704246811</v>
      </c>
      <c r="I181" s="184">
        <v>498</v>
      </c>
      <c r="J181" s="168">
        <f t="shared" si="25"/>
        <v>83</v>
      </c>
      <c r="K181" s="167">
        <v>97.6</v>
      </c>
      <c r="L181" s="168">
        <f t="shared" si="31"/>
        <v>4.7597436364847567</v>
      </c>
      <c r="M181" s="170">
        <f t="shared" si="26"/>
        <v>10.5</v>
      </c>
      <c r="N181" s="170"/>
      <c r="O181" s="170"/>
      <c r="P181" s="170"/>
      <c r="Q181" s="170"/>
      <c r="R181" s="170"/>
      <c r="S181" s="167">
        <v>777</v>
      </c>
      <c r="T181" s="171">
        <v>122</v>
      </c>
    </row>
    <row r="182" spans="1:20" x14ac:dyDescent="0.25">
      <c r="A182" s="172" t="str">
        <f t="shared" si="27"/>
        <v>CARC  120*6.3</v>
      </c>
      <c r="B182" s="174">
        <f t="shared" si="28"/>
        <v>21.223120784380853</v>
      </c>
      <c r="C182" s="173">
        <v>120</v>
      </c>
      <c r="D182" s="173"/>
      <c r="E182" s="173">
        <v>6.3</v>
      </c>
      <c r="F182" s="173">
        <f t="shared" si="29"/>
        <v>6.3</v>
      </c>
      <c r="G182" s="173">
        <f t="shared" si="30"/>
        <v>9.4499999999999993</v>
      </c>
      <c r="H182" s="174">
        <f t="shared" si="24"/>
        <v>27.035822655262233</v>
      </c>
      <c r="I182" s="185">
        <v>603</v>
      </c>
      <c r="J182" s="174">
        <f t="shared" si="25"/>
        <v>100.5</v>
      </c>
      <c r="K182" s="173">
        <v>120</v>
      </c>
      <c r="L182" s="174">
        <f t="shared" si="31"/>
        <v>4.7226837189793729</v>
      </c>
      <c r="M182" s="176">
        <f t="shared" si="26"/>
        <v>12.7386</v>
      </c>
      <c r="N182" s="176"/>
      <c r="O182" s="176"/>
      <c r="P182" s="176"/>
      <c r="Q182" s="176"/>
      <c r="R182" s="176"/>
      <c r="S182" s="173">
        <v>950</v>
      </c>
      <c r="T182" s="177">
        <v>147</v>
      </c>
    </row>
    <row r="183" spans="1:20" x14ac:dyDescent="0.25">
      <c r="A183" s="172" t="str">
        <f t="shared" si="27"/>
        <v>CARC  120*8</v>
      </c>
      <c r="B183" s="174">
        <f t="shared" si="28"/>
        <v>26.08812018645439</v>
      </c>
      <c r="C183" s="173">
        <v>120</v>
      </c>
      <c r="D183" s="173"/>
      <c r="E183" s="173">
        <v>8</v>
      </c>
      <c r="F183" s="173">
        <f t="shared" si="29"/>
        <v>8</v>
      </c>
      <c r="G183" s="173">
        <f t="shared" si="30"/>
        <v>12</v>
      </c>
      <c r="H183" s="174">
        <f t="shared" si="24"/>
        <v>33.233274122871833</v>
      </c>
      <c r="I183" s="185">
        <v>726</v>
      </c>
      <c r="J183" s="174">
        <f t="shared" si="25"/>
        <v>121</v>
      </c>
      <c r="K183" s="173">
        <v>146</v>
      </c>
      <c r="L183" s="174">
        <f t="shared" si="31"/>
        <v>4.6739250669209325</v>
      </c>
      <c r="M183" s="176">
        <f t="shared" si="26"/>
        <v>15.36</v>
      </c>
      <c r="N183" s="176"/>
      <c r="O183" s="176"/>
      <c r="P183" s="176"/>
      <c r="Q183" s="176"/>
      <c r="R183" s="176"/>
      <c r="S183" s="173">
        <v>1160</v>
      </c>
      <c r="T183" s="177">
        <v>176</v>
      </c>
    </row>
    <row r="184" spans="1:20" x14ac:dyDescent="0.25">
      <c r="A184" s="172" t="str">
        <f t="shared" si="27"/>
        <v>CARC  120*10</v>
      </c>
      <c r="B184" s="174">
        <f t="shared" si="28"/>
        <v>31.342687791334985</v>
      </c>
      <c r="C184" s="173">
        <v>120</v>
      </c>
      <c r="D184" s="173"/>
      <c r="E184" s="173">
        <v>10</v>
      </c>
      <c r="F184" s="173">
        <f t="shared" si="29"/>
        <v>10</v>
      </c>
      <c r="G184" s="173">
        <f t="shared" si="30"/>
        <v>15</v>
      </c>
      <c r="H184" s="174">
        <f t="shared" si="24"/>
        <v>39.926990816987242</v>
      </c>
      <c r="I184" s="185">
        <v>852</v>
      </c>
      <c r="J184" s="174">
        <f t="shared" si="25"/>
        <v>142</v>
      </c>
      <c r="K184" s="173">
        <v>175</v>
      </c>
      <c r="L184" s="174">
        <f t="shared" si="31"/>
        <v>4.6194099709672516</v>
      </c>
      <c r="M184" s="176">
        <f t="shared" si="26"/>
        <v>18</v>
      </c>
      <c r="N184" s="176"/>
      <c r="O184" s="176"/>
      <c r="P184" s="176"/>
      <c r="Q184" s="176"/>
      <c r="R184" s="176"/>
      <c r="S184" s="173">
        <v>1382</v>
      </c>
      <c r="T184" s="177">
        <v>206</v>
      </c>
    </row>
    <row r="185" spans="1:20" x14ac:dyDescent="0.25">
      <c r="A185" s="178" t="str">
        <f t="shared" si="27"/>
        <v>CARC  120*12.5</v>
      </c>
      <c r="B185" s="180">
        <f t="shared" si="28"/>
        <v>37.197949673960913</v>
      </c>
      <c r="C185" s="179">
        <v>120</v>
      </c>
      <c r="D185" s="179"/>
      <c r="E185" s="179">
        <v>12.5</v>
      </c>
      <c r="F185" s="179">
        <f t="shared" si="29"/>
        <v>12.5</v>
      </c>
      <c r="G185" s="179">
        <f t="shared" si="30"/>
        <v>18.75</v>
      </c>
      <c r="H185" s="180">
        <f t="shared" si="24"/>
        <v>47.385923151542563</v>
      </c>
      <c r="I185" s="186">
        <v>982</v>
      </c>
      <c r="J185" s="180">
        <f t="shared" si="25"/>
        <v>163.66666666666666</v>
      </c>
      <c r="K185" s="179">
        <v>207</v>
      </c>
      <c r="L185" s="180">
        <f t="shared" si="31"/>
        <v>4.5523020580677036</v>
      </c>
      <c r="M185" s="182">
        <f t="shared" si="26"/>
        <v>20.625</v>
      </c>
      <c r="N185" s="182"/>
      <c r="O185" s="182"/>
      <c r="P185" s="182"/>
      <c r="Q185" s="182"/>
      <c r="R185" s="182"/>
      <c r="S185" s="179">
        <v>1623</v>
      </c>
      <c r="T185" s="183">
        <v>236</v>
      </c>
    </row>
    <row r="186" spans="1:20" x14ac:dyDescent="0.25">
      <c r="A186" s="162" t="str">
        <f t="shared" si="27"/>
        <v>CARC  140*5</v>
      </c>
      <c r="B186" s="163">
        <f t="shared" si="28"/>
        <v>20.395671947833748</v>
      </c>
      <c r="C186" s="64">
        <v>140</v>
      </c>
      <c r="E186" s="64">
        <v>5</v>
      </c>
      <c r="F186" s="64">
        <f t="shared" si="29"/>
        <v>5</v>
      </c>
      <c r="G186" s="64">
        <f t="shared" si="30"/>
        <v>7.5</v>
      </c>
      <c r="H186" s="163">
        <f t="shared" si="24"/>
        <v>25.981747704246811</v>
      </c>
      <c r="I186" s="187">
        <v>807</v>
      </c>
      <c r="J186" s="163">
        <f t="shared" si="25"/>
        <v>115.28571428571429</v>
      </c>
      <c r="K186" s="64">
        <v>135</v>
      </c>
      <c r="L186" s="163">
        <f t="shared" si="31"/>
        <v>5.5731737994294894</v>
      </c>
      <c r="M186" s="188">
        <f t="shared" si="26"/>
        <v>12.5</v>
      </c>
      <c r="N186" s="188"/>
      <c r="O186" s="188"/>
      <c r="P186" s="188"/>
      <c r="Q186" s="188"/>
      <c r="R186" s="188"/>
      <c r="S186" s="64">
        <v>1253</v>
      </c>
      <c r="T186" s="64">
        <v>170</v>
      </c>
    </row>
    <row r="187" spans="1:20" x14ac:dyDescent="0.25">
      <c r="A187" s="162" t="str">
        <f t="shared" si="27"/>
        <v>CARC  140*6.3</v>
      </c>
      <c r="B187" s="163">
        <f t="shared" si="28"/>
        <v>25.179520784380848</v>
      </c>
      <c r="C187" s="64">
        <v>140</v>
      </c>
      <c r="E187" s="64">
        <v>6.3</v>
      </c>
      <c r="F187" s="64">
        <f t="shared" si="29"/>
        <v>6.3</v>
      </c>
      <c r="G187" s="64">
        <f t="shared" si="30"/>
        <v>9.4499999999999993</v>
      </c>
      <c r="H187" s="163">
        <f t="shared" si="24"/>
        <v>32.075822655262229</v>
      </c>
      <c r="I187" s="187">
        <v>984</v>
      </c>
      <c r="J187" s="163">
        <f t="shared" si="25"/>
        <v>140.57142857142858</v>
      </c>
      <c r="K187" s="64">
        <v>166</v>
      </c>
      <c r="L187" s="163">
        <f t="shared" si="31"/>
        <v>5.5387102650159044</v>
      </c>
      <c r="M187" s="188">
        <f t="shared" si="26"/>
        <v>15.258599999999999</v>
      </c>
      <c r="N187" s="188"/>
      <c r="O187" s="188"/>
      <c r="P187" s="188"/>
      <c r="Q187" s="188"/>
      <c r="R187" s="188"/>
      <c r="S187" s="64">
        <v>1540</v>
      </c>
      <c r="T187" s="64">
        <v>206</v>
      </c>
    </row>
    <row r="188" spans="1:20" x14ac:dyDescent="0.25">
      <c r="A188" s="162" t="str">
        <f t="shared" si="27"/>
        <v>CARC  140*8</v>
      </c>
      <c r="B188" s="163">
        <f t="shared" si="28"/>
        <v>31.112120186454394</v>
      </c>
      <c r="C188" s="64">
        <v>140</v>
      </c>
      <c r="E188" s="64">
        <v>8</v>
      </c>
      <c r="F188" s="64">
        <f t="shared" si="29"/>
        <v>8</v>
      </c>
      <c r="G188" s="64">
        <f t="shared" si="30"/>
        <v>12</v>
      </c>
      <c r="H188" s="163">
        <f t="shared" si="24"/>
        <v>39.633274122871839</v>
      </c>
      <c r="I188" s="187">
        <v>1195</v>
      </c>
      <c r="J188" s="163">
        <f t="shared" si="25"/>
        <v>170.71428571428572</v>
      </c>
      <c r="K188" s="64">
        <v>204</v>
      </c>
      <c r="L188" s="163">
        <f t="shared" si="31"/>
        <v>5.4910320310203735</v>
      </c>
      <c r="M188" s="188">
        <f t="shared" si="26"/>
        <v>18.559999999999999</v>
      </c>
      <c r="N188" s="188"/>
      <c r="O188" s="188"/>
      <c r="P188" s="188"/>
      <c r="Q188" s="188"/>
      <c r="R188" s="188"/>
      <c r="S188" s="64">
        <v>1892</v>
      </c>
      <c r="T188" s="64">
        <v>249</v>
      </c>
    </row>
    <row r="189" spans="1:20" x14ac:dyDescent="0.25">
      <c r="A189" s="162" t="str">
        <f t="shared" si="27"/>
        <v>CARC  140*10</v>
      </c>
      <c r="B189" s="163">
        <f t="shared" si="28"/>
        <v>37.62268779133499</v>
      </c>
      <c r="C189" s="64">
        <v>140</v>
      </c>
      <c r="E189" s="64">
        <v>10</v>
      </c>
      <c r="F189" s="64">
        <f t="shared" si="29"/>
        <v>10</v>
      </c>
      <c r="G189" s="64">
        <f t="shared" si="30"/>
        <v>15</v>
      </c>
      <c r="H189" s="163">
        <f t="shared" si="24"/>
        <v>47.926990816987249</v>
      </c>
      <c r="I189" s="187">
        <v>1416</v>
      </c>
      <c r="J189" s="163">
        <f t="shared" si="25"/>
        <v>202.28571428571428</v>
      </c>
      <c r="K189" s="64">
        <v>246</v>
      </c>
      <c r="L189" s="163">
        <f t="shared" si="31"/>
        <v>5.4355256028968597</v>
      </c>
      <c r="M189" s="188">
        <f t="shared" si="26"/>
        <v>22</v>
      </c>
      <c r="N189" s="188"/>
      <c r="O189" s="188"/>
      <c r="P189" s="188"/>
      <c r="Q189" s="188"/>
      <c r="R189" s="188"/>
      <c r="S189" s="64">
        <v>2272</v>
      </c>
      <c r="T189" s="64">
        <v>294</v>
      </c>
    </row>
    <row r="190" spans="1:20" x14ac:dyDescent="0.25">
      <c r="A190" s="162" t="str">
        <f t="shared" si="27"/>
        <v>CARC  140*12.5</v>
      </c>
      <c r="B190" s="163">
        <f t="shared" si="28"/>
        <v>45.047949673960908</v>
      </c>
      <c r="C190" s="64">
        <v>140</v>
      </c>
      <c r="E190" s="64">
        <v>12.5</v>
      </c>
      <c r="F190" s="64">
        <f t="shared" si="29"/>
        <v>12.5</v>
      </c>
      <c r="G190" s="64">
        <f t="shared" si="30"/>
        <v>18.75</v>
      </c>
      <c r="H190" s="163">
        <f t="shared" si="24"/>
        <v>57.385923151542563</v>
      </c>
      <c r="I190" s="187">
        <v>1653</v>
      </c>
      <c r="J190" s="163">
        <f t="shared" si="25"/>
        <v>236.14285714285714</v>
      </c>
      <c r="K190" s="64">
        <v>293</v>
      </c>
      <c r="L190" s="163">
        <f t="shared" si="31"/>
        <v>5.367026511556138</v>
      </c>
      <c r="M190" s="188">
        <f t="shared" si="26"/>
        <v>25.625</v>
      </c>
      <c r="N190" s="188"/>
      <c r="O190" s="188"/>
      <c r="P190" s="188"/>
      <c r="Q190" s="188"/>
      <c r="R190" s="188"/>
      <c r="S190" s="64">
        <v>2696</v>
      </c>
      <c r="T190" s="64">
        <v>342</v>
      </c>
    </row>
    <row r="191" spans="1:20" x14ac:dyDescent="0.25">
      <c r="A191" s="166" t="str">
        <f t="shared" si="27"/>
        <v>CARC  150*5</v>
      </c>
      <c r="B191" s="168">
        <f>(H191*7850)/10000</f>
        <v>21.965671947833748</v>
      </c>
      <c r="C191" s="167">
        <v>150</v>
      </c>
      <c r="D191" s="167"/>
      <c r="E191" s="167">
        <v>5</v>
      </c>
      <c r="F191" s="167">
        <f t="shared" si="29"/>
        <v>5</v>
      </c>
      <c r="G191" s="167">
        <f t="shared" si="30"/>
        <v>7.5</v>
      </c>
      <c r="H191" s="168">
        <f t="shared" si="24"/>
        <v>27.981747704246811</v>
      </c>
      <c r="I191" s="184">
        <v>1002</v>
      </c>
      <c r="J191" s="168">
        <f t="shared" si="25"/>
        <v>133.6</v>
      </c>
      <c r="K191" s="167">
        <v>156</v>
      </c>
      <c r="L191" s="168">
        <f t="shared" si="31"/>
        <v>5.9840669325777833</v>
      </c>
      <c r="M191" s="170">
        <f t="shared" si="26"/>
        <v>13.5</v>
      </c>
      <c r="N191" s="170"/>
      <c r="O191" s="170"/>
      <c r="P191" s="170"/>
      <c r="Q191" s="170"/>
      <c r="R191" s="170"/>
      <c r="S191" s="167">
        <v>1550</v>
      </c>
      <c r="T191" s="171">
        <v>197</v>
      </c>
    </row>
    <row r="192" spans="1:20" x14ac:dyDescent="0.25">
      <c r="A192" s="172" t="str">
        <f t="shared" si="27"/>
        <v>CARC  150*6.3</v>
      </c>
      <c r="B192" s="174">
        <f t="shared" ref="B192:B252" si="32">(H192*7850)/10000</f>
        <v>27.157720784380853</v>
      </c>
      <c r="C192" s="173">
        <v>150</v>
      </c>
      <c r="D192" s="173"/>
      <c r="E192" s="173">
        <v>6.3</v>
      </c>
      <c r="F192" s="173">
        <f t="shared" si="29"/>
        <v>6.3</v>
      </c>
      <c r="G192" s="173">
        <f t="shared" si="30"/>
        <v>9.4499999999999993</v>
      </c>
      <c r="H192" s="174">
        <f t="shared" si="24"/>
        <v>34.595822655262232</v>
      </c>
      <c r="I192" s="185">
        <v>1223</v>
      </c>
      <c r="J192" s="174">
        <f t="shared" si="25"/>
        <v>163.06666666666666</v>
      </c>
      <c r="K192" s="173">
        <v>192</v>
      </c>
      <c r="L192" s="174">
        <f t="shared" si="31"/>
        <v>5.9456781644169263</v>
      </c>
      <c r="M192" s="176">
        <f t="shared" si="26"/>
        <v>16.518599999999999</v>
      </c>
      <c r="N192" s="176"/>
      <c r="O192" s="176"/>
      <c r="P192" s="176"/>
      <c r="Q192" s="176"/>
      <c r="R192" s="176"/>
      <c r="S192" s="173">
        <v>1909</v>
      </c>
      <c r="T192" s="177">
        <v>240</v>
      </c>
    </row>
    <row r="193" spans="1:20" x14ac:dyDescent="0.25">
      <c r="A193" s="172" t="str">
        <f t="shared" si="27"/>
        <v>CARC  150*8</v>
      </c>
      <c r="B193" s="174">
        <f t="shared" si="32"/>
        <v>33.624120186454391</v>
      </c>
      <c r="C193" s="173">
        <v>150</v>
      </c>
      <c r="D193" s="173"/>
      <c r="E193" s="173">
        <v>8</v>
      </c>
      <c r="F193" s="173">
        <f t="shared" si="29"/>
        <v>8</v>
      </c>
      <c r="G193" s="173">
        <f t="shared" si="30"/>
        <v>12</v>
      </c>
      <c r="H193" s="174">
        <f t="shared" si="24"/>
        <v>42.833274122871835</v>
      </c>
      <c r="I193" s="185">
        <v>1491</v>
      </c>
      <c r="J193" s="174">
        <f t="shared" si="25"/>
        <v>198.8</v>
      </c>
      <c r="K193" s="173">
        <v>237</v>
      </c>
      <c r="L193" s="174">
        <f t="shared" si="31"/>
        <v>5.8999480201097061</v>
      </c>
      <c r="M193" s="176">
        <f t="shared" si="26"/>
        <v>20.16</v>
      </c>
      <c r="N193" s="176"/>
      <c r="O193" s="176"/>
      <c r="P193" s="176"/>
      <c r="Q193" s="176"/>
      <c r="R193" s="176"/>
      <c r="S193" s="173">
        <v>2351</v>
      </c>
      <c r="T193" s="177">
        <v>291</v>
      </c>
    </row>
    <row r="194" spans="1:20" x14ac:dyDescent="0.25">
      <c r="A194" s="172" t="str">
        <f t="shared" si="27"/>
        <v>CARC  150*10</v>
      </c>
      <c r="B194" s="174">
        <f t="shared" si="32"/>
        <v>40.76268779133499</v>
      </c>
      <c r="C194" s="173">
        <v>150</v>
      </c>
      <c r="D194" s="173"/>
      <c r="E194" s="173">
        <v>10</v>
      </c>
      <c r="F194" s="173">
        <f t="shared" si="29"/>
        <v>10</v>
      </c>
      <c r="G194" s="173">
        <f t="shared" si="30"/>
        <v>15</v>
      </c>
      <c r="H194" s="174">
        <f t="shared" si="24"/>
        <v>51.926990816987249</v>
      </c>
      <c r="I194" s="185">
        <v>1773</v>
      </c>
      <c r="J194" s="174">
        <f t="shared" si="25"/>
        <v>236.4</v>
      </c>
      <c r="K194" s="173">
        <v>286</v>
      </c>
      <c r="L194" s="174">
        <f t="shared" si="31"/>
        <v>5.8432946981487444</v>
      </c>
      <c r="M194" s="176">
        <f t="shared" si="26"/>
        <v>24</v>
      </c>
      <c r="N194" s="176"/>
      <c r="O194" s="176"/>
      <c r="P194" s="176"/>
      <c r="Q194" s="176"/>
      <c r="R194" s="176"/>
      <c r="S194" s="173">
        <v>2832</v>
      </c>
      <c r="T194" s="177">
        <v>344</v>
      </c>
    </row>
    <row r="195" spans="1:20" x14ac:dyDescent="0.25">
      <c r="A195" s="172" t="str">
        <f t="shared" si="27"/>
        <v>CARC  150*12.5</v>
      </c>
      <c r="B195" s="174">
        <f t="shared" si="32"/>
        <v>48.972949673960912</v>
      </c>
      <c r="C195" s="173">
        <v>150</v>
      </c>
      <c r="D195" s="173"/>
      <c r="E195" s="173">
        <v>12.5</v>
      </c>
      <c r="F195" s="173">
        <f t="shared" si="29"/>
        <v>12.5</v>
      </c>
      <c r="G195" s="173">
        <f t="shared" si="30"/>
        <v>18.75</v>
      </c>
      <c r="H195" s="174">
        <f t="shared" si="24"/>
        <v>62.385923151542563</v>
      </c>
      <c r="I195" s="185">
        <v>2080</v>
      </c>
      <c r="J195" s="174">
        <f t="shared" si="25"/>
        <v>277.33333333333331</v>
      </c>
      <c r="K195" s="173">
        <v>342</v>
      </c>
      <c r="L195" s="174">
        <f t="shared" si="31"/>
        <v>5.7741540258370812</v>
      </c>
      <c r="M195" s="176">
        <f t="shared" si="26"/>
        <v>28.125</v>
      </c>
      <c r="N195" s="176"/>
      <c r="O195" s="176"/>
      <c r="P195" s="176"/>
      <c r="Q195" s="176"/>
      <c r="R195" s="176"/>
      <c r="S195" s="173">
        <v>3375</v>
      </c>
      <c r="T195" s="177">
        <v>402</v>
      </c>
    </row>
    <row r="196" spans="1:20" x14ac:dyDescent="0.25">
      <c r="A196" s="172" t="str">
        <f t="shared" si="27"/>
        <v>CARC  150*14.2</v>
      </c>
      <c r="B196" s="174">
        <f t="shared" si="32"/>
        <v>54.103443662447852</v>
      </c>
      <c r="C196" s="173">
        <v>150</v>
      </c>
      <c r="D196" s="173"/>
      <c r="E196" s="173">
        <v>14.2</v>
      </c>
      <c r="F196" s="173">
        <f t="shared" si="29"/>
        <v>14.2</v>
      </c>
      <c r="G196" s="173">
        <f t="shared" si="30"/>
        <v>21.299999999999997</v>
      </c>
      <c r="H196" s="174">
        <f t="shared" si="24"/>
        <v>68.921584283373065</v>
      </c>
      <c r="I196" s="185">
        <v>2262</v>
      </c>
      <c r="J196" s="174">
        <f t="shared" si="25"/>
        <v>301.60000000000002</v>
      </c>
      <c r="K196" s="173">
        <v>377</v>
      </c>
      <c r="L196" s="174">
        <f t="shared" si="31"/>
        <v>5.728866135306971</v>
      </c>
      <c r="M196" s="176">
        <f t="shared" si="26"/>
        <v>30.5016</v>
      </c>
      <c r="N196" s="176"/>
      <c r="O196" s="176"/>
      <c r="P196" s="176"/>
      <c r="Q196" s="176"/>
      <c r="R196" s="176"/>
      <c r="S196" s="173">
        <v>3707</v>
      </c>
      <c r="T196" s="177">
        <v>436</v>
      </c>
    </row>
    <row r="197" spans="1:20" x14ac:dyDescent="0.25">
      <c r="A197" s="178" t="str">
        <f t="shared" si="27"/>
        <v>CARC  150*16</v>
      </c>
      <c r="B197" s="180">
        <f t="shared" si="32"/>
        <v>59.136480745817558</v>
      </c>
      <c r="C197" s="179">
        <v>150</v>
      </c>
      <c r="D197" s="179"/>
      <c r="E197" s="179">
        <v>16</v>
      </c>
      <c r="F197" s="179">
        <f t="shared" si="29"/>
        <v>16</v>
      </c>
      <c r="G197" s="179">
        <f t="shared" si="30"/>
        <v>24</v>
      </c>
      <c r="H197" s="180">
        <f t="shared" si="24"/>
        <v>75.333096491487339</v>
      </c>
      <c r="I197" s="186">
        <v>1430</v>
      </c>
      <c r="J197" s="180">
        <f t="shared" si="25"/>
        <v>190.66666666666666</v>
      </c>
      <c r="K197" s="179">
        <v>411</v>
      </c>
      <c r="L197" s="180">
        <f t="shared" si="31"/>
        <v>4.3568750916163168</v>
      </c>
      <c r="M197" s="182">
        <f t="shared" si="26"/>
        <v>32.64</v>
      </c>
      <c r="N197" s="182"/>
      <c r="O197" s="182"/>
      <c r="P197" s="182"/>
      <c r="Q197" s="182"/>
      <c r="R197" s="182"/>
      <c r="S197" s="179">
        <v>4026</v>
      </c>
      <c r="T197" s="183">
        <v>467</v>
      </c>
    </row>
    <row r="198" spans="1:20" x14ac:dyDescent="0.25">
      <c r="A198" s="162" t="str">
        <f t="shared" si="27"/>
        <v>CARC  160*5</v>
      </c>
      <c r="B198" s="163">
        <f>(H198*7850)/10000</f>
        <v>23.535671947833748</v>
      </c>
      <c r="C198" s="64">
        <v>160</v>
      </c>
      <c r="E198" s="64">
        <v>5</v>
      </c>
      <c r="F198" s="64">
        <f t="shared" si="29"/>
        <v>5</v>
      </c>
      <c r="G198" s="64">
        <f t="shared" si="30"/>
        <v>7.5</v>
      </c>
      <c r="H198" s="163">
        <f t="shared" si="24"/>
        <v>29.981747704246811</v>
      </c>
      <c r="I198" s="187">
        <v>1225</v>
      </c>
      <c r="J198" s="163">
        <f t="shared" si="25"/>
        <v>153.125</v>
      </c>
      <c r="K198" s="64">
        <v>178</v>
      </c>
      <c r="L198" s="163">
        <f t="shared" si="31"/>
        <v>6.3920412905470982</v>
      </c>
      <c r="M198" s="188">
        <f t="shared" si="26"/>
        <v>14.5</v>
      </c>
      <c r="N198" s="188"/>
      <c r="O198" s="188"/>
      <c r="P198" s="188"/>
      <c r="Q198" s="188"/>
      <c r="R198" s="188"/>
      <c r="S198" s="64">
        <v>1892</v>
      </c>
      <c r="T198" s="64">
        <v>226</v>
      </c>
    </row>
    <row r="199" spans="1:20" x14ac:dyDescent="0.25">
      <c r="A199" s="162" t="str">
        <f t="shared" si="27"/>
        <v>CARC  160*6.3</v>
      </c>
      <c r="B199" s="163">
        <f t="shared" ref="B199:B204" si="33">(H199*7850)/10000</f>
        <v>29.135920784380858</v>
      </c>
      <c r="C199" s="64">
        <v>160</v>
      </c>
      <c r="E199" s="64">
        <v>6.3</v>
      </c>
      <c r="F199" s="64">
        <f t="shared" si="29"/>
        <v>6.3</v>
      </c>
      <c r="G199" s="64">
        <f t="shared" si="30"/>
        <v>9.4499999999999993</v>
      </c>
      <c r="H199" s="163">
        <f t="shared" si="24"/>
        <v>37.115822655262235</v>
      </c>
      <c r="I199" s="187">
        <v>1499</v>
      </c>
      <c r="J199" s="163">
        <f t="shared" si="25"/>
        <v>187.375</v>
      </c>
      <c r="K199" s="64">
        <v>220</v>
      </c>
      <c r="L199" s="163">
        <f t="shared" si="31"/>
        <v>6.3550836433484426</v>
      </c>
      <c r="M199" s="188">
        <f t="shared" si="26"/>
        <v>17.778600000000001</v>
      </c>
      <c r="N199" s="188"/>
      <c r="O199" s="188"/>
      <c r="P199" s="188"/>
      <c r="Q199" s="188"/>
      <c r="R199" s="188"/>
      <c r="S199" s="64">
        <v>2333</v>
      </c>
      <c r="T199" s="64">
        <v>275</v>
      </c>
    </row>
    <row r="200" spans="1:20" x14ac:dyDescent="0.25">
      <c r="A200" s="162" t="str">
        <f t="shared" si="27"/>
        <v>CARC  160*8</v>
      </c>
      <c r="B200" s="163">
        <f t="shared" si="33"/>
        <v>36.136120186454399</v>
      </c>
      <c r="C200" s="64">
        <v>160</v>
      </c>
      <c r="E200" s="64">
        <v>8</v>
      </c>
      <c r="F200" s="64">
        <f t="shared" si="29"/>
        <v>8</v>
      </c>
      <c r="G200" s="64">
        <f t="shared" si="30"/>
        <v>12</v>
      </c>
      <c r="H200" s="163">
        <f t="shared" si="24"/>
        <v>46.033274122871838</v>
      </c>
      <c r="I200" s="187">
        <v>1831</v>
      </c>
      <c r="J200" s="163">
        <f t="shared" si="25"/>
        <v>228.875</v>
      </c>
      <c r="K200" s="64">
        <v>272</v>
      </c>
      <c r="L200" s="163">
        <f t="shared" si="31"/>
        <v>6.3067881003968038</v>
      </c>
      <c r="M200" s="188">
        <f t="shared" si="26"/>
        <v>21.76</v>
      </c>
      <c r="N200" s="188"/>
      <c r="O200" s="188"/>
      <c r="P200" s="188"/>
      <c r="Q200" s="188"/>
      <c r="R200" s="188"/>
      <c r="S200" s="64">
        <v>2880</v>
      </c>
      <c r="T200" s="64">
        <v>335</v>
      </c>
    </row>
    <row r="201" spans="1:20" x14ac:dyDescent="0.25">
      <c r="A201" s="162" t="str">
        <f t="shared" si="27"/>
        <v>CARC  160*10</v>
      </c>
      <c r="B201" s="163">
        <f t="shared" si="33"/>
        <v>43.902687791334991</v>
      </c>
      <c r="C201" s="64">
        <v>160</v>
      </c>
      <c r="E201" s="64">
        <v>10</v>
      </c>
      <c r="F201" s="64">
        <f t="shared" si="29"/>
        <v>10</v>
      </c>
      <c r="G201" s="64">
        <f t="shared" si="30"/>
        <v>15</v>
      </c>
      <c r="H201" s="163">
        <f t="shared" si="24"/>
        <v>55.926990816987249</v>
      </c>
      <c r="I201" s="187">
        <v>2186</v>
      </c>
      <c r="J201" s="163">
        <f t="shared" si="25"/>
        <v>273.25</v>
      </c>
      <c r="K201" s="64">
        <v>329</v>
      </c>
      <c r="L201" s="163">
        <f t="shared" si="31"/>
        <v>6.25193353814283</v>
      </c>
      <c r="M201" s="188">
        <f t="shared" si="26"/>
        <v>26</v>
      </c>
      <c r="N201" s="188"/>
      <c r="O201" s="188"/>
      <c r="P201" s="188"/>
      <c r="Q201" s="188"/>
      <c r="R201" s="188"/>
      <c r="S201" s="64">
        <v>3478</v>
      </c>
      <c r="T201" s="64">
        <v>398</v>
      </c>
    </row>
    <row r="202" spans="1:20" x14ac:dyDescent="0.25">
      <c r="A202" s="162" t="str">
        <f t="shared" si="27"/>
        <v>CARC  160*12.5</v>
      </c>
      <c r="B202" s="163">
        <f t="shared" si="33"/>
        <v>52.897949673960916</v>
      </c>
      <c r="C202" s="64">
        <v>160</v>
      </c>
      <c r="E202" s="64">
        <v>12.5</v>
      </c>
      <c r="F202" s="64">
        <f t="shared" si="29"/>
        <v>12.5</v>
      </c>
      <c r="G202" s="64">
        <f t="shared" si="30"/>
        <v>18.75</v>
      </c>
      <c r="H202" s="163">
        <f t="shared" si="24"/>
        <v>67.385923151542571</v>
      </c>
      <c r="I202" s="187">
        <v>2576</v>
      </c>
      <c r="J202" s="163">
        <f t="shared" si="25"/>
        <v>322</v>
      </c>
      <c r="K202" s="64">
        <v>395</v>
      </c>
      <c r="L202" s="163">
        <f t="shared" si="31"/>
        <v>6.1828447013282775</v>
      </c>
      <c r="M202" s="188">
        <f t="shared" si="26"/>
        <v>30.625</v>
      </c>
      <c r="N202" s="188"/>
      <c r="O202" s="188"/>
      <c r="P202" s="188"/>
      <c r="Q202" s="188"/>
      <c r="R202" s="188"/>
      <c r="S202" s="64">
        <v>4158</v>
      </c>
      <c r="T202" s="64">
        <v>467</v>
      </c>
    </row>
    <row r="203" spans="1:20" x14ac:dyDescent="0.25">
      <c r="A203" s="162" t="str">
        <f t="shared" si="27"/>
        <v>CARC  160*14.2</v>
      </c>
      <c r="B203" s="163">
        <f t="shared" si="33"/>
        <v>58.562243662447869</v>
      </c>
      <c r="C203" s="64">
        <v>160</v>
      </c>
      <c r="E203" s="64">
        <v>14.2</v>
      </c>
      <c r="F203" s="64">
        <f t="shared" si="29"/>
        <v>14.2</v>
      </c>
      <c r="G203" s="64">
        <f t="shared" si="30"/>
        <v>21.299999999999997</v>
      </c>
      <c r="H203" s="163">
        <f t="shared" si="24"/>
        <v>74.601584283373072</v>
      </c>
      <c r="I203" s="187">
        <v>2809</v>
      </c>
      <c r="J203" s="163">
        <f t="shared" si="25"/>
        <v>351.125</v>
      </c>
      <c r="K203" s="64">
        <v>436</v>
      </c>
      <c r="L203" s="163">
        <f t="shared" si="31"/>
        <v>6.1362330342041931</v>
      </c>
      <c r="M203" s="188">
        <f t="shared" si="26"/>
        <v>33.3416</v>
      </c>
      <c r="N203" s="188"/>
      <c r="O203" s="188"/>
      <c r="P203" s="188"/>
      <c r="Q203" s="188"/>
      <c r="R203" s="188"/>
      <c r="S203" s="64">
        <v>4579</v>
      </c>
      <c r="T203" s="64">
        <v>508</v>
      </c>
    </row>
    <row r="204" spans="1:20" x14ac:dyDescent="0.25">
      <c r="A204" s="162" t="str">
        <f t="shared" si="27"/>
        <v>CARC  160*16</v>
      </c>
      <c r="B204" s="163">
        <f t="shared" si="33"/>
        <v>64.160480745817566</v>
      </c>
      <c r="C204" s="64">
        <v>160</v>
      </c>
      <c r="E204" s="64">
        <v>16</v>
      </c>
      <c r="F204" s="64">
        <f t="shared" si="29"/>
        <v>16</v>
      </c>
      <c r="G204" s="64">
        <f t="shared" si="30"/>
        <v>24</v>
      </c>
      <c r="H204" s="163">
        <f t="shared" si="24"/>
        <v>81.733096491487345</v>
      </c>
      <c r="I204" s="187">
        <v>3028</v>
      </c>
      <c r="J204" s="163">
        <f t="shared" si="25"/>
        <v>378.5</v>
      </c>
      <c r="K204" s="64">
        <v>476</v>
      </c>
      <c r="L204" s="163">
        <f t="shared" si="31"/>
        <v>6.0866588267678052</v>
      </c>
      <c r="M204" s="188">
        <f t="shared" si="26"/>
        <v>35.840000000000003</v>
      </c>
      <c r="N204" s="188"/>
      <c r="O204" s="188"/>
      <c r="P204" s="188"/>
      <c r="Q204" s="188"/>
      <c r="R204" s="188"/>
      <c r="S204" s="64">
        <v>4988</v>
      </c>
      <c r="T204" s="64">
        <v>546</v>
      </c>
    </row>
    <row r="205" spans="1:20" x14ac:dyDescent="0.25">
      <c r="A205" s="166" t="str">
        <f t="shared" si="27"/>
        <v>CARC  180*5</v>
      </c>
      <c r="B205" s="168">
        <f t="shared" si="32"/>
        <v>26.675671947833745</v>
      </c>
      <c r="C205" s="167">
        <v>180</v>
      </c>
      <c r="D205" s="167"/>
      <c r="E205" s="167">
        <v>5</v>
      </c>
      <c r="F205" s="167">
        <f t="shared" si="29"/>
        <v>5</v>
      </c>
      <c r="G205" s="167">
        <f t="shared" si="30"/>
        <v>7.5</v>
      </c>
      <c r="H205" s="168">
        <f t="shared" si="24"/>
        <v>33.981747704246807</v>
      </c>
      <c r="I205" s="184">
        <v>1765</v>
      </c>
      <c r="J205" s="168">
        <f t="shared" si="25"/>
        <v>196.11111111111111</v>
      </c>
      <c r="K205" s="167">
        <v>227</v>
      </c>
      <c r="L205" s="168">
        <f t="shared" si="31"/>
        <v>7.2069166487907639</v>
      </c>
      <c r="M205" s="170">
        <f t="shared" si="26"/>
        <v>16.5</v>
      </c>
      <c r="N205" s="170"/>
      <c r="O205" s="170"/>
      <c r="P205" s="170"/>
      <c r="Q205" s="170"/>
      <c r="R205" s="170"/>
      <c r="S205" s="167">
        <v>2718</v>
      </c>
      <c r="T205" s="171">
        <v>290</v>
      </c>
    </row>
    <row r="206" spans="1:20" x14ac:dyDescent="0.25">
      <c r="A206" s="172" t="str">
        <f t="shared" si="27"/>
        <v>CARC  180*6.3</v>
      </c>
      <c r="B206" s="174">
        <f t="shared" si="32"/>
        <v>33.092320784380853</v>
      </c>
      <c r="C206" s="173">
        <v>180</v>
      </c>
      <c r="D206" s="173"/>
      <c r="E206" s="173">
        <v>6.3</v>
      </c>
      <c r="F206" s="173">
        <f t="shared" si="29"/>
        <v>6.3</v>
      </c>
      <c r="G206" s="173">
        <f t="shared" si="30"/>
        <v>9.4499999999999993</v>
      </c>
      <c r="H206" s="174">
        <f t="shared" si="24"/>
        <v>42.155822655262234</v>
      </c>
      <c r="I206" s="185">
        <v>2168</v>
      </c>
      <c r="J206" s="174">
        <f t="shared" si="25"/>
        <v>240.88888888888889</v>
      </c>
      <c r="K206" s="173">
        <v>281</v>
      </c>
      <c r="L206" s="174">
        <f t="shared" si="31"/>
        <v>7.1713489370297259</v>
      </c>
      <c r="M206" s="176">
        <f t="shared" si="26"/>
        <v>20.2986</v>
      </c>
      <c r="N206" s="176"/>
      <c r="O206" s="176"/>
      <c r="P206" s="176"/>
      <c r="Q206" s="176"/>
      <c r="R206" s="176"/>
      <c r="S206" s="173">
        <v>3361</v>
      </c>
      <c r="T206" s="177">
        <v>355</v>
      </c>
    </row>
    <row r="207" spans="1:20" x14ac:dyDescent="0.25">
      <c r="A207" s="172" t="str">
        <f>$B$146&amp;"  "&amp;C207&amp;"*"&amp;E207</f>
        <v>CARC  180*8</v>
      </c>
      <c r="B207" s="174">
        <f>(H207*7850)/10000</f>
        <v>41.160120186454392</v>
      </c>
      <c r="C207" s="173">
        <v>180</v>
      </c>
      <c r="D207" s="173"/>
      <c r="E207" s="173">
        <v>8</v>
      </c>
      <c r="F207" s="173">
        <f>1*E207</f>
        <v>8</v>
      </c>
      <c r="G207" s="173">
        <f>1.5*E207</f>
        <v>12</v>
      </c>
      <c r="H207" s="174">
        <f>(4*(C207-2*G207)*E207+PI()*(G207^2-F207^2))*0.01</f>
        <v>52.433274122871836</v>
      </c>
      <c r="I207" s="185">
        <v>2661</v>
      </c>
      <c r="J207" s="174">
        <f>I207/(0.5*C207*0.1)</f>
        <v>295.66666666666669</v>
      </c>
      <c r="K207" s="173">
        <v>349</v>
      </c>
      <c r="L207" s="174">
        <f>SQRT(I207/H207)</f>
        <v>7.1239186015685769</v>
      </c>
      <c r="M207" s="176">
        <f t="shared" si="26"/>
        <v>24.96</v>
      </c>
      <c r="N207" s="176"/>
      <c r="O207" s="176"/>
      <c r="P207" s="176"/>
      <c r="Q207" s="176"/>
      <c r="R207" s="176"/>
      <c r="S207" s="173">
        <v>4162</v>
      </c>
      <c r="T207" s="177">
        <v>434</v>
      </c>
    </row>
    <row r="208" spans="1:20" x14ac:dyDescent="0.25">
      <c r="A208" s="172" t="str">
        <f>$B$146&amp;"  "&amp;C208&amp;"*"&amp;E208</f>
        <v>CARC  180*10</v>
      </c>
      <c r="B208" s="174">
        <f>(H208*7850)/10000</f>
        <v>50.182687791334992</v>
      </c>
      <c r="C208" s="173">
        <v>180</v>
      </c>
      <c r="D208" s="173"/>
      <c r="E208" s="173">
        <v>10</v>
      </c>
      <c r="F208" s="173">
        <f>1*E208</f>
        <v>10</v>
      </c>
      <c r="G208" s="173">
        <f>1.5*E208</f>
        <v>15</v>
      </c>
      <c r="H208" s="174">
        <f>(4*(C208-2*G208)*E208+PI()*(G208^2-F208^2))*0.01</f>
        <v>63.926990816987249</v>
      </c>
      <c r="I208" s="185">
        <v>3193</v>
      </c>
      <c r="J208" s="174">
        <f>I208/(0.5*C208*0.1)</f>
        <v>354.77777777777777</v>
      </c>
      <c r="K208" s="173">
        <v>424</v>
      </c>
      <c r="L208" s="174">
        <f>SQRT(I208/H208)</f>
        <v>7.0673618594300347</v>
      </c>
      <c r="M208" s="176">
        <f t="shared" si="26"/>
        <v>30</v>
      </c>
      <c r="N208" s="176"/>
      <c r="O208" s="176"/>
      <c r="P208" s="176"/>
      <c r="Q208" s="176"/>
      <c r="R208" s="176"/>
      <c r="S208" s="173">
        <v>5048</v>
      </c>
      <c r="T208" s="177">
        <v>518</v>
      </c>
    </row>
    <row r="209" spans="1:20" x14ac:dyDescent="0.25">
      <c r="A209" s="172" t="str">
        <f>$B$146&amp;"  "&amp;C209&amp;"*"&amp;E209</f>
        <v>CARC  180*12.5</v>
      </c>
      <c r="B209" s="174">
        <f>(H209*7850)/10000</f>
        <v>60.747949673960917</v>
      </c>
      <c r="C209" s="173">
        <v>180</v>
      </c>
      <c r="D209" s="173"/>
      <c r="E209" s="173">
        <v>12.5</v>
      </c>
      <c r="F209" s="173">
        <f>1*E209</f>
        <v>12.5</v>
      </c>
      <c r="G209" s="173">
        <f>1.5*E209</f>
        <v>18.75</v>
      </c>
      <c r="H209" s="174">
        <f>(4*(C209-2*G209)*E209+PI()*(G209^2-F209^2))*0.01</f>
        <v>77.385923151542571</v>
      </c>
      <c r="I209" s="185">
        <v>3790</v>
      </c>
      <c r="J209" s="174">
        <f>I209/(0.5*C209*0.1)</f>
        <v>421.11111111111109</v>
      </c>
      <c r="K209" s="173">
        <v>511</v>
      </c>
      <c r="L209" s="174">
        <f>SQRT(I209/H209)</f>
        <v>6.9982365978332473</v>
      </c>
      <c r="M209" s="176">
        <f t="shared" si="26"/>
        <v>35.625</v>
      </c>
      <c r="N209" s="176"/>
      <c r="O209" s="176"/>
      <c r="P209" s="176"/>
      <c r="Q209" s="176"/>
      <c r="R209" s="176"/>
      <c r="S209" s="173">
        <v>6070</v>
      </c>
      <c r="T209" s="177">
        <v>613</v>
      </c>
    </row>
    <row r="210" spans="1:20" x14ac:dyDescent="0.25">
      <c r="A210" s="172" t="str">
        <f>$B$146&amp;"  "&amp;C210&amp;"*"&amp;E210</f>
        <v>CARC  180*14.2</v>
      </c>
      <c r="B210" s="174">
        <f>(H210*7850)/10000</f>
        <v>67.479843662447863</v>
      </c>
      <c r="C210" s="173">
        <v>180</v>
      </c>
      <c r="D210" s="173"/>
      <c r="E210" s="173">
        <v>14.2</v>
      </c>
      <c r="F210" s="173">
        <f>1*E210</f>
        <v>14.2</v>
      </c>
      <c r="G210" s="173">
        <f>1.5*E210</f>
        <v>21.299999999999997</v>
      </c>
      <c r="H210" s="174">
        <f>(4*(C210-2*G210)*E210+PI()*(G210^2-F210^2))*0.01</f>
        <v>85.961584283373071</v>
      </c>
      <c r="I210" s="185">
        <v>4154</v>
      </c>
      <c r="J210" s="174">
        <f>I210/(0.5*C210*0.1)</f>
        <v>461.55555555555554</v>
      </c>
      <c r="K210" s="173">
        <v>566</v>
      </c>
      <c r="L210" s="174">
        <f>SQRT(I210/H210)</f>
        <v>6.9515402322864652</v>
      </c>
      <c r="M210" s="176">
        <f t="shared" si="26"/>
        <v>39.021599999999999</v>
      </c>
      <c r="N210" s="176"/>
      <c r="O210" s="176"/>
      <c r="P210" s="176"/>
      <c r="Q210" s="176"/>
      <c r="R210" s="176"/>
      <c r="S210" s="173">
        <v>6711</v>
      </c>
      <c r="T210" s="177">
        <v>670</v>
      </c>
    </row>
    <row r="211" spans="1:20" x14ac:dyDescent="0.25">
      <c r="A211" s="178" t="str">
        <f>$B$146&amp;"  "&amp;C211&amp;"*"&amp;E211</f>
        <v>CARC  180*16</v>
      </c>
      <c r="B211" s="180">
        <f>(H211*7850)/10000</f>
        <v>74.208480745817553</v>
      </c>
      <c r="C211" s="179">
        <v>180</v>
      </c>
      <c r="D211" s="179"/>
      <c r="E211" s="179">
        <v>16</v>
      </c>
      <c r="F211" s="179">
        <f>1*E211</f>
        <v>16</v>
      </c>
      <c r="G211" s="179">
        <f>1.5*E211</f>
        <v>24</v>
      </c>
      <c r="H211" s="180">
        <f>(4*(C211-2*G211)*E211+PI()*(G211^2-F211^2))*0.01</f>
        <v>94.533096491487342</v>
      </c>
      <c r="I211" s="186">
        <v>4504</v>
      </c>
      <c r="J211" s="180">
        <f>I211/(0.5*C211*0.1)</f>
        <v>500.44444444444446</v>
      </c>
      <c r="K211" s="179">
        <v>621</v>
      </c>
      <c r="L211" s="180">
        <f>SQRT(I211/H211)</f>
        <v>6.902513251320558</v>
      </c>
      <c r="M211" s="182">
        <f t="shared" ref="M211:M252" si="34">2*(C211-2*G211)*E211*0.01</f>
        <v>42.24</v>
      </c>
      <c r="N211" s="182"/>
      <c r="O211" s="182"/>
      <c r="P211" s="182"/>
      <c r="Q211" s="182"/>
      <c r="R211" s="182"/>
      <c r="S211" s="179">
        <v>7343</v>
      </c>
      <c r="T211" s="183">
        <v>724</v>
      </c>
    </row>
    <row r="212" spans="1:20" x14ac:dyDescent="0.25">
      <c r="A212" s="162" t="str">
        <f t="shared" si="27"/>
        <v>CARC  200*5</v>
      </c>
      <c r="B212" s="163">
        <f t="shared" si="32"/>
        <v>29.815671947833746</v>
      </c>
      <c r="C212" s="64">
        <v>200</v>
      </c>
      <c r="E212" s="64">
        <v>5</v>
      </c>
      <c r="F212" s="64">
        <f t="shared" si="29"/>
        <v>5</v>
      </c>
      <c r="G212" s="64">
        <f t="shared" si="30"/>
        <v>7.5</v>
      </c>
      <c r="H212" s="163">
        <f t="shared" ref="H212:H252" si="35">(4*(C212-2*G212)*E212+PI()*(G212^2-F212^2))*0.01</f>
        <v>37.981747704246807</v>
      </c>
      <c r="I212" s="187">
        <v>2445</v>
      </c>
      <c r="J212" s="163">
        <f t="shared" ref="J212:J252" si="36">I212/(0.5*C212*0.1)</f>
        <v>244.5</v>
      </c>
      <c r="K212" s="64">
        <v>283</v>
      </c>
      <c r="L212" s="163">
        <f t="shared" si="31"/>
        <v>8.0232801985575026</v>
      </c>
      <c r="M212" s="188">
        <f t="shared" si="34"/>
        <v>18.5</v>
      </c>
      <c r="N212" s="188"/>
      <c r="O212" s="188"/>
      <c r="P212" s="188"/>
      <c r="Q212" s="188"/>
      <c r="R212" s="188"/>
      <c r="S212" s="64">
        <v>3756</v>
      </c>
      <c r="T212" s="64">
        <v>362</v>
      </c>
    </row>
    <row r="213" spans="1:20" x14ac:dyDescent="0.25">
      <c r="A213" s="162" t="str">
        <f t="shared" si="27"/>
        <v>CARC  200*6.3</v>
      </c>
      <c r="B213" s="163">
        <f t="shared" si="32"/>
        <v>37.048720784380848</v>
      </c>
      <c r="C213" s="64">
        <v>200</v>
      </c>
      <c r="E213" s="64">
        <v>6.3</v>
      </c>
      <c r="F213" s="64">
        <f t="shared" si="29"/>
        <v>6.3</v>
      </c>
      <c r="G213" s="64">
        <f t="shared" si="30"/>
        <v>9.4499999999999993</v>
      </c>
      <c r="H213" s="163">
        <f t="shared" si="35"/>
        <v>47.195822655262226</v>
      </c>
      <c r="I213" s="187">
        <v>3011</v>
      </c>
      <c r="J213" s="163">
        <f t="shared" si="36"/>
        <v>301.10000000000002</v>
      </c>
      <c r="K213" s="64">
        <v>350</v>
      </c>
      <c r="L213" s="163">
        <f t="shared" si="31"/>
        <v>7.9873662243376895</v>
      </c>
      <c r="M213" s="188">
        <f t="shared" si="34"/>
        <v>22.818599999999996</v>
      </c>
      <c r="N213" s="188"/>
      <c r="O213" s="188"/>
      <c r="P213" s="188"/>
      <c r="Q213" s="188"/>
      <c r="R213" s="188"/>
      <c r="S213" s="64">
        <v>4653</v>
      </c>
      <c r="T213" s="64">
        <v>444</v>
      </c>
    </row>
    <row r="214" spans="1:20" x14ac:dyDescent="0.25">
      <c r="A214" s="162" t="str">
        <f t="shared" si="27"/>
        <v>CARC  200*8</v>
      </c>
      <c r="B214" s="163">
        <f t="shared" si="32"/>
        <v>46.184120186454386</v>
      </c>
      <c r="C214" s="64">
        <v>200</v>
      </c>
      <c r="E214" s="64">
        <v>8</v>
      </c>
      <c r="F214" s="64">
        <f t="shared" si="29"/>
        <v>8</v>
      </c>
      <c r="G214" s="64">
        <f t="shared" si="30"/>
        <v>12</v>
      </c>
      <c r="H214" s="163">
        <f t="shared" si="35"/>
        <v>58.833274122871835</v>
      </c>
      <c r="I214" s="187">
        <v>3709</v>
      </c>
      <c r="J214" s="163">
        <f t="shared" si="36"/>
        <v>370.9</v>
      </c>
      <c r="K214" s="64">
        <v>436</v>
      </c>
      <c r="L214" s="163">
        <f t="shared" si="31"/>
        <v>7.9399342796091918</v>
      </c>
      <c r="M214" s="188">
        <f t="shared" si="34"/>
        <v>28.16</v>
      </c>
      <c r="N214" s="188"/>
      <c r="O214" s="188"/>
      <c r="P214" s="188"/>
      <c r="Q214" s="188"/>
      <c r="R214" s="188"/>
      <c r="S214" s="64">
        <v>5778</v>
      </c>
      <c r="T214" s="64">
        <v>545</v>
      </c>
    </row>
    <row r="215" spans="1:20" x14ac:dyDescent="0.25">
      <c r="A215" s="162" t="str">
        <f t="shared" si="27"/>
        <v>CARC  200*10</v>
      </c>
      <c r="B215" s="163">
        <f t="shared" si="32"/>
        <v>56.462687791334986</v>
      </c>
      <c r="C215" s="64">
        <v>200</v>
      </c>
      <c r="E215" s="64">
        <v>10</v>
      </c>
      <c r="F215" s="64">
        <f t="shared" si="29"/>
        <v>10</v>
      </c>
      <c r="G215" s="64">
        <f t="shared" si="30"/>
        <v>15</v>
      </c>
      <c r="H215" s="163">
        <f t="shared" si="35"/>
        <v>71.926990816987242</v>
      </c>
      <c r="I215" s="187">
        <v>4471</v>
      </c>
      <c r="J215" s="163">
        <f t="shared" si="36"/>
        <v>447.1</v>
      </c>
      <c r="K215" s="64">
        <v>531</v>
      </c>
      <c r="L215" s="163">
        <f t="shared" si="31"/>
        <v>7.8841774295644802</v>
      </c>
      <c r="M215" s="188">
        <f t="shared" si="34"/>
        <v>34</v>
      </c>
      <c r="N215" s="188"/>
      <c r="O215" s="188"/>
      <c r="P215" s="188"/>
      <c r="Q215" s="188"/>
      <c r="R215" s="188"/>
      <c r="S215" s="64">
        <v>7031</v>
      </c>
      <c r="T215" s="64">
        <v>655</v>
      </c>
    </row>
    <row r="216" spans="1:20" x14ac:dyDescent="0.25">
      <c r="A216" s="162" t="str">
        <f>$B$146&amp;"  "&amp;C216&amp;"*"&amp;E216</f>
        <v>CARC  200*12.5</v>
      </c>
      <c r="B216" s="163">
        <f>(H216*7850)/10000</f>
        <v>68.597949673960912</v>
      </c>
      <c r="C216" s="64">
        <v>200</v>
      </c>
      <c r="E216" s="64">
        <v>12.5</v>
      </c>
      <c r="F216" s="64">
        <f>1*E216</f>
        <v>12.5</v>
      </c>
      <c r="G216" s="64">
        <f>1.5*E216</f>
        <v>18.75</v>
      </c>
      <c r="H216" s="163">
        <f>(4*(C216-2*G216)*E216+PI()*(G216^2-F216^2))*0.01</f>
        <v>87.385923151542556</v>
      </c>
      <c r="I216" s="187">
        <v>5336</v>
      </c>
      <c r="J216" s="163">
        <f>I216/(0.5*C216*0.1)</f>
        <v>533.6</v>
      </c>
      <c r="K216" s="64">
        <v>643</v>
      </c>
      <c r="L216" s="163">
        <f>SQRT(I216/H216)</f>
        <v>7.8142476568533379</v>
      </c>
      <c r="M216" s="188">
        <f t="shared" si="34"/>
        <v>40.625</v>
      </c>
      <c r="N216" s="188"/>
      <c r="O216" s="188"/>
      <c r="P216" s="188"/>
      <c r="Q216" s="188"/>
      <c r="R216" s="188"/>
      <c r="S216" s="64">
        <v>8491</v>
      </c>
      <c r="T216" s="64">
        <v>778</v>
      </c>
    </row>
    <row r="217" spans="1:20" x14ac:dyDescent="0.25">
      <c r="A217" s="162" t="str">
        <f>$B$146&amp;"  "&amp;C217&amp;"*"&amp;E217</f>
        <v>CARC  200*14.2</v>
      </c>
      <c r="B217" s="163">
        <f>(H217*7850)/10000</f>
        <v>76.397443662447856</v>
      </c>
      <c r="C217" s="64">
        <v>200</v>
      </c>
      <c r="E217" s="64">
        <v>14.2</v>
      </c>
      <c r="F217" s="64">
        <f>1*E217</f>
        <v>14.2</v>
      </c>
      <c r="G217" s="64">
        <f>1.5*E217</f>
        <v>21.299999999999997</v>
      </c>
      <c r="H217" s="163">
        <f>(4*(C217-2*G217)*E217+PI()*(G217^2-F217^2))*0.01</f>
        <v>97.32158428337307</v>
      </c>
      <c r="I217" s="187">
        <v>5872</v>
      </c>
      <c r="J217" s="163">
        <f>I217/(0.5*C217*0.1)</f>
        <v>587.20000000000005</v>
      </c>
      <c r="K217" s="64">
        <v>714</v>
      </c>
      <c r="L217" s="163">
        <f>SQRT(I217/H217)</f>
        <v>7.7676283544439668</v>
      </c>
      <c r="M217" s="188">
        <f t="shared" si="34"/>
        <v>44.701599999999999</v>
      </c>
      <c r="N217" s="188"/>
      <c r="O217" s="188"/>
      <c r="P217" s="188"/>
      <c r="Q217" s="188"/>
      <c r="R217" s="188"/>
      <c r="S217" s="64">
        <v>9417</v>
      </c>
      <c r="T217" s="64">
        <v>854</v>
      </c>
    </row>
    <row r="218" spans="1:20" x14ac:dyDescent="0.25">
      <c r="A218" s="162" t="str">
        <f>$B$146&amp;"  "&amp;C218&amp;"*"&amp;E218</f>
        <v>CARC  200*16</v>
      </c>
      <c r="B218" s="163">
        <f>(H218*7850)/10000</f>
        <v>84.256480745817555</v>
      </c>
      <c r="C218" s="64">
        <v>200</v>
      </c>
      <c r="E218" s="64">
        <v>16</v>
      </c>
      <c r="F218" s="64">
        <f>1*E218</f>
        <v>16</v>
      </c>
      <c r="G218" s="64">
        <f>1.5*E218</f>
        <v>24</v>
      </c>
      <c r="H218" s="163">
        <f>(4*(C218-2*G218)*E218+PI()*(G218^2-F218^2))*0.01</f>
        <v>107.33309649148734</v>
      </c>
      <c r="I218" s="187">
        <v>6394</v>
      </c>
      <c r="J218" s="163">
        <f>I218/(0.5*C218*0.1)</f>
        <v>639.4</v>
      </c>
      <c r="K218" s="64">
        <v>785</v>
      </c>
      <c r="L218" s="163">
        <f>SQRT(I218/H218)</f>
        <v>7.7182614637038212</v>
      </c>
      <c r="M218" s="188">
        <f t="shared" si="34"/>
        <v>48.64</v>
      </c>
      <c r="N218" s="188"/>
      <c r="O218" s="188"/>
      <c r="P218" s="188"/>
      <c r="Q218" s="188"/>
      <c r="R218" s="188"/>
      <c r="S218" s="64">
        <v>10340</v>
      </c>
      <c r="T218" s="64">
        <v>927</v>
      </c>
    </row>
    <row r="219" spans="1:20" x14ac:dyDescent="0.25">
      <c r="A219" s="166" t="str">
        <f t="shared" si="27"/>
        <v>CARC  220*6.3</v>
      </c>
      <c r="B219" s="168">
        <f t="shared" si="32"/>
        <v>41.005120784380843</v>
      </c>
      <c r="C219" s="167">
        <v>220</v>
      </c>
      <c r="D219" s="167"/>
      <c r="E219" s="167">
        <v>6.3</v>
      </c>
      <c r="F219" s="167">
        <f t="shared" si="29"/>
        <v>6.3</v>
      </c>
      <c r="G219" s="167">
        <f t="shared" si="30"/>
        <v>9.4499999999999993</v>
      </c>
      <c r="H219" s="168">
        <f t="shared" si="35"/>
        <v>52.235822655262226</v>
      </c>
      <c r="I219" s="184">
        <v>4049</v>
      </c>
      <c r="J219" s="168">
        <f t="shared" si="36"/>
        <v>368.09090909090907</v>
      </c>
      <c r="K219" s="167">
        <v>427</v>
      </c>
      <c r="L219" s="168">
        <f t="shared" si="31"/>
        <v>8.8041953251517224</v>
      </c>
      <c r="M219" s="189">
        <f t="shared" si="34"/>
        <v>25.338599999999996</v>
      </c>
      <c r="N219" s="189"/>
      <c r="O219" s="189"/>
      <c r="P219" s="189"/>
      <c r="Q219" s="189"/>
      <c r="R219" s="189"/>
      <c r="S219" s="167">
        <v>6240</v>
      </c>
      <c r="T219" s="171">
        <v>544</v>
      </c>
    </row>
    <row r="220" spans="1:20" x14ac:dyDescent="0.25">
      <c r="A220" s="172" t="str">
        <f t="shared" si="27"/>
        <v>CARC  220*8</v>
      </c>
      <c r="B220" s="174">
        <f t="shared" si="32"/>
        <v>51.208120186454387</v>
      </c>
      <c r="C220" s="173">
        <v>220</v>
      </c>
      <c r="D220" s="173"/>
      <c r="E220" s="173">
        <v>8</v>
      </c>
      <c r="F220" s="173">
        <f t="shared" si="29"/>
        <v>8</v>
      </c>
      <c r="G220" s="173">
        <f t="shared" si="30"/>
        <v>12</v>
      </c>
      <c r="H220" s="174">
        <f t="shared" si="35"/>
        <v>65.233274122871833</v>
      </c>
      <c r="I220" s="185">
        <v>5002</v>
      </c>
      <c r="J220" s="174">
        <f t="shared" si="36"/>
        <v>454.72727272727275</v>
      </c>
      <c r="K220" s="173">
        <v>532</v>
      </c>
      <c r="L220" s="174">
        <f t="shared" si="31"/>
        <v>8.7566351572473646</v>
      </c>
      <c r="M220" s="190">
        <f t="shared" si="34"/>
        <v>31.36</v>
      </c>
      <c r="N220" s="190"/>
      <c r="O220" s="190"/>
      <c r="P220" s="190"/>
      <c r="Q220" s="190"/>
      <c r="R220" s="190"/>
      <c r="S220" s="173">
        <v>7765</v>
      </c>
      <c r="T220" s="177">
        <v>669</v>
      </c>
    </row>
    <row r="221" spans="1:20" x14ac:dyDescent="0.25">
      <c r="A221" s="172" t="str">
        <f t="shared" si="27"/>
        <v>CARC  220*10</v>
      </c>
      <c r="B221" s="174">
        <f t="shared" si="32"/>
        <v>62.742687791334987</v>
      </c>
      <c r="C221" s="173">
        <v>220</v>
      </c>
      <c r="D221" s="173"/>
      <c r="E221" s="173">
        <v>10</v>
      </c>
      <c r="F221" s="173">
        <f t="shared" si="29"/>
        <v>10</v>
      </c>
      <c r="G221" s="173">
        <f t="shared" si="30"/>
        <v>15</v>
      </c>
      <c r="H221" s="174">
        <f t="shared" si="35"/>
        <v>79.926990816987242</v>
      </c>
      <c r="I221" s="185">
        <v>6050</v>
      </c>
      <c r="J221" s="174">
        <f t="shared" si="36"/>
        <v>550</v>
      </c>
      <c r="K221" s="173">
        <v>650</v>
      </c>
      <c r="L221" s="174">
        <f t="shared" si="31"/>
        <v>8.7002344529514328</v>
      </c>
      <c r="M221" s="190">
        <f t="shared" si="34"/>
        <v>38</v>
      </c>
      <c r="N221" s="190"/>
      <c r="O221" s="190"/>
      <c r="P221" s="190"/>
      <c r="Q221" s="190"/>
      <c r="R221" s="190"/>
      <c r="S221" s="173">
        <v>9473</v>
      </c>
      <c r="T221" s="177">
        <v>807</v>
      </c>
    </row>
    <row r="222" spans="1:20" x14ac:dyDescent="0.25">
      <c r="A222" s="172" t="str">
        <f>$B$146&amp;"  "&amp;C222&amp;"*"&amp;E222</f>
        <v>CARC  220*12.5</v>
      </c>
      <c r="B222" s="174">
        <f>(H222*7850)/10000</f>
        <v>76.447949673960906</v>
      </c>
      <c r="C222" s="173">
        <v>220</v>
      </c>
      <c r="D222" s="173"/>
      <c r="E222" s="173">
        <v>12.5</v>
      </c>
      <c r="F222" s="173">
        <f>1*E222</f>
        <v>12.5</v>
      </c>
      <c r="G222" s="173">
        <f>1.5*E222</f>
        <v>18.75</v>
      </c>
      <c r="H222" s="174">
        <f>(4*(C222-2*G222)*E222+PI()*(G222^2-F222^2))*0.01</f>
        <v>97.385923151542556</v>
      </c>
      <c r="I222" s="185">
        <v>7254</v>
      </c>
      <c r="J222" s="174">
        <f>I222/(0.5*C222*0.1)</f>
        <v>659.4545454545455</v>
      </c>
      <c r="K222" s="173">
        <v>789</v>
      </c>
      <c r="L222" s="174">
        <f>SQRT(I222/H222)</f>
        <v>8.6305939181079108</v>
      </c>
      <c r="M222" s="190">
        <f t="shared" si="34"/>
        <v>45.625</v>
      </c>
      <c r="N222" s="190"/>
      <c r="O222" s="190"/>
      <c r="P222" s="190"/>
      <c r="Q222" s="190"/>
      <c r="R222" s="190"/>
      <c r="S222" s="173">
        <v>11481</v>
      </c>
      <c r="T222" s="177">
        <v>963</v>
      </c>
    </row>
    <row r="223" spans="1:20" x14ac:dyDescent="0.25">
      <c r="A223" s="172" t="str">
        <f>$B$146&amp;"  "&amp;C223&amp;"*"&amp;E223</f>
        <v>CARC  220*14.2</v>
      </c>
      <c r="B223" s="174">
        <f>(H223*7850)/10000</f>
        <v>85.315043662447849</v>
      </c>
      <c r="C223" s="173">
        <v>220</v>
      </c>
      <c r="D223" s="173"/>
      <c r="E223" s="173">
        <v>14.2</v>
      </c>
      <c r="F223" s="173">
        <f>1*E223</f>
        <v>14.2</v>
      </c>
      <c r="G223" s="173">
        <f>1.5*E223</f>
        <v>21.299999999999997</v>
      </c>
      <c r="H223" s="174">
        <f>(4*(C223-2*G223)*E223+PI()*(G223^2-F223^2))*0.01</f>
        <v>108.68158428337307</v>
      </c>
      <c r="I223" s="185">
        <v>8007</v>
      </c>
      <c r="J223" s="174">
        <f>I223/(0.5*C223*0.1)</f>
        <v>727.90909090909088</v>
      </c>
      <c r="K223" s="173">
        <v>879</v>
      </c>
      <c r="L223" s="174">
        <f>SQRT(I223/H223)</f>
        <v>8.5833522133883129</v>
      </c>
      <c r="M223" s="190">
        <f t="shared" si="34"/>
        <v>50.381599999999999</v>
      </c>
      <c r="N223" s="190"/>
      <c r="O223" s="190"/>
      <c r="P223" s="190"/>
      <c r="Q223" s="190"/>
      <c r="R223" s="190"/>
      <c r="S223" s="173">
        <v>12765</v>
      </c>
      <c r="T223" s="177">
        <v>1060</v>
      </c>
    </row>
    <row r="224" spans="1:20" x14ac:dyDescent="0.25">
      <c r="A224" s="178" t="str">
        <f>$B$146&amp;"  "&amp;C224&amp;"*"&amp;E224</f>
        <v>CARC  220*16</v>
      </c>
      <c r="B224" s="180">
        <f>(H224*7850)/10000</f>
        <v>94.304480745817557</v>
      </c>
      <c r="C224" s="179">
        <v>220</v>
      </c>
      <c r="D224" s="179"/>
      <c r="E224" s="179">
        <v>16</v>
      </c>
      <c r="F224" s="179">
        <f>1*E224</f>
        <v>16</v>
      </c>
      <c r="G224" s="179">
        <f>1.5*E224</f>
        <v>24</v>
      </c>
      <c r="H224" s="180">
        <f>(4*(C224-2*G224)*E224+PI()*(G224^2-F224^2))*0.01</f>
        <v>120.13309649148734</v>
      </c>
      <c r="I224" s="186">
        <v>8749</v>
      </c>
      <c r="J224" s="180">
        <f>I224/(0.5*C224*0.1)</f>
        <v>795.36363636363637</v>
      </c>
      <c r="K224" s="179">
        <v>969</v>
      </c>
      <c r="L224" s="180">
        <f>SQRT(I224/H224)</f>
        <v>8.5339063484064965</v>
      </c>
      <c r="M224" s="191">
        <f t="shared" si="34"/>
        <v>55.04</v>
      </c>
      <c r="N224" s="191"/>
      <c r="O224" s="191"/>
      <c r="P224" s="191"/>
      <c r="Q224" s="191"/>
      <c r="R224" s="191"/>
      <c r="S224" s="179">
        <v>14054</v>
      </c>
      <c r="T224" s="183">
        <v>1156</v>
      </c>
    </row>
    <row r="225" spans="1:20" x14ac:dyDescent="0.25">
      <c r="A225" s="162" t="str">
        <f t="shared" si="27"/>
        <v>CARC  250*6.3</v>
      </c>
      <c r="B225" s="163">
        <f t="shared" si="32"/>
        <v>46.939720784380853</v>
      </c>
      <c r="C225" s="64">
        <v>250</v>
      </c>
      <c r="E225" s="64">
        <v>6.3</v>
      </c>
      <c r="F225" s="64">
        <f t="shared" si="29"/>
        <v>6.3</v>
      </c>
      <c r="G225" s="64">
        <f t="shared" si="30"/>
        <v>9.4499999999999993</v>
      </c>
      <c r="H225" s="163">
        <f t="shared" si="35"/>
        <v>59.795822655262228</v>
      </c>
      <c r="I225" s="187">
        <v>6014</v>
      </c>
      <c r="J225" s="163">
        <f t="shared" si="36"/>
        <v>481.12</v>
      </c>
      <c r="K225" s="64">
        <v>556</v>
      </c>
      <c r="L225" s="163">
        <f t="shared" si="31"/>
        <v>10.028738086471837</v>
      </c>
      <c r="M225" s="188">
        <f t="shared" si="34"/>
        <v>29.118599999999997</v>
      </c>
      <c r="N225" s="188"/>
      <c r="O225" s="188"/>
      <c r="P225" s="188"/>
      <c r="Q225" s="188"/>
      <c r="R225" s="188"/>
      <c r="S225" s="64">
        <v>9238</v>
      </c>
      <c r="T225" s="64">
        <v>712</v>
      </c>
    </row>
    <row r="226" spans="1:20" x14ac:dyDescent="0.25">
      <c r="A226" s="162" t="str">
        <f t="shared" si="27"/>
        <v>CARC  250*8</v>
      </c>
      <c r="B226" s="163">
        <f t="shared" si="32"/>
        <v>58.744120186454396</v>
      </c>
      <c r="C226" s="64">
        <v>250</v>
      </c>
      <c r="E226" s="64">
        <v>8</v>
      </c>
      <c r="F226" s="64">
        <f t="shared" si="29"/>
        <v>8</v>
      </c>
      <c r="G226" s="64">
        <f t="shared" si="30"/>
        <v>12</v>
      </c>
      <c r="H226" s="163">
        <f t="shared" si="35"/>
        <v>74.833274122871842</v>
      </c>
      <c r="I226" s="187">
        <v>7455</v>
      </c>
      <c r="J226" s="163">
        <f t="shared" si="36"/>
        <v>596.4</v>
      </c>
      <c r="K226" s="64">
        <v>694</v>
      </c>
      <c r="L226" s="163">
        <f t="shared" si="31"/>
        <v>9.9810550379167537</v>
      </c>
      <c r="M226" s="188">
        <f t="shared" si="34"/>
        <v>36.160000000000004</v>
      </c>
      <c r="N226" s="188"/>
      <c r="O226" s="188"/>
      <c r="P226" s="188"/>
      <c r="Q226" s="188"/>
      <c r="R226" s="188"/>
      <c r="S226" s="64">
        <v>11525</v>
      </c>
      <c r="T226" s="64">
        <v>880</v>
      </c>
    </row>
    <row r="227" spans="1:20" x14ac:dyDescent="0.25">
      <c r="A227" s="162" t="str">
        <f t="shared" si="27"/>
        <v>CARC  250*10</v>
      </c>
      <c r="B227" s="163">
        <f t="shared" si="32"/>
        <v>72.162687791334989</v>
      </c>
      <c r="C227" s="64">
        <v>250</v>
      </c>
      <c r="E227" s="64">
        <v>10</v>
      </c>
      <c r="F227" s="64">
        <f t="shared" si="29"/>
        <v>10</v>
      </c>
      <c r="G227" s="64">
        <f t="shared" si="30"/>
        <v>15</v>
      </c>
      <c r="H227" s="163">
        <f t="shared" si="35"/>
        <v>91.926990816987242</v>
      </c>
      <c r="I227" s="187">
        <v>9055</v>
      </c>
      <c r="J227" s="163">
        <f t="shared" si="36"/>
        <v>724.4</v>
      </c>
      <c r="K227" s="64">
        <v>851</v>
      </c>
      <c r="L227" s="163">
        <f t="shared" si="31"/>
        <v>9.9248215165978788</v>
      </c>
      <c r="M227" s="188">
        <f t="shared" si="34"/>
        <v>44</v>
      </c>
      <c r="N227" s="188"/>
      <c r="O227" s="188"/>
      <c r="P227" s="188"/>
      <c r="Q227" s="188"/>
      <c r="R227" s="188"/>
      <c r="S227" s="64">
        <v>14106</v>
      </c>
      <c r="T227" s="64">
        <v>1065</v>
      </c>
    </row>
    <row r="228" spans="1:20" x14ac:dyDescent="0.25">
      <c r="A228" s="162" t="str">
        <f>$B$146&amp;"  "&amp;C228&amp;"*"&amp;E228</f>
        <v>CARC  250*12.5</v>
      </c>
      <c r="B228" s="163">
        <f>(H228*7850)/10000</f>
        <v>88.222949673960912</v>
      </c>
      <c r="C228" s="64">
        <v>250</v>
      </c>
      <c r="E228" s="64">
        <v>12.5</v>
      </c>
      <c r="F228" s="64">
        <f>1*E228</f>
        <v>12.5</v>
      </c>
      <c r="G228" s="64">
        <f>1.5*E228</f>
        <v>18.75</v>
      </c>
      <c r="H228" s="163">
        <f>(4*(C228-2*G228)*E228+PI()*(G228^2-F228^2))*0.01</f>
        <v>112.38592315154256</v>
      </c>
      <c r="I228" s="187">
        <v>10915</v>
      </c>
      <c r="J228" s="163">
        <f>I228/(0.5*C228*0.1)</f>
        <v>873.2</v>
      </c>
      <c r="K228" s="64">
        <v>1037</v>
      </c>
      <c r="L228" s="163">
        <f>SQRT(I228/H228)</f>
        <v>9.8549837245962806</v>
      </c>
      <c r="M228" s="188">
        <f t="shared" si="34"/>
        <v>53.125</v>
      </c>
      <c r="N228" s="188"/>
      <c r="O228" s="188"/>
      <c r="P228" s="188"/>
      <c r="Q228" s="188"/>
      <c r="R228" s="188"/>
      <c r="S228" s="64">
        <v>17164</v>
      </c>
      <c r="T228" s="64">
        <v>1279</v>
      </c>
    </row>
    <row r="229" spans="1:20" x14ac:dyDescent="0.25">
      <c r="A229" s="162" t="str">
        <f>$B$146&amp;"  "&amp;C229&amp;"*"&amp;E229</f>
        <v>CARC  250*14.2</v>
      </c>
      <c r="B229" s="163">
        <f>(H229*7850)/10000</f>
        <v>98.691443662447867</v>
      </c>
      <c r="C229" s="64">
        <v>250</v>
      </c>
      <c r="E229" s="64">
        <v>14.2</v>
      </c>
      <c r="F229" s="64">
        <f>1*E229</f>
        <v>14.2</v>
      </c>
      <c r="G229" s="64">
        <f>1.5*E229</f>
        <v>21.299999999999997</v>
      </c>
      <c r="H229" s="163">
        <f>(4*(C229-2*G229)*E229+PI()*(G229^2-F229^2))*0.01</f>
        <v>125.72158428337308</v>
      </c>
      <c r="I229" s="187">
        <v>12094</v>
      </c>
      <c r="J229" s="163">
        <f>I229/(0.5*C229*0.1)</f>
        <v>967.52</v>
      </c>
      <c r="K229" s="64">
        <v>1158</v>
      </c>
      <c r="L229" s="163">
        <f>SQRT(I229/H229)</f>
        <v>9.8079910203592515</v>
      </c>
      <c r="M229" s="188">
        <f t="shared" si="34"/>
        <v>58.901600000000002</v>
      </c>
      <c r="N229" s="188"/>
      <c r="O229" s="188"/>
      <c r="P229" s="188"/>
      <c r="Q229" s="188"/>
      <c r="R229" s="188"/>
      <c r="S229" s="64">
        <v>19139</v>
      </c>
      <c r="T229" s="64">
        <v>1413</v>
      </c>
    </row>
    <row r="230" spans="1:20" x14ac:dyDescent="0.25">
      <c r="A230" s="162" t="str">
        <f>$B$146&amp;"  "&amp;C230&amp;"*"&amp;E230</f>
        <v>CARC  250*16</v>
      </c>
      <c r="B230" s="163">
        <f>(H230*7850)/10000</f>
        <v>109.37648074581756</v>
      </c>
      <c r="C230" s="64">
        <v>250</v>
      </c>
      <c r="E230" s="64">
        <v>16</v>
      </c>
      <c r="F230" s="64">
        <f>1*E230</f>
        <v>16</v>
      </c>
      <c r="G230" s="64">
        <f>1.5*E230</f>
        <v>24</v>
      </c>
      <c r="H230" s="163">
        <f>(4*(C230-2*G230)*E230+PI()*(G230^2-F230^2))*0.01</f>
        <v>139.33309649148734</v>
      </c>
      <c r="I230" s="187">
        <v>13267</v>
      </c>
      <c r="J230" s="163">
        <f>I230/(0.5*C230*0.1)</f>
        <v>1061.3599999999999</v>
      </c>
      <c r="K230" s="64">
        <v>1280</v>
      </c>
      <c r="L230" s="163">
        <f>SQRT(I230/H230)</f>
        <v>9.7579641935544696</v>
      </c>
      <c r="M230" s="188">
        <f t="shared" si="34"/>
        <v>64.64</v>
      </c>
      <c r="N230" s="188"/>
      <c r="O230" s="188"/>
      <c r="P230" s="188"/>
      <c r="Q230" s="188"/>
      <c r="R230" s="188"/>
      <c r="S230" s="64">
        <v>21138</v>
      </c>
      <c r="T230" s="64">
        <v>1546</v>
      </c>
    </row>
    <row r="231" spans="1:20" x14ac:dyDescent="0.25">
      <c r="A231" s="166" t="str">
        <f t="shared" si="27"/>
        <v>CARC  260*6.3</v>
      </c>
      <c r="B231" s="168">
        <f t="shared" si="32"/>
        <v>48.917920784380854</v>
      </c>
      <c r="C231" s="167">
        <v>260</v>
      </c>
      <c r="D231" s="167"/>
      <c r="E231" s="167">
        <v>6.3</v>
      </c>
      <c r="F231" s="167">
        <f t="shared" si="29"/>
        <v>6.3</v>
      </c>
      <c r="G231" s="167">
        <f t="shared" si="30"/>
        <v>9.4499999999999993</v>
      </c>
      <c r="H231" s="168">
        <f t="shared" si="35"/>
        <v>62.315822655262231</v>
      </c>
      <c r="I231" s="184">
        <v>6788</v>
      </c>
      <c r="J231" s="168">
        <f t="shared" si="36"/>
        <v>522.15384615384619</v>
      </c>
      <c r="K231" s="167">
        <v>603</v>
      </c>
      <c r="L231" s="168">
        <f t="shared" si="31"/>
        <v>10.436905482571225</v>
      </c>
      <c r="M231" s="189">
        <f t="shared" si="34"/>
        <v>30.378599999999999</v>
      </c>
      <c r="N231" s="189"/>
      <c r="O231" s="189"/>
      <c r="P231" s="189"/>
      <c r="Q231" s="189"/>
      <c r="R231" s="189"/>
      <c r="S231" s="167">
        <v>10417</v>
      </c>
      <c r="T231" s="171">
        <v>773</v>
      </c>
    </row>
    <row r="232" spans="1:20" x14ac:dyDescent="0.25">
      <c r="A232" s="172" t="str">
        <f t="shared" si="27"/>
        <v>CARC  260*8</v>
      </c>
      <c r="B232" s="174">
        <f t="shared" si="32"/>
        <v>61.256120186454382</v>
      </c>
      <c r="C232" s="173">
        <v>260</v>
      </c>
      <c r="D232" s="173"/>
      <c r="E232" s="173">
        <v>8</v>
      </c>
      <c r="F232" s="173">
        <f t="shared" si="29"/>
        <v>8</v>
      </c>
      <c r="G232" s="173">
        <f t="shared" si="30"/>
        <v>12</v>
      </c>
      <c r="H232" s="174">
        <f t="shared" si="35"/>
        <v>78.033274122871831</v>
      </c>
      <c r="I232" s="185">
        <v>8423</v>
      </c>
      <c r="J232" s="174">
        <f t="shared" si="36"/>
        <v>647.92307692307691</v>
      </c>
      <c r="K232" s="173">
        <v>753</v>
      </c>
      <c r="L232" s="174">
        <f t="shared" si="31"/>
        <v>10.389472206854634</v>
      </c>
      <c r="M232" s="190">
        <f t="shared" si="34"/>
        <v>37.76</v>
      </c>
      <c r="N232" s="190"/>
      <c r="O232" s="190"/>
      <c r="P232" s="190"/>
      <c r="Q232" s="190"/>
      <c r="R232" s="190"/>
      <c r="S232" s="173">
        <v>13006</v>
      </c>
      <c r="T232" s="177">
        <v>956</v>
      </c>
    </row>
    <row r="233" spans="1:20" x14ac:dyDescent="0.25">
      <c r="A233" s="172" t="str">
        <f t="shared" si="27"/>
        <v>CARC  260*10</v>
      </c>
      <c r="B233" s="174">
        <f t="shared" si="32"/>
        <v>75.302687791334989</v>
      </c>
      <c r="C233" s="173">
        <v>260</v>
      </c>
      <c r="D233" s="173"/>
      <c r="E233" s="173">
        <v>10</v>
      </c>
      <c r="F233" s="173">
        <f t="shared" si="29"/>
        <v>10</v>
      </c>
      <c r="G233" s="173">
        <f t="shared" si="30"/>
        <v>15</v>
      </c>
      <c r="H233" s="174">
        <f t="shared" si="35"/>
        <v>95.926990816987242</v>
      </c>
      <c r="I233" s="185">
        <v>10242</v>
      </c>
      <c r="J233" s="174">
        <f t="shared" si="36"/>
        <v>787.84615384615381</v>
      </c>
      <c r="K233" s="173">
        <v>924</v>
      </c>
      <c r="L233" s="174">
        <f t="shared" si="31"/>
        <v>10.332894024001115</v>
      </c>
      <c r="M233" s="190">
        <f t="shared" si="34"/>
        <v>46</v>
      </c>
      <c r="N233" s="190"/>
      <c r="O233" s="190"/>
      <c r="P233" s="190"/>
      <c r="Q233" s="190"/>
      <c r="R233" s="190"/>
      <c r="S233" s="173">
        <v>15932</v>
      </c>
      <c r="T233" s="177">
        <v>1159</v>
      </c>
    </row>
    <row r="234" spans="1:20" x14ac:dyDescent="0.25">
      <c r="A234" s="172" t="str">
        <f>$B$146&amp;"  "&amp;C234&amp;"*"&amp;E234</f>
        <v>CARC  260*12.5</v>
      </c>
      <c r="B234" s="174">
        <f>(H234*7850)/10000</f>
        <v>92.147949673960909</v>
      </c>
      <c r="C234" s="173">
        <v>260</v>
      </c>
      <c r="D234" s="173"/>
      <c r="E234" s="173">
        <v>12.5</v>
      </c>
      <c r="F234" s="173">
        <f>1*E234</f>
        <v>12.5</v>
      </c>
      <c r="G234" s="173">
        <f>1.5*E234</f>
        <v>18.75</v>
      </c>
      <c r="H234" s="174">
        <f>(4*(C234-2*G234)*E234+PI()*(G234^2-F234^2))*0.01</f>
        <v>117.38592315154256</v>
      </c>
      <c r="I234" s="185">
        <v>12365</v>
      </c>
      <c r="J234" s="174">
        <f>I234/(0.5*C234*0.1)</f>
        <v>951.15384615384619</v>
      </c>
      <c r="K234" s="173">
        <v>1127</v>
      </c>
      <c r="L234" s="174">
        <f>SQRT(I234/H234)</f>
        <v>10.263347898176077</v>
      </c>
      <c r="M234" s="190">
        <f t="shared" si="34"/>
        <v>55.625</v>
      </c>
      <c r="N234" s="190"/>
      <c r="O234" s="190"/>
      <c r="P234" s="190"/>
      <c r="Q234" s="190"/>
      <c r="R234" s="190"/>
      <c r="S234" s="173">
        <v>19409</v>
      </c>
      <c r="T234" s="177">
        <v>1394</v>
      </c>
    </row>
    <row r="235" spans="1:20" x14ac:dyDescent="0.25">
      <c r="A235" s="172" t="str">
        <f>$B$146&amp;"  "&amp;C235&amp;"*"&amp;E235</f>
        <v>CARC  260*14.5</v>
      </c>
      <c r="B235" s="174">
        <f>(H235*7850)/10000</f>
        <v>105.0538010812818</v>
      </c>
      <c r="C235" s="173">
        <v>260</v>
      </c>
      <c r="D235" s="173"/>
      <c r="E235" s="173">
        <v>14.5</v>
      </c>
      <c r="F235" s="173">
        <f>1*E235</f>
        <v>14.5</v>
      </c>
      <c r="G235" s="173">
        <f>1.5*E235</f>
        <v>21.75</v>
      </c>
      <c r="H235" s="174">
        <f>(4*(C235-2*G235)*E235+PI()*(G235^2-F235^2))*0.01</f>
        <v>133.82649819271569</v>
      </c>
      <c r="I235" s="185">
        <v>13714</v>
      </c>
      <c r="J235" s="174">
        <f>I235/(0.5*C235*0.1)</f>
        <v>1054.9230769230769</v>
      </c>
      <c r="K235" s="173">
        <v>1259</v>
      </c>
      <c r="L235" s="174">
        <f>SQRT(I235/H235)</f>
        <v>10.123041460001101</v>
      </c>
      <c r="M235" s="190">
        <f t="shared" si="34"/>
        <v>62.785000000000004</v>
      </c>
      <c r="N235" s="190"/>
      <c r="O235" s="190"/>
      <c r="P235" s="190"/>
      <c r="Q235" s="190"/>
      <c r="R235" s="190"/>
      <c r="S235" s="173">
        <v>21659</v>
      </c>
      <c r="T235" s="177">
        <v>1542</v>
      </c>
    </row>
    <row r="236" spans="1:20" x14ac:dyDescent="0.25">
      <c r="A236" s="178" t="str">
        <f>$B$146&amp;"  "&amp;C236&amp;"*"&amp;E236</f>
        <v>CARC  260*16</v>
      </c>
      <c r="B236" s="180">
        <f>(H236*7850)/10000</f>
        <v>114.40048074581756</v>
      </c>
      <c r="C236" s="179">
        <v>260</v>
      </c>
      <c r="D236" s="179"/>
      <c r="E236" s="179">
        <v>16</v>
      </c>
      <c r="F236" s="179">
        <f>1*E236</f>
        <v>16</v>
      </c>
      <c r="G236" s="179">
        <f>1.5*E236</f>
        <v>24</v>
      </c>
      <c r="H236" s="180">
        <f>(4*(C236-2*G236)*E236+PI()*(G236^2-F236^2))*0.01</f>
        <v>145.73309649148734</v>
      </c>
      <c r="I236" s="186">
        <v>15061</v>
      </c>
      <c r="J236" s="180">
        <f>I236/(0.5*C236*0.1)</f>
        <v>1158.5384615384614</v>
      </c>
      <c r="K236" s="179">
        <v>1394</v>
      </c>
      <c r="L236" s="180">
        <f>SQRT(I236/H236)</f>
        <v>10.16594622048879</v>
      </c>
      <c r="M236" s="191">
        <f t="shared" si="34"/>
        <v>67.84</v>
      </c>
      <c r="N236" s="191"/>
      <c r="O236" s="191"/>
      <c r="P236" s="191"/>
      <c r="Q236" s="191"/>
      <c r="R236" s="191"/>
      <c r="S236" s="179">
        <v>23942</v>
      </c>
      <c r="T236" s="183">
        <v>1689</v>
      </c>
    </row>
    <row r="237" spans="1:20" x14ac:dyDescent="0.25">
      <c r="A237" s="162" t="str">
        <f t="shared" si="27"/>
        <v>CARC  300*6.3</v>
      </c>
      <c r="B237" s="163">
        <f t="shared" si="32"/>
        <v>56.830720784380858</v>
      </c>
      <c r="C237" s="64">
        <v>300</v>
      </c>
      <c r="E237" s="64">
        <v>6.3</v>
      </c>
      <c r="F237" s="64">
        <f t="shared" si="29"/>
        <v>6.3</v>
      </c>
      <c r="G237" s="64">
        <f t="shared" si="30"/>
        <v>9.4499999999999993</v>
      </c>
      <c r="H237" s="163">
        <f t="shared" si="35"/>
        <v>72.395822655262236</v>
      </c>
      <c r="I237" s="187">
        <v>10547</v>
      </c>
      <c r="J237" s="163">
        <f t="shared" si="36"/>
        <v>703.13333333333333</v>
      </c>
      <c r="K237" s="64">
        <v>809</v>
      </c>
      <c r="L237" s="163">
        <f t="shared" si="31"/>
        <v>12.070012483177049</v>
      </c>
      <c r="M237" s="188">
        <f t="shared" si="34"/>
        <v>35.418600000000005</v>
      </c>
      <c r="N237" s="188"/>
      <c r="O237" s="188"/>
      <c r="P237" s="188"/>
      <c r="Q237" s="188"/>
      <c r="R237" s="188"/>
      <c r="S237" s="64">
        <v>16136</v>
      </c>
      <c r="T237" s="64">
        <v>1043</v>
      </c>
    </row>
    <row r="238" spans="1:20" x14ac:dyDescent="0.25">
      <c r="A238" s="162" t="str">
        <f t="shared" si="27"/>
        <v>CARC  300*8</v>
      </c>
      <c r="B238" s="163">
        <f t="shared" si="32"/>
        <v>71.304120186454384</v>
      </c>
      <c r="C238" s="64">
        <v>300</v>
      </c>
      <c r="E238" s="64">
        <v>8</v>
      </c>
      <c r="F238" s="64">
        <f t="shared" si="29"/>
        <v>8</v>
      </c>
      <c r="G238" s="64">
        <f t="shared" si="30"/>
        <v>12</v>
      </c>
      <c r="H238" s="163">
        <f t="shared" si="35"/>
        <v>90.833274122871828</v>
      </c>
      <c r="I238" s="187">
        <v>13128</v>
      </c>
      <c r="J238" s="163">
        <f t="shared" si="36"/>
        <v>875.2</v>
      </c>
      <c r="K238" s="64">
        <v>1013</v>
      </c>
      <c r="L238" s="163">
        <f t="shared" si="31"/>
        <v>12.022002103605544</v>
      </c>
      <c r="M238" s="188">
        <f t="shared" si="34"/>
        <v>44.160000000000004</v>
      </c>
      <c r="N238" s="188"/>
      <c r="O238" s="188"/>
      <c r="P238" s="188"/>
      <c r="Q238" s="188"/>
      <c r="R238" s="188"/>
      <c r="S238" s="64">
        <v>20194</v>
      </c>
      <c r="T238" s="64">
        <v>1294</v>
      </c>
    </row>
    <row r="239" spans="1:20" x14ac:dyDescent="0.25">
      <c r="A239" s="162" t="str">
        <f t="shared" ref="A239:A252" si="37">$B$146&amp;"  "&amp;C239&amp;"*"&amp;E239</f>
        <v>CARC  300*10</v>
      </c>
      <c r="B239" s="163">
        <f t="shared" si="32"/>
        <v>87.862687791334992</v>
      </c>
      <c r="C239" s="64">
        <v>300</v>
      </c>
      <c r="E239" s="64">
        <v>10</v>
      </c>
      <c r="F239" s="64">
        <f t="shared" ref="F239:F252" si="38">1*E239</f>
        <v>10</v>
      </c>
      <c r="G239" s="64">
        <f t="shared" ref="G239:G252" si="39">1.5*E239</f>
        <v>15</v>
      </c>
      <c r="H239" s="163">
        <f t="shared" si="35"/>
        <v>111.92699081698724</v>
      </c>
      <c r="I239" s="187">
        <v>16026</v>
      </c>
      <c r="J239" s="163">
        <f t="shared" si="36"/>
        <v>1068.4000000000001</v>
      </c>
      <c r="K239" s="64">
        <v>1246</v>
      </c>
      <c r="L239" s="163">
        <f t="shared" ref="L239:L252" si="40">SQRT(I239/H239)</f>
        <v>11.965894109570284</v>
      </c>
      <c r="M239" s="188">
        <f t="shared" si="34"/>
        <v>54</v>
      </c>
      <c r="N239" s="188"/>
      <c r="O239" s="188"/>
      <c r="P239" s="188"/>
      <c r="Q239" s="188"/>
      <c r="R239" s="188"/>
      <c r="S239" s="64">
        <v>24807</v>
      </c>
      <c r="T239" s="64">
        <v>1575</v>
      </c>
    </row>
    <row r="240" spans="1:20" x14ac:dyDescent="0.25">
      <c r="A240" s="162" t="str">
        <f t="shared" si="37"/>
        <v>CARC  300*12.5</v>
      </c>
      <c r="B240" s="163">
        <f t="shared" si="32"/>
        <v>107.84794967396091</v>
      </c>
      <c r="C240" s="64">
        <v>300</v>
      </c>
      <c r="E240" s="64">
        <v>12.5</v>
      </c>
      <c r="F240" s="64">
        <f t="shared" si="38"/>
        <v>12.5</v>
      </c>
      <c r="G240" s="64">
        <f t="shared" si="39"/>
        <v>18.75</v>
      </c>
      <c r="H240" s="163">
        <f t="shared" si="35"/>
        <v>137.38592315154256</v>
      </c>
      <c r="I240" s="187">
        <v>19442</v>
      </c>
      <c r="J240" s="163">
        <f t="shared" si="36"/>
        <v>1296.1333333333334</v>
      </c>
      <c r="K240" s="64">
        <v>1525</v>
      </c>
      <c r="L240" s="163">
        <f t="shared" si="40"/>
        <v>11.895956056944261</v>
      </c>
      <c r="M240" s="188">
        <f t="shared" si="34"/>
        <v>65.625</v>
      </c>
      <c r="N240" s="188"/>
      <c r="O240" s="188"/>
      <c r="P240" s="188"/>
      <c r="Q240" s="188"/>
      <c r="R240" s="188"/>
      <c r="S240" s="64">
        <v>30333</v>
      </c>
      <c r="T240" s="64">
        <v>1904</v>
      </c>
    </row>
    <row r="241" spans="1:20" x14ac:dyDescent="0.25">
      <c r="A241" s="162" t="str">
        <f t="shared" si="37"/>
        <v>CARC  300*14.2</v>
      </c>
      <c r="B241" s="163">
        <f t="shared" si="32"/>
        <v>120.98544366244784</v>
      </c>
      <c r="C241" s="64">
        <v>300</v>
      </c>
      <c r="E241" s="64">
        <v>14.2</v>
      </c>
      <c r="F241" s="64">
        <f t="shared" si="38"/>
        <v>14.2</v>
      </c>
      <c r="G241" s="64">
        <f t="shared" si="39"/>
        <v>21.299999999999997</v>
      </c>
      <c r="H241" s="163">
        <f t="shared" si="35"/>
        <v>154.12158428337304</v>
      </c>
      <c r="I241" s="187">
        <v>21637</v>
      </c>
      <c r="J241" s="163">
        <f t="shared" si="36"/>
        <v>1442.4666666666667</v>
      </c>
      <c r="K241" s="64">
        <v>1708</v>
      </c>
      <c r="L241" s="163">
        <f t="shared" si="40"/>
        <v>11.848593232404479</v>
      </c>
      <c r="M241" s="188">
        <f t="shared" si="34"/>
        <v>73.101599999999991</v>
      </c>
      <c r="N241" s="188"/>
      <c r="O241" s="188"/>
      <c r="P241" s="188"/>
      <c r="Q241" s="188"/>
      <c r="R241" s="188"/>
      <c r="S241" s="64">
        <v>33938</v>
      </c>
      <c r="T241" s="64">
        <v>2114</v>
      </c>
    </row>
    <row r="242" spans="1:20" x14ac:dyDescent="0.25">
      <c r="A242" s="162" t="str">
        <f t="shared" si="37"/>
        <v>CARC  300*16</v>
      </c>
      <c r="B242" s="163">
        <f t="shared" si="32"/>
        <v>134.49648074581756</v>
      </c>
      <c r="C242" s="64">
        <v>300</v>
      </c>
      <c r="E242" s="64">
        <v>16</v>
      </c>
      <c r="F242" s="64">
        <f t="shared" si="38"/>
        <v>16</v>
      </c>
      <c r="G242" s="64">
        <f t="shared" si="39"/>
        <v>24</v>
      </c>
      <c r="H242" s="163">
        <f t="shared" si="35"/>
        <v>171.33309649148734</v>
      </c>
      <c r="I242" s="187">
        <v>23850</v>
      </c>
      <c r="J242" s="163">
        <f t="shared" si="36"/>
        <v>1590</v>
      </c>
      <c r="K242" s="64">
        <v>1895</v>
      </c>
      <c r="L242" s="163">
        <f t="shared" si="40"/>
        <v>11.798412056557602</v>
      </c>
      <c r="M242" s="188">
        <f t="shared" si="34"/>
        <v>80.64</v>
      </c>
      <c r="N242" s="188"/>
      <c r="O242" s="188"/>
      <c r="P242" s="188"/>
      <c r="Q242" s="188"/>
      <c r="R242" s="188"/>
      <c r="S242" s="64">
        <v>37622</v>
      </c>
      <c r="T242" s="64">
        <v>2325</v>
      </c>
    </row>
    <row r="243" spans="1:20" x14ac:dyDescent="0.25">
      <c r="A243" s="166" t="str">
        <f t="shared" si="37"/>
        <v>CARC  350*8</v>
      </c>
      <c r="B243" s="168">
        <f t="shared" si="32"/>
        <v>83.864120186454386</v>
      </c>
      <c r="C243" s="167">
        <v>350</v>
      </c>
      <c r="D243" s="167"/>
      <c r="E243" s="167">
        <v>8</v>
      </c>
      <c r="F243" s="167">
        <f t="shared" si="38"/>
        <v>8</v>
      </c>
      <c r="G243" s="167">
        <f t="shared" si="39"/>
        <v>12</v>
      </c>
      <c r="H243" s="168">
        <f t="shared" si="35"/>
        <v>106.83327412287183</v>
      </c>
      <c r="I243" s="184">
        <v>21129</v>
      </c>
      <c r="J243" s="168">
        <f t="shared" si="36"/>
        <v>1207.3714285714286</v>
      </c>
      <c r="K243" s="167">
        <v>1392</v>
      </c>
      <c r="L243" s="168">
        <f t="shared" si="40"/>
        <v>14.063266356986462</v>
      </c>
      <c r="M243" s="189">
        <f t="shared" si="34"/>
        <v>52.160000000000004</v>
      </c>
      <c r="N243" s="189"/>
      <c r="O243" s="189"/>
      <c r="P243" s="189"/>
      <c r="Q243" s="189"/>
      <c r="R243" s="189"/>
      <c r="S243" s="167">
        <v>32384</v>
      </c>
      <c r="T243" s="171">
        <v>1789</v>
      </c>
    </row>
    <row r="244" spans="1:20" x14ac:dyDescent="0.25">
      <c r="A244" s="172" t="str">
        <f t="shared" si="37"/>
        <v>CARC  350*10</v>
      </c>
      <c r="B244" s="174">
        <f t="shared" si="32"/>
        <v>103.56268779133498</v>
      </c>
      <c r="C244" s="173">
        <v>350</v>
      </c>
      <c r="D244" s="173"/>
      <c r="E244" s="173">
        <v>10</v>
      </c>
      <c r="F244" s="173">
        <f t="shared" si="38"/>
        <v>10</v>
      </c>
      <c r="G244" s="173">
        <f t="shared" si="39"/>
        <v>15</v>
      </c>
      <c r="H244" s="174">
        <f t="shared" si="35"/>
        <v>131.92699081698723</v>
      </c>
      <c r="I244" s="185">
        <v>25884</v>
      </c>
      <c r="J244" s="174">
        <f t="shared" si="36"/>
        <v>1479.0857142857142</v>
      </c>
      <c r="K244" s="173">
        <v>1715</v>
      </c>
      <c r="L244" s="174">
        <f t="shared" si="40"/>
        <v>14.007120580930128</v>
      </c>
      <c r="M244" s="190">
        <f t="shared" si="34"/>
        <v>64</v>
      </c>
      <c r="N244" s="190"/>
      <c r="O244" s="190"/>
      <c r="P244" s="190"/>
      <c r="Q244" s="190"/>
      <c r="R244" s="190"/>
      <c r="S244" s="173">
        <v>39886</v>
      </c>
      <c r="T244" s="177">
        <v>2185</v>
      </c>
    </row>
    <row r="245" spans="1:20" x14ac:dyDescent="0.25">
      <c r="A245" s="172" t="str">
        <f t="shared" si="37"/>
        <v>CARC  350*12.5</v>
      </c>
      <c r="B245" s="174">
        <f t="shared" si="32"/>
        <v>127.47294967396091</v>
      </c>
      <c r="C245" s="173">
        <v>350</v>
      </c>
      <c r="D245" s="173"/>
      <c r="E245" s="173">
        <v>12.5</v>
      </c>
      <c r="F245" s="173">
        <f t="shared" si="38"/>
        <v>12.5</v>
      </c>
      <c r="G245" s="173">
        <f t="shared" si="39"/>
        <v>18.75</v>
      </c>
      <c r="H245" s="174">
        <f t="shared" si="35"/>
        <v>162.38592315154256</v>
      </c>
      <c r="I245" s="185">
        <v>31541</v>
      </c>
      <c r="J245" s="174">
        <f t="shared" si="36"/>
        <v>1802.3428571428572</v>
      </c>
      <c r="K245" s="173">
        <v>2107</v>
      </c>
      <c r="L245" s="174">
        <f t="shared" si="40"/>
        <v>13.93681515229186</v>
      </c>
      <c r="M245" s="190">
        <f t="shared" si="34"/>
        <v>78.125</v>
      </c>
      <c r="N245" s="190"/>
      <c r="O245" s="190"/>
      <c r="P245" s="190"/>
      <c r="Q245" s="190"/>
      <c r="R245" s="190"/>
      <c r="S245" s="173">
        <v>48934</v>
      </c>
      <c r="T245" s="177">
        <v>2654</v>
      </c>
    </row>
    <row r="246" spans="1:20" x14ac:dyDescent="0.25">
      <c r="A246" s="172" t="str">
        <f t="shared" si="37"/>
        <v>CARC  350*14.2</v>
      </c>
      <c r="B246" s="174">
        <f t="shared" si="32"/>
        <v>143.27944366244782</v>
      </c>
      <c r="C246" s="173">
        <v>350</v>
      </c>
      <c r="D246" s="173"/>
      <c r="E246" s="173">
        <v>14.2</v>
      </c>
      <c r="F246" s="173">
        <f t="shared" si="38"/>
        <v>14.2</v>
      </c>
      <c r="G246" s="173">
        <f t="shared" si="39"/>
        <v>21.299999999999997</v>
      </c>
      <c r="H246" s="174">
        <f t="shared" si="35"/>
        <v>182.52158428337302</v>
      </c>
      <c r="I246" s="185">
        <v>35211</v>
      </c>
      <c r="J246" s="174">
        <f t="shared" si="36"/>
        <v>2012.0571428571429</v>
      </c>
      <c r="K246" s="173">
        <v>2364</v>
      </c>
      <c r="L246" s="174">
        <f t="shared" si="40"/>
        <v>13.889354568646942</v>
      </c>
      <c r="M246" s="190">
        <f t="shared" si="34"/>
        <v>87.301599999999979</v>
      </c>
      <c r="N246" s="190"/>
      <c r="O246" s="190"/>
      <c r="P246" s="190"/>
      <c r="Q246" s="190"/>
      <c r="R246" s="190"/>
      <c r="S246" s="173">
        <v>54879</v>
      </c>
      <c r="T246" s="177">
        <v>2957</v>
      </c>
    </row>
    <row r="247" spans="1:20" x14ac:dyDescent="0.25">
      <c r="A247" s="178" t="str">
        <f t="shared" si="37"/>
        <v>CARC  350*16</v>
      </c>
      <c r="B247" s="180">
        <f t="shared" si="32"/>
        <v>159.61648074581757</v>
      </c>
      <c r="C247" s="179">
        <v>350</v>
      </c>
      <c r="D247" s="179"/>
      <c r="E247" s="179">
        <v>16</v>
      </c>
      <c r="F247" s="179">
        <f t="shared" si="38"/>
        <v>16</v>
      </c>
      <c r="G247" s="179">
        <f t="shared" si="39"/>
        <v>24</v>
      </c>
      <c r="H247" s="180">
        <f t="shared" si="35"/>
        <v>203.33309649148734</v>
      </c>
      <c r="I247" s="186">
        <v>38942</v>
      </c>
      <c r="J247" s="180">
        <f t="shared" si="36"/>
        <v>2225.2571428571428</v>
      </c>
      <c r="K247" s="179">
        <v>2630</v>
      </c>
      <c r="L247" s="180">
        <f t="shared" si="40"/>
        <v>13.839012098649841</v>
      </c>
      <c r="M247" s="191">
        <f t="shared" si="34"/>
        <v>96.64</v>
      </c>
      <c r="N247" s="191"/>
      <c r="O247" s="191"/>
      <c r="P247" s="191"/>
      <c r="Q247" s="191"/>
      <c r="R247" s="191"/>
      <c r="S247" s="179">
        <v>60990</v>
      </c>
      <c r="T247" s="183">
        <v>3264</v>
      </c>
    </row>
    <row r="248" spans="1:20" x14ac:dyDescent="0.25">
      <c r="A248" s="162" t="str">
        <f t="shared" si="37"/>
        <v>CARC  400*8</v>
      </c>
      <c r="B248" s="163">
        <f t="shared" si="32"/>
        <v>96.424120186454388</v>
      </c>
      <c r="C248" s="64">
        <v>400</v>
      </c>
      <c r="E248" s="64">
        <v>8</v>
      </c>
      <c r="F248" s="64">
        <f t="shared" si="38"/>
        <v>8</v>
      </c>
      <c r="G248" s="64">
        <f t="shared" si="39"/>
        <v>12</v>
      </c>
      <c r="H248" s="163">
        <f t="shared" si="35"/>
        <v>122.83327412287183</v>
      </c>
      <c r="I248" s="187">
        <v>39128</v>
      </c>
      <c r="J248" s="163">
        <f t="shared" si="36"/>
        <v>1956.4</v>
      </c>
      <c r="K248" s="64">
        <v>2260</v>
      </c>
      <c r="L248" s="163">
        <f t="shared" si="40"/>
        <v>17.847846035218708</v>
      </c>
      <c r="M248" s="188">
        <f t="shared" si="34"/>
        <v>60.160000000000004</v>
      </c>
      <c r="N248" s="188"/>
      <c r="O248" s="188"/>
      <c r="P248" s="188"/>
      <c r="Q248" s="188"/>
      <c r="R248" s="188"/>
      <c r="S248" s="64">
        <v>60092</v>
      </c>
      <c r="T248" s="64">
        <v>2895</v>
      </c>
    </row>
    <row r="249" spans="1:20" x14ac:dyDescent="0.25">
      <c r="A249" s="162" t="str">
        <f t="shared" si="37"/>
        <v>CARC  400*10</v>
      </c>
      <c r="B249" s="163">
        <f t="shared" si="32"/>
        <v>119.26268779133498</v>
      </c>
      <c r="C249" s="64">
        <v>400</v>
      </c>
      <c r="E249" s="64">
        <v>10</v>
      </c>
      <c r="F249" s="64">
        <f t="shared" si="38"/>
        <v>10</v>
      </c>
      <c r="G249" s="64">
        <f t="shared" si="39"/>
        <v>15</v>
      </c>
      <c r="H249" s="163">
        <f t="shared" si="35"/>
        <v>151.92699081698723</v>
      </c>
      <c r="I249" s="187">
        <v>47839</v>
      </c>
      <c r="J249" s="163">
        <f t="shared" si="36"/>
        <v>2391.9499999999998</v>
      </c>
      <c r="K249" s="64">
        <v>2782</v>
      </c>
      <c r="L249" s="163">
        <f t="shared" si="40"/>
        <v>17.744900906141957</v>
      </c>
      <c r="M249" s="188">
        <f t="shared" si="34"/>
        <v>74</v>
      </c>
      <c r="N249" s="188"/>
      <c r="O249" s="188"/>
      <c r="P249" s="188"/>
      <c r="Q249" s="188"/>
      <c r="R249" s="188"/>
      <c r="S249" s="64">
        <v>73906</v>
      </c>
      <c r="T249" s="64">
        <v>3530</v>
      </c>
    </row>
    <row r="250" spans="1:20" x14ac:dyDescent="0.25">
      <c r="A250" s="162" t="str">
        <f t="shared" si="37"/>
        <v>CARC  400*12.5</v>
      </c>
      <c r="B250" s="163">
        <f t="shared" si="32"/>
        <v>147.09794967396093</v>
      </c>
      <c r="C250" s="64">
        <v>400</v>
      </c>
      <c r="E250" s="64">
        <v>12.5</v>
      </c>
      <c r="F250" s="64">
        <f t="shared" si="38"/>
        <v>12.5</v>
      </c>
      <c r="G250" s="64">
        <f t="shared" si="39"/>
        <v>18.75</v>
      </c>
      <c r="H250" s="163">
        <f t="shared" si="35"/>
        <v>187.38592315154256</v>
      </c>
      <c r="I250" s="187">
        <v>53526</v>
      </c>
      <c r="J250" s="163">
        <f t="shared" si="36"/>
        <v>2676.3</v>
      </c>
      <c r="K250" s="64">
        <v>3127</v>
      </c>
      <c r="L250" s="163">
        <f t="shared" si="40"/>
        <v>16.90105883412291</v>
      </c>
      <c r="M250" s="188">
        <f t="shared" si="34"/>
        <v>90.625</v>
      </c>
      <c r="N250" s="188"/>
      <c r="O250" s="188"/>
      <c r="P250" s="188"/>
      <c r="Q250" s="188"/>
      <c r="R250" s="188"/>
      <c r="S250" s="64">
        <v>83026</v>
      </c>
      <c r="T250" s="64">
        <v>3942</v>
      </c>
    </row>
    <row r="251" spans="1:20" x14ac:dyDescent="0.25">
      <c r="A251" s="162" t="str">
        <f t="shared" si="37"/>
        <v>CARC  400*14.5</v>
      </c>
      <c r="B251" s="163">
        <f t="shared" si="32"/>
        <v>168.79580108128181</v>
      </c>
      <c r="C251" s="64">
        <v>400</v>
      </c>
      <c r="E251" s="64">
        <v>14.5</v>
      </c>
      <c r="F251" s="64">
        <f t="shared" si="38"/>
        <v>14.5</v>
      </c>
      <c r="G251" s="64">
        <f t="shared" si="39"/>
        <v>21.75</v>
      </c>
      <c r="H251" s="163">
        <f t="shared" si="35"/>
        <v>215.02649819271568</v>
      </c>
      <c r="I251" s="187">
        <v>59344</v>
      </c>
      <c r="J251" s="163">
        <f t="shared" si="36"/>
        <v>2967.2</v>
      </c>
      <c r="K251" s="64">
        <v>3484</v>
      </c>
      <c r="L251" s="163">
        <f t="shared" si="40"/>
        <v>16.612783940862233</v>
      </c>
      <c r="M251" s="188">
        <f t="shared" si="34"/>
        <v>103.38500000000001</v>
      </c>
      <c r="N251" s="188"/>
      <c r="O251" s="188"/>
      <c r="P251" s="188"/>
      <c r="Q251" s="188"/>
      <c r="R251" s="188"/>
      <c r="S251" s="64">
        <v>92442</v>
      </c>
      <c r="T251" s="64">
        <v>4362</v>
      </c>
    </row>
    <row r="252" spans="1:20" x14ac:dyDescent="0.25">
      <c r="A252" s="162" t="str">
        <f t="shared" si="37"/>
        <v>CARC  400*16</v>
      </c>
      <c r="B252" s="163">
        <f t="shared" si="32"/>
        <v>184.73648074581754</v>
      </c>
      <c r="C252" s="64">
        <v>400</v>
      </c>
      <c r="E252" s="64">
        <v>16</v>
      </c>
      <c r="F252" s="64">
        <f t="shared" si="38"/>
        <v>16</v>
      </c>
      <c r="G252" s="64">
        <f t="shared" si="39"/>
        <v>24</v>
      </c>
      <c r="H252" s="163">
        <f t="shared" si="35"/>
        <v>235.33309649148734</v>
      </c>
      <c r="I252" s="187">
        <v>71535</v>
      </c>
      <c r="J252" s="163">
        <f t="shared" si="36"/>
        <v>3576.75</v>
      </c>
      <c r="K252" s="64">
        <v>7247</v>
      </c>
      <c r="L252" s="163">
        <f t="shared" si="40"/>
        <v>17.434832770651791</v>
      </c>
      <c r="M252" s="188">
        <f t="shared" si="34"/>
        <v>112.64</v>
      </c>
      <c r="N252" s="188"/>
      <c r="O252" s="188"/>
      <c r="P252" s="188"/>
      <c r="Q252" s="188"/>
      <c r="R252" s="188"/>
      <c r="S252" s="64">
        <v>112489</v>
      </c>
      <c r="T252" s="64">
        <v>5237</v>
      </c>
    </row>
    <row r="253" spans="1:20" x14ac:dyDescent="0.25">
      <c r="M253" s="188"/>
      <c r="N253" s="188"/>
      <c r="O253" s="188"/>
      <c r="P253" s="188"/>
      <c r="Q253" s="188"/>
      <c r="R253" s="188"/>
    </row>
  </sheetData>
  <sheetProtection algorithmName="SHA-512" hashValue="wguqZwZmLA2mdyYppYiTJo4EUH60wDzUSZ5StAqJjWt+Lc3x/VTZHfRCcrbP1swdbE4tsMH82VgtXHKMtK3Jrg==" saltValue="z3ZK71onMxgsIkD6HBoycQ==" spinCount="100000" sheet="1" objects="1" scenarios="1"/>
  <mergeCells count="2">
    <mergeCell ref="C1:G1"/>
    <mergeCell ref="J1:K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99874-EED1-4D9D-8C88-35E200EF3FE4}">
  <sheetPr codeName="Feuil5">
    <tabColor rgb="FFFF0000"/>
  </sheetPr>
  <dimension ref="A1:T281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3.42578125" style="215" customWidth="1"/>
    <col min="2" max="2" width="18.5703125" customWidth="1"/>
  </cols>
  <sheetData>
    <row r="1" spans="1:20" ht="45" x14ac:dyDescent="0.25">
      <c r="A1" s="147" t="s">
        <v>0</v>
      </c>
      <c r="B1" s="1" t="s">
        <v>1</v>
      </c>
      <c r="C1" s="1126" t="s">
        <v>2</v>
      </c>
      <c r="D1" s="1127"/>
      <c r="E1" s="1127"/>
      <c r="F1" s="1127"/>
      <c r="G1" s="1128"/>
      <c r="H1" s="1" t="s">
        <v>3</v>
      </c>
      <c r="I1" s="2" t="s">
        <v>4</v>
      </c>
      <c r="J1" s="1129" t="s">
        <v>5</v>
      </c>
      <c r="K1" s="1130"/>
      <c r="L1" s="3" t="s">
        <v>6</v>
      </c>
      <c r="M1" s="4" t="s">
        <v>7</v>
      </c>
      <c r="N1" s="2" t="s">
        <v>4</v>
      </c>
      <c r="O1" s="1131" t="s">
        <v>5</v>
      </c>
      <c r="P1" s="1132"/>
      <c r="Q1" s="3" t="s">
        <v>6</v>
      </c>
      <c r="R1" s="4" t="s">
        <v>7</v>
      </c>
      <c r="S1" s="5" t="s">
        <v>8</v>
      </c>
      <c r="T1" s="6" t="s">
        <v>398</v>
      </c>
    </row>
    <row r="2" spans="1:20" ht="15.75" thickBot="1" x14ac:dyDescent="0.3">
      <c r="A2" s="192"/>
      <c r="B2" s="7" t="s">
        <v>10</v>
      </c>
      <c r="C2" s="8" t="s">
        <v>11</v>
      </c>
      <c r="D2" s="9" t="s">
        <v>12</v>
      </c>
      <c r="E2" s="9" t="s">
        <v>399</v>
      </c>
      <c r="F2" s="9" t="s">
        <v>417</v>
      </c>
      <c r="G2" s="10" t="s">
        <v>401</v>
      </c>
      <c r="H2" s="7" t="s">
        <v>16</v>
      </c>
      <c r="I2" s="8" t="s">
        <v>17</v>
      </c>
      <c r="J2" s="9" t="s">
        <v>18</v>
      </c>
      <c r="K2" s="9" t="s">
        <v>19</v>
      </c>
      <c r="L2" s="9" t="s">
        <v>20</v>
      </c>
      <c r="M2" s="10" t="s">
        <v>21</v>
      </c>
      <c r="N2" s="8" t="s">
        <v>22</v>
      </c>
      <c r="O2" s="9" t="s">
        <v>23</v>
      </c>
      <c r="P2" s="9" t="s">
        <v>24</v>
      </c>
      <c r="Q2" s="9" t="s">
        <v>25</v>
      </c>
      <c r="R2" s="10" t="s">
        <v>26</v>
      </c>
      <c r="S2" s="11" t="s">
        <v>27</v>
      </c>
      <c r="T2" s="9" t="s">
        <v>407</v>
      </c>
    </row>
    <row r="3" spans="1:20" ht="16.5" thickBot="1" x14ac:dyDescent="0.3">
      <c r="A3" s="193"/>
      <c r="B3" s="158" t="s">
        <v>418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194" t="str">
        <f>$B$3&amp;"  "&amp;C4&amp;"*"&amp;D4&amp;"*"&amp;E4</f>
        <v>RECF  40*20*2</v>
      </c>
      <c r="B4" s="195">
        <f>H4*0.785</f>
        <v>1.6775380279681584</v>
      </c>
      <c r="C4" s="148">
        <v>40</v>
      </c>
      <c r="D4" s="148">
        <v>20</v>
      </c>
      <c r="E4" s="148">
        <v>2</v>
      </c>
      <c r="F4" s="148">
        <f>IF(E4&lt;=6,1*E4,IF(E4&lt;=10,1.5*E4,2*E4))</f>
        <v>2</v>
      </c>
      <c r="G4" s="148">
        <f>IF(E4&lt;=6,2*E4,IF(E4&lt;=10,2.5*E4,3*E4))</f>
        <v>4</v>
      </c>
      <c r="H4" s="195">
        <f>(2*(C4-2*G4)*E4+2*(D4-2*G4)*E4+PI()*(G4^2-F4^2))*0.01</f>
        <v>2.136991118430775</v>
      </c>
      <c r="I4" s="148">
        <v>4.03</v>
      </c>
      <c r="J4" s="195">
        <f>I4/(0.5*C4*0.1)</f>
        <v>2.0150000000000001</v>
      </c>
      <c r="K4" s="148">
        <v>2.61</v>
      </c>
      <c r="L4" s="195">
        <f>SQRT(I4/H4)</f>
        <v>1.3732549225891462</v>
      </c>
      <c r="M4" s="196">
        <f>2*(C4-2*G4)*E4*0.01</f>
        <v>1.28</v>
      </c>
      <c r="N4" s="148">
        <v>1.33</v>
      </c>
      <c r="O4" s="195">
        <f>N4/(0.5*D4*0.1)</f>
        <v>1.33</v>
      </c>
      <c r="P4" s="148">
        <v>1.59</v>
      </c>
      <c r="Q4" s="195">
        <f>SQRT(N4/H4)</f>
        <v>0.78890455187137132</v>
      </c>
      <c r="R4" s="148">
        <f>2*(D4-2*G4)*E4*0.01</f>
        <v>0.48</v>
      </c>
      <c r="S4" s="362">
        <v>3.45</v>
      </c>
      <c r="T4" s="362">
        <v>2.36</v>
      </c>
    </row>
    <row r="5" spans="1:20" x14ac:dyDescent="0.25">
      <c r="A5" s="194" t="str">
        <f t="shared" ref="A5:A68" si="0">$B$3&amp;"  "&amp;C5&amp;"*"&amp;D5&amp;"*"&amp;E5</f>
        <v>RECF  40*20*2.5</v>
      </c>
      <c r="B5" s="195">
        <f t="shared" ref="B5:B68" si="1">H5*0.785</f>
        <v>2.032403168700248</v>
      </c>
      <c r="C5" s="148">
        <v>40</v>
      </c>
      <c r="D5" s="148">
        <v>20</v>
      </c>
      <c r="E5" s="148">
        <v>2.5</v>
      </c>
      <c r="F5" s="148">
        <f t="shared" ref="F5:F68" si="2">IF(E5&lt;=6,1*E5,IF(E5&lt;=10,1.5*E5,2*E5))</f>
        <v>2.5</v>
      </c>
      <c r="G5" s="148">
        <f t="shared" ref="G5:G68" si="3">IF(E5&lt;=6,2*E5,IF(E5&lt;=10,2.5*E5,3*E5))</f>
        <v>5</v>
      </c>
      <c r="H5" s="195">
        <f t="shared" ref="H5:H68" si="4">(2*(C5-2*G5)*E5+2*(D5-2*G5)*E5+PI()*(G5^2-F5^2))*0.01</f>
        <v>2.5890486225480864</v>
      </c>
      <c r="I5" s="148">
        <v>4.6500000000000004</v>
      </c>
      <c r="J5" s="195">
        <f t="shared" ref="J5:J68" si="5">I5/(0.5*C5*0.1)</f>
        <v>2.3250000000000002</v>
      </c>
      <c r="K5" s="148">
        <v>3.08</v>
      </c>
      <c r="L5" s="195">
        <f t="shared" ref="L5:L68" si="6">SQRT(I5/H5)</f>
        <v>1.3401591415813185</v>
      </c>
      <c r="M5" s="196">
        <f t="shared" ref="M5:M68" si="7">2*(C5-2*G5)*E5*0.01</f>
        <v>1.5</v>
      </c>
      <c r="N5" s="148">
        <v>1.52</v>
      </c>
      <c r="O5" s="195">
        <f t="shared" ref="O5:O68" si="8">N5/(0.5*D5*0.1)</f>
        <v>1.52</v>
      </c>
      <c r="P5" s="148">
        <v>1.87</v>
      </c>
      <c r="Q5" s="195">
        <f t="shared" ref="Q5:Q68" si="9">SQRT(N5/H5)</f>
        <v>0.76621683638050908</v>
      </c>
      <c r="R5" s="148">
        <f t="shared" ref="R5:R68" si="10">2*(D5-2*G5)*E5*0.01</f>
        <v>0.5</v>
      </c>
      <c r="S5" s="362">
        <v>4.0599999999999996</v>
      </c>
      <c r="T5" s="362">
        <v>2.72</v>
      </c>
    </row>
    <row r="6" spans="1:20" x14ac:dyDescent="0.25">
      <c r="A6" s="194" t="str">
        <f t="shared" si="0"/>
        <v>RECF  40*20*3</v>
      </c>
      <c r="B6" s="195">
        <f t="shared" si="1"/>
        <v>2.3614605629283569</v>
      </c>
      <c r="C6" s="148">
        <v>40</v>
      </c>
      <c r="D6" s="148">
        <v>20</v>
      </c>
      <c r="E6" s="148">
        <v>3</v>
      </c>
      <c r="F6" s="148">
        <f t="shared" si="2"/>
        <v>3</v>
      </c>
      <c r="G6" s="148">
        <f t="shared" si="3"/>
        <v>6</v>
      </c>
      <c r="H6" s="195">
        <f t="shared" si="4"/>
        <v>3.0082300164692444</v>
      </c>
      <c r="I6" s="148">
        <v>5.13</v>
      </c>
      <c r="J6" s="195">
        <f t="shared" si="5"/>
        <v>2.5649999999999999</v>
      </c>
      <c r="K6" s="148">
        <v>3.48</v>
      </c>
      <c r="L6" s="195">
        <f t="shared" si="6"/>
        <v>1.305879674666379</v>
      </c>
      <c r="M6" s="196">
        <f t="shared" si="7"/>
        <v>1.68</v>
      </c>
      <c r="N6" s="148">
        <v>1.65</v>
      </c>
      <c r="O6" s="195">
        <f t="shared" si="8"/>
        <v>1.65</v>
      </c>
      <c r="P6" s="148">
        <v>2.09</v>
      </c>
      <c r="Q6" s="195">
        <f t="shared" si="9"/>
        <v>0.74060467968569577</v>
      </c>
      <c r="R6" s="148">
        <f t="shared" si="10"/>
        <v>0.48</v>
      </c>
      <c r="S6" s="362">
        <v>4.57</v>
      </c>
      <c r="T6" s="362">
        <v>3</v>
      </c>
    </row>
    <row r="7" spans="1:20" x14ac:dyDescent="0.25">
      <c r="A7" s="197" t="str">
        <f t="shared" si="0"/>
        <v>RECF  50*30*2</v>
      </c>
      <c r="B7" s="198">
        <f t="shared" si="1"/>
        <v>2.3055380279681583</v>
      </c>
      <c r="C7" s="199">
        <v>50</v>
      </c>
      <c r="D7" s="199">
        <v>30</v>
      </c>
      <c r="E7" s="199">
        <v>2</v>
      </c>
      <c r="F7" s="199">
        <f t="shared" si="2"/>
        <v>2</v>
      </c>
      <c r="G7" s="199">
        <f t="shared" si="3"/>
        <v>4</v>
      </c>
      <c r="H7" s="198">
        <f t="shared" si="4"/>
        <v>2.9369911184307749</v>
      </c>
      <c r="I7" s="199">
        <v>9.51</v>
      </c>
      <c r="J7" s="198">
        <f t="shared" si="5"/>
        <v>3.8039999999999998</v>
      </c>
      <c r="K7" s="199">
        <v>4.74</v>
      </c>
      <c r="L7" s="198">
        <f t="shared" si="6"/>
        <v>1.7994465118263625</v>
      </c>
      <c r="M7" s="200">
        <f t="shared" si="7"/>
        <v>1.68</v>
      </c>
      <c r="N7" s="199">
        <v>4.28</v>
      </c>
      <c r="O7" s="198">
        <f t="shared" si="8"/>
        <v>2.8533333333333335</v>
      </c>
      <c r="P7" s="199">
        <v>3.32</v>
      </c>
      <c r="Q7" s="198">
        <f t="shared" si="9"/>
        <v>1.2071759313678854</v>
      </c>
      <c r="R7" s="199">
        <f t="shared" si="10"/>
        <v>0.88</v>
      </c>
      <c r="S7" s="363">
        <v>9.77</v>
      </c>
      <c r="T7" s="364">
        <v>4.84</v>
      </c>
    </row>
    <row r="8" spans="1:20" x14ac:dyDescent="0.25">
      <c r="A8" s="202" t="str">
        <f t="shared" si="0"/>
        <v>RECF  50*30*2.5</v>
      </c>
      <c r="B8" s="203">
        <f t="shared" si="1"/>
        <v>2.8174031687002481</v>
      </c>
      <c r="C8" s="204">
        <v>50</v>
      </c>
      <c r="D8" s="204">
        <v>30</v>
      </c>
      <c r="E8" s="204">
        <v>2.5</v>
      </c>
      <c r="F8" s="204">
        <f t="shared" si="2"/>
        <v>2.5</v>
      </c>
      <c r="G8" s="204">
        <f t="shared" si="3"/>
        <v>5</v>
      </c>
      <c r="H8" s="203">
        <f t="shared" si="4"/>
        <v>3.5890486225480864</v>
      </c>
      <c r="I8" s="204">
        <v>11.2</v>
      </c>
      <c r="J8" s="203">
        <f t="shared" si="5"/>
        <v>4.4799999999999995</v>
      </c>
      <c r="K8" s="204">
        <v>5.69</v>
      </c>
      <c r="L8" s="203">
        <f t="shared" si="6"/>
        <v>1.7665231792237395</v>
      </c>
      <c r="M8" s="205">
        <f t="shared" si="7"/>
        <v>2</v>
      </c>
      <c r="N8" s="204">
        <v>5.0199999999999996</v>
      </c>
      <c r="O8" s="203">
        <f t="shared" si="8"/>
        <v>3.3466666666666662</v>
      </c>
      <c r="P8" s="204">
        <v>3.97</v>
      </c>
      <c r="Q8" s="203">
        <f t="shared" si="9"/>
        <v>1.1826662068533522</v>
      </c>
      <c r="R8" s="204">
        <f t="shared" si="10"/>
        <v>1</v>
      </c>
      <c r="S8" s="365">
        <v>11.7</v>
      </c>
      <c r="T8" s="366">
        <v>5.72</v>
      </c>
    </row>
    <row r="9" spans="1:20" x14ac:dyDescent="0.25">
      <c r="A9" s="202" t="str">
        <f t="shared" si="0"/>
        <v>RECF  50*30*3</v>
      </c>
      <c r="B9" s="203">
        <f t="shared" si="1"/>
        <v>3.3034605629283567</v>
      </c>
      <c r="C9" s="204">
        <v>50</v>
      </c>
      <c r="D9" s="204">
        <v>30</v>
      </c>
      <c r="E9" s="204">
        <v>3</v>
      </c>
      <c r="F9" s="204">
        <f t="shared" si="2"/>
        <v>3</v>
      </c>
      <c r="G9" s="204">
        <f t="shared" si="3"/>
        <v>6</v>
      </c>
      <c r="H9" s="203">
        <f t="shared" si="4"/>
        <v>4.2082300164692441</v>
      </c>
      <c r="I9" s="204">
        <v>12.7</v>
      </c>
      <c r="J9" s="203">
        <f t="shared" si="5"/>
        <v>5.08</v>
      </c>
      <c r="K9" s="204">
        <v>6.55</v>
      </c>
      <c r="L9" s="203">
        <f t="shared" si="6"/>
        <v>1.7372092197422531</v>
      </c>
      <c r="M9" s="205">
        <f t="shared" si="7"/>
        <v>2.2800000000000002</v>
      </c>
      <c r="N9" s="204">
        <v>5.64</v>
      </c>
      <c r="O9" s="203">
        <f t="shared" si="8"/>
        <v>3.76</v>
      </c>
      <c r="P9" s="204">
        <v>4.5599999999999996</v>
      </c>
      <c r="Q9" s="203">
        <f t="shared" si="9"/>
        <v>1.157683429611696</v>
      </c>
      <c r="R9" s="204">
        <f t="shared" si="10"/>
        <v>1.08</v>
      </c>
      <c r="S9" s="365">
        <v>13.5</v>
      </c>
      <c r="T9" s="366">
        <v>6.49</v>
      </c>
    </row>
    <row r="10" spans="1:20" x14ac:dyDescent="0.25">
      <c r="A10" s="207" t="str">
        <f t="shared" si="0"/>
        <v>RECF  50*30*4</v>
      </c>
      <c r="B10" s="208">
        <f t="shared" si="1"/>
        <v>4.1981521118726333</v>
      </c>
      <c r="C10" s="209">
        <v>50</v>
      </c>
      <c r="D10" s="209">
        <v>30</v>
      </c>
      <c r="E10" s="209">
        <v>4</v>
      </c>
      <c r="F10" s="209">
        <f t="shared" si="2"/>
        <v>4</v>
      </c>
      <c r="G10" s="209">
        <f t="shared" si="3"/>
        <v>8</v>
      </c>
      <c r="H10" s="208">
        <f t="shared" si="4"/>
        <v>5.3479644737231</v>
      </c>
      <c r="I10" s="209">
        <v>15</v>
      </c>
      <c r="J10" s="208">
        <f t="shared" si="5"/>
        <v>6</v>
      </c>
      <c r="K10" s="209">
        <v>8</v>
      </c>
      <c r="L10" s="208">
        <f t="shared" si="6"/>
        <v>1.6747553457946358</v>
      </c>
      <c r="M10" s="210">
        <f t="shared" si="7"/>
        <v>2.72</v>
      </c>
      <c r="N10" s="209">
        <v>6.56</v>
      </c>
      <c r="O10" s="208">
        <f t="shared" si="8"/>
        <v>4.3733333333333331</v>
      </c>
      <c r="P10" s="209">
        <v>5.53</v>
      </c>
      <c r="Q10" s="208">
        <f t="shared" si="9"/>
        <v>1.1075355185225793</v>
      </c>
      <c r="R10" s="209">
        <f t="shared" si="10"/>
        <v>1.1200000000000001</v>
      </c>
      <c r="S10" s="367">
        <v>16.5</v>
      </c>
      <c r="T10" s="368">
        <v>7.71</v>
      </c>
    </row>
    <row r="11" spans="1:20" x14ac:dyDescent="0.25">
      <c r="A11" s="194" t="str">
        <f t="shared" si="0"/>
        <v>RECF  60*40*2</v>
      </c>
      <c r="B11" s="195">
        <f t="shared" si="1"/>
        <v>2.9335380279681584</v>
      </c>
      <c r="C11" s="148">
        <v>60</v>
      </c>
      <c r="D11" s="148">
        <v>40</v>
      </c>
      <c r="E11" s="148">
        <v>2</v>
      </c>
      <c r="F11" s="148">
        <f t="shared" si="2"/>
        <v>2</v>
      </c>
      <c r="G11" s="148">
        <f t="shared" si="3"/>
        <v>4</v>
      </c>
      <c r="H11" s="195">
        <f t="shared" si="4"/>
        <v>3.7369911184307751</v>
      </c>
      <c r="I11" s="148">
        <v>18.399999999999999</v>
      </c>
      <c r="J11" s="195">
        <f t="shared" si="5"/>
        <v>6.1333333333333329</v>
      </c>
      <c r="K11" s="148">
        <v>7.46</v>
      </c>
      <c r="L11" s="195">
        <f t="shared" si="6"/>
        <v>2.2189518514078017</v>
      </c>
      <c r="M11" s="196">
        <f t="shared" si="7"/>
        <v>2.08</v>
      </c>
      <c r="N11" s="148">
        <v>9.81</v>
      </c>
      <c r="O11" s="195">
        <f t="shared" si="8"/>
        <v>4.9050000000000002</v>
      </c>
      <c r="P11" s="148">
        <v>5.65</v>
      </c>
      <c r="Q11" s="195">
        <f t="shared" si="9"/>
        <v>1.6202180676847135</v>
      </c>
      <c r="R11" s="148">
        <f t="shared" si="10"/>
        <v>1.28</v>
      </c>
      <c r="S11" s="362">
        <v>20.7</v>
      </c>
      <c r="T11" s="362">
        <v>8.1199999999999992</v>
      </c>
    </row>
    <row r="12" spans="1:20" x14ac:dyDescent="0.25">
      <c r="A12" s="194" t="str">
        <f t="shared" si="0"/>
        <v>RECF  60*40*2.5</v>
      </c>
      <c r="B12" s="195">
        <f t="shared" si="1"/>
        <v>3.6024031687002478</v>
      </c>
      <c r="C12" s="148">
        <v>60</v>
      </c>
      <c r="D12" s="148">
        <v>40</v>
      </c>
      <c r="E12" s="148">
        <v>2.5</v>
      </c>
      <c r="F12" s="148">
        <f t="shared" si="2"/>
        <v>2.5</v>
      </c>
      <c r="G12" s="148">
        <f t="shared" si="3"/>
        <v>5</v>
      </c>
      <c r="H12" s="195">
        <f t="shared" si="4"/>
        <v>4.589048622548086</v>
      </c>
      <c r="I12" s="148">
        <v>22</v>
      </c>
      <c r="J12" s="195">
        <f t="shared" si="5"/>
        <v>7.333333333333333</v>
      </c>
      <c r="K12" s="148">
        <v>9.0399999999999991</v>
      </c>
      <c r="L12" s="195">
        <f t="shared" si="6"/>
        <v>2.1895255166112539</v>
      </c>
      <c r="M12" s="196">
        <f t="shared" si="7"/>
        <v>2.5</v>
      </c>
      <c r="N12" s="148">
        <v>11.7</v>
      </c>
      <c r="O12" s="195">
        <f t="shared" si="8"/>
        <v>5.85</v>
      </c>
      <c r="P12" s="148">
        <v>6.83</v>
      </c>
      <c r="Q12" s="195">
        <f t="shared" si="9"/>
        <v>1.5967304272158751</v>
      </c>
      <c r="R12" s="148">
        <f t="shared" si="10"/>
        <v>1.5</v>
      </c>
      <c r="S12" s="362">
        <v>25.1</v>
      </c>
      <c r="T12" s="362">
        <v>9.7200000000000006</v>
      </c>
    </row>
    <row r="13" spans="1:20" x14ac:dyDescent="0.25">
      <c r="A13" s="194" t="str">
        <f t="shared" si="0"/>
        <v>RECF  60*40*3</v>
      </c>
      <c r="B13" s="195">
        <f t="shared" si="1"/>
        <v>4.2454605629283577</v>
      </c>
      <c r="C13" s="148">
        <v>60</v>
      </c>
      <c r="D13" s="148">
        <v>40</v>
      </c>
      <c r="E13" s="148">
        <v>3</v>
      </c>
      <c r="F13" s="148">
        <f t="shared" si="2"/>
        <v>3</v>
      </c>
      <c r="G13" s="148">
        <f t="shared" si="3"/>
        <v>6</v>
      </c>
      <c r="H13" s="195">
        <f t="shared" si="4"/>
        <v>5.4082300164692452</v>
      </c>
      <c r="I13" s="148">
        <v>26.3</v>
      </c>
      <c r="J13" s="195">
        <f t="shared" si="5"/>
        <v>8.7666666666666675</v>
      </c>
      <c r="K13" s="148">
        <v>10.5</v>
      </c>
      <c r="L13" s="195">
        <f t="shared" si="6"/>
        <v>2.2052117463043066</v>
      </c>
      <c r="M13" s="196">
        <f t="shared" si="7"/>
        <v>2.88</v>
      </c>
      <c r="N13" s="148">
        <v>13.4</v>
      </c>
      <c r="O13" s="195">
        <f t="shared" si="8"/>
        <v>6.7</v>
      </c>
      <c r="P13" s="148">
        <v>7.92</v>
      </c>
      <c r="Q13" s="195">
        <f t="shared" si="9"/>
        <v>1.5740728279096037</v>
      </c>
      <c r="R13" s="148">
        <f t="shared" si="10"/>
        <v>1.68</v>
      </c>
      <c r="S13" s="362">
        <v>29.3</v>
      </c>
      <c r="T13" s="362">
        <v>11.2</v>
      </c>
    </row>
    <row r="14" spans="1:20" x14ac:dyDescent="0.25">
      <c r="A14" s="194" t="str">
        <f t="shared" si="0"/>
        <v>RECF  60*40*4</v>
      </c>
      <c r="B14" s="195">
        <f t="shared" si="1"/>
        <v>5.4541521118726344</v>
      </c>
      <c r="C14" s="148">
        <v>60</v>
      </c>
      <c r="D14" s="148">
        <v>40</v>
      </c>
      <c r="E14" s="148">
        <v>4</v>
      </c>
      <c r="F14" s="148">
        <f t="shared" si="2"/>
        <v>4</v>
      </c>
      <c r="G14" s="148">
        <f t="shared" si="3"/>
        <v>8</v>
      </c>
      <c r="H14" s="195">
        <f t="shared" si="4"/>
        <v>6.9479644737231006</v>
      </c>
      <c r="I14" s="148">
        <v>30.7</v>
      </c>
      <c r="J14" s="195">
        <f t="shared" si="5"/>
        <v>10.233333333333333</v>
      </c>
      <c r="K14" s="148">
        <v>13.1</v>
      </c>
      <c r="L14" s="195">
        <f t="shared" si="6"/>
        <v>2.1020371789112469</v>
      </c>
      <c r="M14" s="196">
        <f t="shared" si="7"/>
        <v>3.52</v>
      </c>
      <c r="N14" s="148">
        <v>16.100000000000001</v>
      </c>
      <c r="O14" s="195">
        <f t="shared" si="8"/>
        <v>8.0500000000000007</v>
      </c>
      <c r="P14" s="148">
        <v>9.85</v>
      </c>
      <c r="Q14" s="195">
        <f t="shared" si="9"/>
        <v>1.5222435531155292</v>
      </c>
      <c r="R14" s="148">
        <f t="shared" si="10"/>
        <v>1.92</v>
      </c>
      <c r="S14" s="362">
        <v>36.700000000000003</v>
      </c>
      <c r="T14" s="362">
        <v>13.7</v>
      </c>
    </row>
    <row r="15" spans="1:20" x14ac:dyDescent="0.25">
      <c r="A15" s="194" t="str">
        <f t="shared" si="0"/>
        <v>RECF  60*40*5</v>
      </c>
      <c r="B15" s="195">
        <f t="shared" si="1"/>
        <v>6.5596126748009915</v>
      </c>
      <c r="C15" s="148">
        <v>60</v>
      </c>
      <c r="D15" s="148">
        <v>40</v>
      </c>
      <c r="E15" s="148">
        <v>5</v>
      </c>
      <c r="F15" s="148">
        <f t="shared" si="2"/>
        <v>5</v>
      </c>
      <c r="G15" s="148">
        <f t="shared" si="3"/>
        <v>10</v>
      </c>
      <c r="H15" s="195">
        <f t="shared" si="4"/>
        <v>8.3561944901923457</v>
      </c>
      <c r="I15" s="148">
        <v>34.799999999999997</v>
      </c>
      <c r="J15" s="195">
        <f t="shared" si="5"/>
        <v>11.6</v>
      </c>
      <c r="K15" s="148">
        <v>16.3</v>
      </c>
      <c r="L15" s="195">
        <f t="shared" si="6"/>
        <v>2.0407290754247356</v>
      </c>
      <c r="M15" s="196">
        <f t="shared" si="7"/>
        <v>4</v>
      </c>
      <c r="N15" s="148">
        <v>18.100000000000001</v>
      </c>
      <c r="O15" s="195">
        <f t="shared" si="8"/>
        <v>9.0500000000000007</v>
      </c>
      <c r="P15" s="148">
        <v>11.4</v>
      </c>
      <c r="Q15" s="195">
        <f t="shared" si="9"/>
        <v>1.4717532978143939</v>
      </c>
      <c r="R15" s="148">
        <f t="shared" si="10"/>
        <v>2</v>
      </c>
      <c r="S15" s="362">
        <v>42.8</v>
      </c>
      <c r="T15" s="362">
        <v>15.6</v>
      </c>
    </row>
    <row r="16" spans="1:20" x14ac:dyDescent="0.25">
      <c r="A16" s="197" t="str">
        <f t="shared" si="0"/>
        <v>RECF  70*50*2</v>
      </c>
      <c r="B16" s="198">
        <f t="shared" si="1"/>
        <v>3.5615380279681585</v>
      </c>
      <c r="C16" s="199">
        <v>70</v>
      </c>
      <c r="D16" s="199">
        <v>50</v>
      </c>
      <c r="E16" s="199">
        <v>2</v>
      </c>
      <c r="F16" s="199">
        <f t="shared" si="2"/>
        <v>2</v>
      </c>
      <c r="G16" s="199">
        <f t="shared" si="3"/>
        <v>4</v>
      </c>
      <c r="H16" s="198">
        <f t="shared" si="4"/>
        <v>4.536991118430775</v>
      </c>
      <c r="I16" s="199">
        <v>31.4</v>
      </c>
      <c r="J16" s="198">
        <f t="shared" si="5"/>
        <v>8.9714285714285715</v>
      </c>
      <c r="K16" s="199">
        <v>10.8</v>
      </c>
      <c r="L16" s="198">
        <f t="shared" si="6"/>
        <v>2.6307577561767714</v>
      </c>
      <c r="M16" s="200">
        <f t="shared" si="7"/>
        <v>2.48</v>
      </c>
      <c r="N16" s="199">
        <v>18.7</v>
      </c>
      <c r="O16" s="198">
        <f t="shared" si="8"/>
        <v>7.4799999999999995</v>
      </c>
      <c r="P16" s="199">
        <v>8.58</v>
      </c>
      <c r="Q16" s="198">
        <f t="shared" si="9"/>
        <v>2.0301907220382449</v>
      </c>
      <c r="R16" s="199">
        <f t="shared" si="10"/>
        <v>1.68</v>
      </c>
      <c r="S16" s="200">
        <v>37.5</v>
      </c>
      <c r="T16" s="201">
        <v>12.2</v>
      </c>
    </row>
    <row r="17" spans="1:20" x14ac:dyDescent="0.25">
      <c r="A17" s="202" t="str">
        <f t="shared" si="0"/>
        <v>RECF  70*50*2.5</v>
      </c>
      <c r="B17" s="203">
        <f t="shared" si="1"/>
        <v>4.3874031687002484</v>
      </c>
      <c r="C17" s="204">
        <v>70</v>
      </c>
      <c r="D17" s="204">
        <v>50</v>
      </c>
      <c r="E17" s="204">
        <v>2.5</v>
      </c>
      <c r="F17" s="204">
        <f t="shared" si="2"/>
        <v>2.5</v>
      </c>
      <c r="G17" s="204">
        <f t="shared" si="3"/>
        <v>5</v>
      </c>
      <c r="H17" s="203">
        <f t="shared" si="4"/>
        <v>5.5890486225480869</v>
      </c>
      <c r="I17" s="204">
        <v>37.9</v>
      </c>
      <c r="J17" s="203">
        <f t="shared" si="5"/>
        <v>10.828571428571427</v>
      </c>
      <c r="K17" s="204">
        <v>13.2</v>
      </c>
      <c r="L17" s="203">
        <f t="shared" si="6"/>
        <v>2.6040580483112303</v>
      </c>
      <c r="M17" s="205">
        <f t="shared" si="7"/>
        <v>3</v>
      </c>
      <c r="N17" s="204">
        <v>22.5</v>
      </c>
      <c r="O17" s="203">
        <f t="shared" si="8"/>
        <v>9</v>
      </c>
      <c r="P17" s="204">
        <v>10.4</v>
      </c>
      <c r="Q17" s="203">
        <f t="shared" si="9"/>
        <v>2.0064221571598821</v>
      </c>
      <c r="R17" s="204">
        <f t="shared" si="10"/>
        <v>2</v>
      </c>
      <c r="S17" s="205">
        <v>45.8</v>
      </c>
      <c r="T17" s="206">
        <v>14.7</v>
      </c>
    </row>
    <row r="18" spans="1:20" x14ac:dyDescent="0.25">
      <c r="A18" s="202" t="str">
        <f t="shared" si="0"/>
        <v>RECF  70*50*3</v>
      </c>
      <c r="B18" s="203">
        <f t="shared" si="1"/>
        <v>5.187460562928357</v>
      </c>
      <c r="C18" s="204">
        <v>70</v>
      </c>
      <c r="D18" s="204">
        <v>50</v>
      </c>
      <c r="E18" s="204">
        <v>3</v>
      </c>
      <c r="F18" s="204">
        <f t="shared" si="2"/>
        <v>3</v>
      </c>
      <c r="G18" s="204">
        <f t="shared" si="3"/>
        <v>6</v>
      </c>
      <c r="H18" s="203">
        <f t="shared" si="4"/>
        <v>6.6082300164692445</v>
      </c>
      <c r="I18" s="204">
        <v>43.9</v>
      </c>
      <c r="J18" s="203">
        <f t="shared" si="5"/>
        <v>12.542857142857143</v>
      </c>
      <c r="K18" s="204">
        <v>15.4</v>
      </c>
      <c r="L18" s="203">
        <f t="shared" si="6"/>
        <v>2.5774466487025709</v>
      </c>
      <c r="M18" s="205">
        <f t="shared" si="7"/>
        <v>3.48</v>
      </c>
      <c r="N18" s="204">
        <v>26</v>
      </c>
      <c r="O18" s="203">
        <f t="shared" si="8"/>
        <v>10.4</v>
      </c>
      <c r="P18" s="204">
        <v>12.2</v>
      </c>
      <c r="Q18" s="203">
        <f t="shared" si="9"/>
        <v>1.9835543205538759</v>
      </c>
      <c r="R18" s="204">
        <f t="shared" si="10"/>
        <v>2.2800000000000002</v>
      </c>
      <c r="S18" s="205">
        <v>53.6</v>
      </c>
      <c r="T18" s="206">
        <v>17.100000000000001</v>
      </c>
    </row>
    <row r="19" spans="1:20" x14ac:dyDescent="0.25">
      <c r="A19" s="202" t="str">
        <f t="shared" si="0"/>
        <v>RECF  70*50*4</v>
      </c>
      <c r="B19" s="203">
        <f t="shared" si="1"/>
        <v>6.7101521118726337</v>
      </c>
      <c r="C19" s="204">
        <v>70</v>
      </c>
      <c r="D19" s="204">
        <v>50</v>
      </c>
      <c r="E19" s="204">
        <v>4</v>
      </c>
      <c r="F19" s="204">
        <f t="shared" si="2"/>
        <v>4</v>
      </c>
      <c r="G19" s="204">
        <f t="shared" si="3"/>
        <v>8</v>
      </c>
      <c r="H19" s="203">
        <f t="shared" si="4"/>
        <v>8.5479644737231002</v>
      </c>
      <c r="I19" s="204">
        <v>54.3</v>
      </c>
      <c r="J19" s="203">
        <f t="shared" si="5"/>
        <v>15.514285714285714</v>
      </c>
      <c r="K19" s="204">
        <v>19.399999999999999</v>
      </c>
      <c r="L19" s="203">
        <f t="shared" si="6"/>
        <v>2.5203947165066305</v>
      </c>
      <c r="M19" s="205">
        <f t="shared" si="7"/>
        <v>4.32</v>
      </c>
      <c r="N19" s="204">
        <v>32</v>
      </c>
      <c r="O19" s="203">
        <f t="shared" si="8"/>
        <v>12.8</v>
      </c>
      <c r="P19" s="204">
        <v>15.4</v>
      </c>
      <c r="Q19" s="203">
        <f t="shared" si="9"/>
        <v>1.9348336634043821</v>
      </c>
      <c r="R19" s="204">
        <f t="shared" si="10"/>
        <v>2.72</v>
      </c>
      <c r="S19" s="205">
        <v>68.099999999999994</v>
      </c>
      <c r="T19" s="206">
        <v>21.2</v>
      </c>
    </row>
    <row r="20" spans="1:20" x14ac:dyDescent="0.25">
      <c r="A20" s="207" t="str">
        <f t="shared" si="0"/>
        <v>RECF  70*50*5</v>
      </c>
      <c r="B20" s="208">
        <f t="shared" si="1"/>
        <v>8.1296126748009918</v>
      </c>
      <c r="C20" s="209">
        <v>70</v>
      </c>
      <c r="D20" s="209">
        <v>50</v>
      </c>
      <c r="E20" s="209">
        <v>5</v>
      </c>
      <c r="F20" s="209">
        <f t="shared" si="2"/>
        <v>5</v>
      </c>
      <c r="G20" s="209">
        <f t="shared" si="3"/>
        <v>10</v>
      </c>
      <c r="H20" s="208">
        <f t="shared" si="4"/>
        <v>10.356194490192346</v>
      </c>
      <c r="I20" s="209">
        <v>62.8</v>
      </c>
      <c r="J20" s="208">
        <f t="shared" si="5"/>
        <v>17.942857142857143</v>
      </c>
      <c r="K20" s="209">
        <v>23</v>
      </c>
      <c r="L20" s="208">
        <f t="shared" si="6"/>
        <v>2.4625197532658714</v>
      </c>
      <c r="M20" s="210">
        <f t="shared" si="7"/>
        <v>5</v>
      </c>
      <c r="N20" s="209">
        <v>36.799999999999997</v>
      </c>
      <c r="O20" s="208">
        <f t="shared" si="8"/>
        <v>14.719999999999999</v>
      </c>
      <c r="P20" s="209">
        <v>18.100000000000001</v>
      </c>
      <c r="Q20" s="208">
        <f t="shared" si="9"/>
        <v>1.8850540637310493</v>
      </c>
      <c r="R20" s="209">
        <f t="shared" si="10"/>
        <v>3</v>
      </c>
      <c r="S20" s="210">
        <v>80.8</v>
      </c>
      <c r="T20" s="211">
        <v>24.6</v>
      </c>
    </row>
    <row r="21" spans="1:20" x14ac:dyDescent="0.25">
      <c r="A21" s="194" t="str">
        <f t="shared" si="0"/>
        <v>RECF  80*40*2</v>
      </c>
      <c r="B21" s="195">
        <f t="shared" si="1"/>
        <v>3.5615380279681585</v>
      </c>
      <c r="C21" s="148">
        <v>80</v>
      </c>
      <c r="D21" s="148">
        <v>40</v>
      </c>
      <c r="E21" s="148">
        <v>2</v>
      </c>
      <c r="F21" s="148">
        <f t="shared" si="2"/>
        <v>2</v>
      </c>
      <c r="G21" s="148">
        <f t="shared" si="3"/>
        <v>4</v>
      </c>
      <c r="H21" s="195">
        <f t="shared" si="4"/>
        <v>4.536991118430775</v>
      </c>
      <c r="I21" s="148">
        <v>37.299999999999997</v>
      </c>
      <c r="J21" s="195">
        <f t="shared" si="5"/>
        <v>9.3249999999999993</v>
      </c>
      <c r="K21" s="148">
        <v>11.6</v>
      </c>
      <c r="L21" s="195">
        <f t="shared" si="6"/>
        <v>2.8672822840278687</v>
      </c>
      <c r="M21" s="196">
        <f t="shared" si="7"/>
        <v>2.88</v>
      </c>
      <c r="N21" s="148">
        <v>12.7</v>
      </c>
      <c r="O21" s="195">
        <f t="shared" si="8"/>
        <v>6.35</v>
      </c>
      <c r="P21" s="148">
        <v>7.17</v>
      </c>
      <c r="Q21" s="195">
        <f t="shared" si="9"/>
        <v>1.6730845776092949</v>
      </c>
      <c r="R21" s="148">
        <f t="shared" si="10"/>
        <v>1.28</v>
      </c>
      <c r="S21" s="196">
        <v>30.9</v>
      </c>
      <c r="T21" s="148">
        <v>11</v>
      </c>
    </row>
    <row r="22" spans="1:20" x14ac:dyDescent="0.25">
      <c r="A22" s="194" t="str">
        <f t="shared" si="0"/>
        <v>RECF  80*40*2.5</v>
      </c>
      <c r="B22" s="195">
        <f t="shared" si="1"/>
        <v>4.3874031687002484</v>
      </c>
      <c r="C22" s="148">
        <v>80</v>
      </c>
      <c r="D22" s="148">
        <v>40</v>
      </c>
      <c r="E22" s="148">
        <v>2.5</v>
      </c>
      <c r="F22" s="148">
        <f t="shared" si="2"/>
        <v>2.5</v>
      </c>
      <c r="G22" s="148">
        <f t="shared" si="3"/>
        <v>5</v>
      </c>
      <c r="H22" s="195">
        <f t="shared" si="4"/>
        <v>5.5890486225480869</v>
      </c>
      <c r="I22" s="148">
        <v>45</v>
      </c>
      <c r="J22" s="195">
        <f t="shared" si="5"/>
        <v>11.25</v>
      </c>
      <c r="K22" s="148">
        <v>14.1</v>
      </c>
      <c r="L22" s="195">
        <f t="shared" si="6"/>
        <v>2.8375094265013865</v>
      </c>
      <c r="M22" s="196">
        <f t="shared" si="7"/>
        <v>3.5</v>
      </c>
      <c r="N22" s="148">
        <v>15.2</v>
      </c>
      <c r="O22" s="195">
        <f t="shared" si="8"/>
        <v>7.6</v>
      </c>
      <c r="P22" s="148">
        <v>8.6999999999999993</v>
      </c>
      <c r="Q22" s="195">
        <f t="shared" si="9"/>
        <v>1.6491222455284797</v>
      </c>
      <c r="R22" s="148">
        <f t="shared" si="10"/>
        <v>1.5</v>
      </c>
      <c r="S22" s="196">
        <v>37.6</v>
      </c>
      <c r="T22" s="148">
        <v>13.2</v>
      </c>
    </row>
    <row r="23" spans="1:20" x14ac:dyDescent="0.25">
      <c r="A23" s="194" t="str">
        <f t="shared" si="0"/>
        <v>RECF  80*40*3</v>
      </c>
      <c r="B23" s="195">
        <f t="shared" si="1"/>
        <v>5.187460562928357</v>
      </c>
      <c r="C23" s="148">
        <v>80</v>
      </c>
      <c r="D23" s="148">
        <v>40</v>
      </c>
      <c r="E23" s="148">
        <v>3</v>
      </c>
      <c r="F23" s="148">
        <f t="shared" si="2"/>
        <v>3</v>
      </c>
      <c r="G23" s="148">
        <f t="shared" si="3"/>
        <v>6</v>
      </c>
      <c r="H23" s="195">
        <f t="shared" si="4"/>
        <v>6.6082300164692445</v>
      </c>
      <c r="I23" s="148">
        <v>52.1</v>
      </c>
      <c r="J23" s="195">
        <f t="shared" si="5"/>
        <v>13.025</v>
      </c>
      <c r="K23" s="148">
        <v>16.5</v>
      </c>
      <c r="L23" s="195">
        <f t="shared" si="6"/>
        <v>2.8078654045982505</v>
      </c>
      <c r="M23" s="196">
        <f t="shared" si="7"/>
        <v>4.08</v>
      </c>
      <c r="N23" s="148">
        <v>17.5</v>
      </c>
      <c r="O23" s="195">
        <f t="shared" si="8"/>
        <v>8.75</v>
      </c>
      <c r="P23" s="148">
        <v>10.1</v>
      </c>
      <c r="Q23" s="195">
        <f t="shared" si="9"/>
        <v>1.6273330647611648</v>
      </c>
      <c r="R23" s="148">
        <f t="shared" si="10"/>
        <v>1.68</v>
      </c>
      <c r="S23" s="196">
        <v>43.9</v>
      </c>
      <c r="T23" s="148">
        <v>15.3</v>
      </c>
    </row>
    <row r="24" spans="1:20" x14ac:dyDescent="0.25">
      <c r="A24" s="194" t="str">
        <f t="shared" si="0"/>
        <v>RECF  80*40*4</v>
      </c>
      <c r="B24" s="195">
        <f t="shared" si="1"/>
        <v>6.7101521118726337</v>
      </c>
      <c r="C24" s="148">
        <v>80</v>
      </c>
      <c r="D24" s="148">
        <v>40</v>
      </c>
      <c r="E24" s="148">
        <v>4</v>
      </c>
      <c r="F24" s="148">
        <f t="shared" si="2"/>
        <v>4</v>
      </c>
      <c r="G24" s="148">
        <f t="shared" si="3"/>
        <v>8</v>
      </c>
      <c r="H24" s="195">
        <f t="shared" si="4"/>
        <v>8.5479644737231002</v>
      </c>
      <c r="I24" s="148">
        <v>64.400000000000006</v>
      </c>
      <c r="J24" s="195">
        <f t="shared" si="5"/>
        <v>16.100000000000001</v>
      </c>
      <c r="K24" s="148">
        <v>20.9</v>
      </c>
      <c r="L24" s="195">
        <f t="shared" si="6"/>
        <v>2.7448055261527506</v>
      </c>
      <c r="M24" s="196">
        <f t="shared" si="7"/>
        <v>5.12</v>
      </c>
      <c r="N24" s="148">
        <v>21.3</v>
      </c>
      <c r="O24" s="195">
        <f t="shared" si="8"/>
        <v>10.65</v>
      </c>
      <c r="P24" s="148">
        <v>12.7</v>
      </c>
      <c r="Q24" s="195">
        <f t="shared" si="9"/>
        <v>1.5785503812577943</v>
      </c>
      <c r="R24" s="148">
        <f t="shared" si="10"/>
        <v>1.92</v>
      </c>
      <c r="S24" s="196">
        <v>55.2</v>
      </c>
      <c r="T24" s="148">
        <v>18.8</v>
      </c>
    </row>
    <row r="25" spans="1:20" x14ac:dyDescent="0.25">
      <c r="A25" s="194" t="str">
        <f t="shared" si="0"/>
        <v>RECF  80*40*5</v>
      </c>
      <c r="B25" s="195">
        <f t="shared" si="1"/>
        <v>8.1296126748009918</v>
      </c>
      <c r="C25" s="148">
        <v>80</v>
      </c>
      <c r="D25" s="148">
        <v>40</v>
      </c>
      <c r="E25" s="148">
        <v>5</v>
      </c>
      <c r="F25" s="148">
        <f t="shared" si="2"/>
        <v>5</v>
      </c>
      <c r="G25" s="148">
        <f t="shared" si="3"/>
        <v>10</v>
      </c>
      <c r="H25" s="195">
        <f t="shared" si="4"/>
        <v>10.356194490192346</v>
      </c>
      <c r="I25" s="148">
        <v>74.400000000000006</v>
      </c>
      <c r="J25" s="195">
        <f t="shared" si="5"/>
        <v>18.600000000000001</v>
      </c>
      <c r="K25" s="148">
        <v>24.6</v>
      </c>
      <c r="L25" s="195">
        <f t="shared" si="6"/>
        <v>2.6803182831626371</v>
      </c>
      <c r="M25" s="196">
        <f t="shared" si="7"/>
        <v>6</v>
      </c>
      <c r="N25" s="148">
        <v>24.2</v>
      </c>
      <c r="O25" s="195">
        <f t="shared" si="8"/>
        <v>12.1</v>
      </c>
      <c r="P25" s="148">
        <v>14.9</v>
      </c>
      <c r="Q25" s="195">
        <f t="shared" si="9"/>
        <v>1.528648322378342</v>
      </c>
      <c r="R25" s="148">
        <f t="shared" si="10"/>
        <v>2</v>
      </c>
      <c r="S25" s="196">
        <v>65</v>
      </c>
      <c r="T25" s="148">
        <v>21.7</v>
      </c>
    </row>
    <row r="26" spans="1:20" x14ac:dyDescent="0.25">
      <c r="A26" s="197" t="str">
        <f t="shared" si="0"/>
        <v>RECF  80*60*2</v>
      </c>
      <c r="B26" s="198">
        <f t="shared" si="1"/>
        <v>4.1895380279681582</v>
      </c>
      <c r="C26" s="199">
        <v>80</v>
      </c>
      <c r="D26" s="199">
        <v>60</v>
      </c>
      <c r="E26" s="199">
        <v>2</v>
      </c>
      <c r="F26" s="199">
        <f t="shared" si="2"/>
        <v>2</v>
      </c>
      <c r="G26" s="199">
        <f t="shared" si="3"/>
        <v>4</v>
      </c>
      <c r="H26" s="198">
        <f t="shared" si="4"/>
        <v>5.3369911184307748</v>
      </c>
      <c r="I26" s="199">
        <v>49.5</v>
      </c>
      <c r="J26" s="198">
        <f t="shared" si="5"/>
        <v>12.375</v>
      </c>
      <c r="K26" s="199">
        <v>14.7</v>
      </c>
      <c r="L26" s="198">
        <f t="shared" si="6"/>
        <v>3.0454702361473793</v>
      </c>
      <c r="M26" s="200">
        <f t="shared" si="7"/>
        <v>2.88</v>
      </c>
      <c r="N26" s="199">
        <v>31.8</v>
      </c>
      <c r="O26" s="198">
        <f t="shared" si="8"/>
        <v>10.6</v>
      </c>
      <c r="P26" s="199">
        <v>12.1</v>
      </c>
      <c r="Q26" s="198">
        <f t="shared" si="9"/>
        <v>2.4409861763683347</v>
      </c>
      <c r="R26" s="199">
        <f t="shared" si="10"/>
        <v>2.08</v>
      </c>
      <c r="S26" s="200">
        <v>61.2</v>
      </c>
      <c r="T26" s="201">
        <v>17.100000000000001</v>
      </c>
    </row>
    <row r="27" spans="1:20" x14ac:dyDescent="0.25">
      <c r="A27" s="202" t="str">
        <f t="shared" si="0"/>
        <v>RECF  80*60*2.5</v>
      </c>
      <c r="B27" s="203">
        <f t="shared" si="1"/>
        <v>5.1724031687002485</v>
      </c>
      <c r="C27" s="204">
        <v>80</v>
      </c>
      <c r="D27" s="204">
        <v>60</v>
      </c>
      <c r="E27" s="204">
        <v>2.5</v>
      </c>
      <c r="F27" s="204">
        <f t="shared" si="2"/>
        <v>2.5</v>
      </c>
      <c r="G27" s="204">
        <f t="shared" si="3"/>
        <v>5</v>
      </c>
      <c r="H27" s="203">
        <f t="shared" si="4"/>
        <v>6.5890486225480869</v>
      </c>
      <c r="I27" s="204">
        <v>60</v>
      </c>
      <c r="J27" s="203">
        <f t="shared" si="5"/>
        <v>15</v>
      </c>
      <c r="K27" s="204">
        <v>18</v>
      </c>
      <c r="L27" s="203">
        <f t="shared" si="6"/>
        <v>3.0176180514156234</v>
      </c>
      <c r="M27" s="205">
        <f t="shared" si="7"/>
        <v>3.5</v>
      </c>
      <c r="N27" s="204">
        <v>38.5</v>
      </c>
      <c r="O27" s="203">
        <f t="shared" si="8"/>
        <v>12.833333333333334</v>
      </c>
      <c r="P27" s="204">
        <v>14.8</v>
      </c>
      <c r="Q27" s="203">
        <f t="shared" si="9"/>
        <v>2.4172357494764993</v>
      </c>
      <c r="R27" s="204">
        <f t="shared" si="10"/>
        <v>2.5</v>
      </c>
      <c r="S27" s="205">
        <v>75.099999999999994</v>
      </c>
      <c r="T27" s="206">
        <v>20.7</v>
      </c>
    </row>
    <row r="28" spans="1:20" x14ac:dyDescent="0.25">
      <c r="A28" s="202" t="str">
        <f t="shared" si="0"/>
        <v>RECF  80*60*3</v>
      </c>
      <c r="B28" s="203">
        <f t="shared" si="1"/>
        <v>6.1294605629283572</v>
      </c>
      <c r="C28" s="204">
        <v>80</v>
      </c>
      <c r="D28" s="204">
        <v>60</v>
      </c>
      <c r="E28" s="204">
        <v>3</v>
      </c>
      <c r="F28" s="204">
        <f t="shared" si="2"/>
        <v>3</v>
      </c>
      <c r="G28" s="204">
        <f t="shared" si="3"/>
        <v>6</v>
      </c>
      <c r="H28" s="203">
        <f t="shared" si="4"/>
        <v>7.8082300164692446</v>
      </c>
      <c r="I28" s="204">
        <v>69.900000000000006</v>
      </c>
      <c r="J28" s="203">
        <f t="shared" si="5"/>
        <v>17.475000000000001</v>
      </c>
      <c r="K28" s="204">
        <v>21.1</v>
      </c>
      <c r="L28" s="203">
        <f t="shared" si="6"/>
        <v>2.9920048190117288</v>
      </c>
      <c r="M28" s="205">
        <f t="shared" si="7"/>
        <v>4.08</v>
      </c>
      <c r="N28" s="204">
        <v>44.8</v>
      </c>
      <c r="O28" s="203">
        <f t="shared" si="8"/>
        <v>14.933333333333332</v>
      </c>
      <c r="P28" s="204">
        <v>17.399999999999999</v>
      </c>
      <c r="Q28" s="203">
        <f t="shared" si="9"/>
        <v>2.3953154062719939</v>
      </c>
      <c r="R28" s="204">
        <f t="shared" si="10"/>
        <v>2.88</v>
      </c>
      <c r="S28" s="205">
        <v>88.3</v>
      </c>
      <c r="T28" s="206">
        <v>24.1</v>
      </c>
    </row>
    <row r="29" spans="1:20" x14ac:dyDescent="0.25">
      <c r="A29" s="202" t="str">
        <f t="shared" si="0"/>
        <v>RECF  80*60*4</v>
      </c>
      <c r="B29" s="203">
        <f t="shared" si="1"/>
        <v>7.9661521118726339</v>
      </c>
      <c r="C29" s="204">
        <v>80</v>
      </c>
      <c r="D29" s="204">
        <v>60</v>
      </c>
      <c r="E29" s="204">
        <v>4</v>
      </c>
      <c r="F29" s="204">
        <f t="shared" si="2"/>
        <v>4</v>
      </c>
      <c r="G29" s="204">
        <f t="shared" si="3"/>
        <v>8</v>
      </c>
      <c r="H29" s="203">
        <f t="shared" si="4"/>
        <v>10.1479644737231</v>
      </c>
      <c r="I29" s="204">
        <v>87.5</v>
      </c>
      <c r="J29" s="203">
        <f t="shared" si="5"/>
        <v>21.875</v>
      </c>
      <c r="K29" s="204">
        <v>26.9</v>
      </c>
      <c r="L29" s="203">
        <f t="shared" si="6"/>
        <v>2.9363955512682525</v>
      </c>
      <c r="M29" s="205">
        <f t="shared" si="7"/>
        <v>5.12</v>
      </c>
      <c r="N29" s="204">
        <v>55.8</v>
      </c>
      <c r="O29" s="203">
        <f t="shared" si="8"/>
        <v>18.599999999999998</v>
      </c>
      <c r="P29" s="204">
        <v>22.1</v>
      </c>
      <c r="Q29" s="203">
        <f t="shared" si="9"/>
        <v>2.3449178381214018</v>
      </c>
      <c r="R29" s="204">
        <f t="shared" si="10"/>
        <v>3.52</v>
      </c>
      <c r="S29" s="205">
        <v>113</v>
      </c>
      <c r="T29" s="206">
        <v>30.3</v>
      </c>
    </row>
    <row r="30" spans="1:20" x14ac:dyDescent="0.25">
      <c r="A30" s="207" t="str">
        <f t="shared" si="0"/>
        <v>RECF  80*60*5</v>
      </c>
      <c r="B30" s="208">
        <f t="shared" si="1"/>
        <v>9.6996126748009921</v>
      </c>
      <c r="C30" s="209">
        <v>80</v>
      </c>
      <c r="D30" s="209">
        <v>60</v>
      </c>
      <c r="E30" s="209">
        <v>5</v>
      </c>
      <c r="F30" s="209">
        <f t="shared" si="2"/>
        <v>5</v>
      </c>
      <c r="G30" s="209">
        <f t="shared" si="3"/>
        <v>10</v>
      </c>
      <c r="H30" s="208">
        <f t="shared" si="4"/>
        <v>12.356194490192346</v>
      </c>
      <c r="I30" s="209">
        <v>103</v>
      </c>
      <c r="J30" s="208">
        <f t="shared" si="5"/>
        <v>25.75</v>
      </c>
      <c r="K30" s="209">
        <v>32.1</v>
      </c>
      <c r="L30" s="208">
        <f t="shared" si="6"/>
        <v>2.8871958482928468</v>
      </c>
      <c r="M30" s="210">
        <f t="shared" si="7"/>
        <v>6</v>
      </c>
      <c r="N30" s="209">
        <v>65.099999999999994</v>
      </c>
      <c r="O30" s="208">
        <f t="shared" si="8"/>
        <v>21.7</v>
      </c>
      <c r="P30" s="209">
        <v>26.3</v>
      </c>
      <c r="Q30" s="208">
        <f t="shared" si="9"/>
        <v>2.2953458214027593</v>
      </c>
      <c r="R30" s="209">
        <f t="shared" si="10"/>
        <v>4</v>
      </c>
      <c r="S30" s="210">
        <v>136</v>
      </c>
      <c r="T30" s="211">
        <v>35.700000000000003</v>
      </c>
    </row>
    <row r="31" spans="1:20" x14ac:dyDescent="0.25">
      <c r="A31" s="194" t="str">
        <f t="shared" si="0"/>
        <v>RECF  90*50*2</v>
      </c>
      <c r="B31" s="195">
        <f t="shared" si="1"/>
        <v>4.1895380279681582</v>
      </c>
      <c r="C31" s="148">
        <v>90</v>
      </c>
      <c r="D31" s="148">
        <v>50</v>
      </c>
      <c r="E31" s="148">
        <v>2</v>
      </c>
      <c r="F31" s="148">
        <f t="shared" si="2"/>
        <v>2</v>
      </c>
      <c r="G31" s="148">
        <f t="shared" si="3"/>
        <v>4</v>
      </c>
      <c r="H31" s="195">
        <f t="shared" si="4"/>
        <v>5.3369911184307748</v>
      </c>
      <c r="I31" s="148">
        <v>57.8</v>
      </c>
      <c r="J31" s="195">
        <f t="shared" si="5"/>
        <v>12.844444444444443</v>
      </c>
      <c r="K31" s="148">
        <v>15.7</v>
      </c>
      <c r="L31" s="195">
        <f t="shared" si="6"/>
        <v>3.2909075284044613</v>
      </c>
      <c r="M31" s="196">
        <f t="shared" si="7"/>
        <v>3.2800000000000002</v>
      </c>
      <c r="N31" s="148">
        <v>23.3</v>
      </c>
      <c r="O31" s="195">
        <f t="shared" si="8"/>
        <v>9.32</v>
      </c>
      <c r="P31" s="148">
        <v>10.5</v>
      </c>
      <c r="Q31" s="195">
        <f t="shared" si="9"/>
        <v>2.0894391144865709</v>
      </c>
      <c r="R31" s="148">
        <f t="shared" si="10"/>
        <v>1.68</v>
      </c>
      <c r="S31" s="196">
        <v>53.4</v>
      </c>
      <c r="T31" s="148">
        <v>15.9</v>
      </c>
    </row>
    <row r="32" spans="1:20" x14ac:dyDescent="0.25">
      <c r="A32" s="194" t="str">
        <f t="shared" si="0"/>
        <v>RECF  90*50*2.5</v>
      </c>
      <c r="B32" s="195">
        <f t="shared" si="1"/>
        <v>5.1724031687002485</v>
      </c>
      <c r="C32" s="148">
        <v>90</v>
      </c>
      <c r="D32" s="148">
        <v>50</v>
      </c>
      <c r="E32" s="148">
        <v>2.5</v>
      </c>
      <c r="F32" s="148">
        <f t="shared" si="2"/>
        <v>2.5</v>
      </c>
      <c r="G32" s="148">
        <f t="shared" si="3"/>
        <v>5</v>
      </c>
      <c r="H32" s="195">
        <f t="shared" si="4"/>
        <v>6.5890486225480869</v>
      </c>
      <c r="I32" s="148">
        <v>70.2</v>
      </c>
      <c r="J32" s="195">
        <f t="shared" si="5"/>
        <v>15.600000000000001</v>
      </c>
      <c r="K32" s="148">
        <v>19.2</v>
      </c>
      <c r="L32" s="195">
        <f t="shared" si="6"/>
        <v>3.2640529842434276</v>
      </c>
      <c r="M32" s="196">
        <f t="shared" si="7"/>
        <v>4</v>
      </c>
      <c r="N32" s="148">
        <v>28.2</v>
      </c>
      <c r="O32" s="195">
        <f t="shared" si="8"/>
        <v>11.28</v>
      </c>
      <c r="P32" s="148">
        <v>12.8</v>
      </c>
      <c r="Q32" s="195">
        <f t="shared" si="9"/>
        <v>2.0687747076440752</v>
      </c>
      <c r="R32" s="148">
        <f t="shared" si="10"/>
        <v>2</v>
      </c>
      <c r="S32" s="196">
        <v>65.3</v>
      </c>
      <c r="T32" s="148">
        <v>19.2</v>
      </c>
    </row>
    <row r="33" spans="1:20" x14ac:dyDescent="0.25">
      <c r="A33" s="194" t="str">
        <f t="shared" si="0"/>
        <v>RECF  90*50*3</v>
      </c>
      <c r="B33" s="195">
        <f t="shared" si="1"/>
        <v>6.1294605629283572</v>
      </c>
      <c r="C33" s="148">
        <v>90</v>
      </c>
      <c r="D33" s="148">
        <v>50</v>
      </c>
      <c r="E33" s="148">
        <v>3</v>
      </c>
      <c r="F33" s="148">
        <f t="shared" si="2"/>
        <v>3</v>
      </c>
      <c r="G33" s="148">
        <f t="shared" si="3"/>
        <v>6</v>
      </c>
      <c r="H33" s="195">
        <f t="shared" si="4"/>
        <v>7.8082300164692446</v>
      </c>
      <c r="I33" s="148">
        <v>81.7</v>
      </c>
      <c r="J33" s="195">
        <f t="shared" si="5"/>
        <v>18.155555555555555</v>
      </c>
      <c r="K33" s="148">
        <v>22.6</v>
      </c>
      <c r="L33" s="195">
        <f t="shared" si="6"/>
        <v>3.2347053667175265</v>
      </c>
      <c r="M33" s="196">
        <f t="shared" si="7"/>
        <v>4.68</v>
      </c>
      <c r="N33" s="148">
        <v>32.6</v>
      </c>
      <c r="O33" s="195">
        <f t="shared" si="8"/>
        <v>13.040000000000001</v>
      </c>
      <c r="P33" s="148">
        <v>15</v>
      </c>
      <c r="Q33" s="195">
        <f t="shared" si="9"/>
        <v>2.0433017212284219</v>
      </c>
      <c r="R33" s="148">
        <f t="shared" si="10"/>
        <v>2.2800000000000002</v>
      </c>
      <c r="S33" s="196">
        <v>76.7</v>
      </c>
      <c r="T33" s="148">
        <v>22.4</v>
      </c>
    </row>
    <row r="34" spans="1:20" x14ac:dyDescent="0.25">
      <c r="A34" s="194" t="str">
        <f t="shared" si="0"/>
        <v>RECF  90*50*4</v>
      </c>
      <c r="B34" s="195">
        <f t="shared" si="1"/>
        <v>7.9661521118726339</v>
      </c>
      <c r="C34" s="148">
        <v>90</v>
      </c>
      <c r="D34" s="148">
        <v>50</v>
      </c>
      <c r="E34" s="148">
        <v>4</v>
      </c>
      <c r="F34" s="148">
        <f t="shared" si="2"/>
        <v>4</v>
      </c>
      <c r="G34" s="148">
        <f t="shared" si="3"/>
        <v>8</v>
      </c>
      <c r="H34" s="195">
        <f t="shared" si="4"/>
        <v>10.1479644737231</v>
      </c>
      <c r="I34" s="148">
        <v>102</v>
      </c>
      <c r="J34" s="195">
        <f t="shared" si="5"/>
        <v>22.666666666666668</v>
      </c>
      <c r="K34" s="148">
        <v>28.8</v>
      </c>
      <c r="L34" s="195">
        <f t="shared" si="6"/>
        <v>3.1703748692594957</v>
      </c>
      <c r="M34" s="196">
        <f t="shared" si="7"/>
        <v>5.92</v>
      </c>
      <c r="N34" s="148">
        <v>40.5</v>
      </c>
      <c r="O34" s="195">
        <f t="shared" si="8"/>
        <v>16.2</v>
      </c>
      <c r="P34" s="148">
        <v>19</v>
      </c>
      <c r="Q34" s="195">
        <f t="shared" si="9"/>
        <v>1.9977357547471397</v>
      </c>
      <c r="R34" s="148">
        <f t="shared" si="10"/>
        <v>2.72</v>
      </c>
      <c r="S34" s="196">
        <v>97.7</v>
      </c>
      <c r="T34" s="148">
        <v>28</v>
      </c>
    </row>
    <row r="35" spans="1:20" x14ac:dyDescent="0.25">
      <c r="A35" s="194" t="str">
        <f t="shared" si="0"/>
        <v>RECF  90*50*5</v>
      </c>
      <c r="B35" s="195">
        <f t="shared" si="1"/>
        <v>9.6996126748009921</v>
      </c>
      <c r="C35" s="148">
        <v>90</v>
      </c>
      <c r="D35" s="148">
        <v>50</v>
      </c>
      <c r="E35" s="148">
        <v>5</v>
      </c>
      <c r="F35" s="148">
        <f t="shared" si="2"/>
        <v>5</v>
      </c>
      <c r="G35" s="148">
        <f t="shared" si="3"/>
        <v>10</v>
      </c>
      <c r="H35" s="195">
        <f t="shared" si="4"/>
        <v>12.356194490192346</v>
      </c>
      <c r="I35" s="148">
        <v>120</v>
      </c>
      <c r="J35" s="195">
        <f t="shared" si="5"/>
        <v>26.666666666666668</v>
      </c>
      <c r="K35" s="148">
        <v>34.299999999999997</v>
      </c>
      <c r="L35" s="195">
        <f t="shared" si="6"/>
        <v>3.1163645485868114</v>
      </c>
      <c r="M35" s="196">
        <f t="shared" si="7"/>
        <v>7</v>
      </c>
      <c r="N35" s="148">
        <v>46.9</v>
      </c>
      <c r="O35" s="195">
        <f t="shared" si="8"/>
        <v>18.759999999999998</v>
      </c>
      <c r="P35" s="148">
        <v>22.6</v>
      </c>
      <c r="Q35" s="195">
        <f t="shared" si="9"/>
        <v>1.9482471677241038</v>
      </c>
      <c r="R35" s="148">
        <f t="shared" si="10"/>
        <v>3</v>
      </c>
      <c r="S35" s="196">
        <v>116</v>
      </c>
      <c r="T35" s="148">
        <v>32.700000000000003</v>
      </c>
    </row>
    <row r="36" spans="1:20" x14ac:dyDescent="0.25">
      <c r="A36" s="197" t="str">
        <f t="shared" si="0"/>
        <v>RECF  100*40*2.5</v>
      </c>
      <c r="B36" s="198">
        <f t="shared" si="1"/>
        <v>5.1724031687002485</v>
      </c>
      <c r="C36" s="199">
        <v>100</v>
      </c>
      <c r="D36" s="199">
        <v>40</v>
      </c>
      <c r="E36" s="199">
        <v>2.5</v>
      </c>
      <c r="F36" s="199">
        <f t="shared" si="2"/>
        <v>2.5</v>
      </c>
      <c r="G36" s="199">
        <f t="shared" si="3"/>
        <v>5</v>
      </c>
      <c r="H36" s="198">
        <f t="shared" si="4"/>
        <v>6.5890486225480869</v>
      </c>
      <c r="I36" s="199">
        <v>79.2</v>
      </c>
      <c r="J36" s="198">
        <f t="shared" si="5"/>
        <v>15.84</v>
      </c>
      <c r="K36" s="199">
        <v>20.2</v>
      </c>
      <c r="L36" s="198">
        <f t="shared" si="6"/>
        <v>3.4669791879362126</v>
      </c>
      <c r="M36" s="200">
        <f t="shared" si="7"/>
        <v>4.5</v>
      </c>
      <c r="N36" s="199">
        <v>18.7</v>
      </c>
      <c r="O36" s="198">
        <f t="shared" si="8"/>
        <v>9.35</v>
      </c>
      <c r="P36" s="199">
        <v>10.6</v>
      </c>
      <c r="Q36" s="198">
        <f t="shared" si="9"/>
        <v>1.6846490721071565</v>
      </c>
      <c r="R36" s="199">
        <f t="shared" si="10"/>
        <v>1.5</v>
      </c>
      <c r="S36" s="200">
        <v>50.5</v>
      </c>
      <c r="T36" s="201">
        <v>16.8</v>
      </c>
    </row>
    <row r="37" spans="1:20" x14ac:dyDescent="0.25">
      <c r="A37" s="202" t="str">
        <f t="shared" si="0"/>
        <v>RECF  100*40*3</v>
      </c>
      <c r="B37" s="203">
        <f t="shared" si="1"/>
        <v>6.1294605629283572</v>
      </c>
      <c r="C37" s="204">
        <v>100</v>
      </c>
      <c r="D37" s="204">
        <v>40</v>
      </c>
      <c r="E37" s="204">
        <v>3</v>
      </c>
      <c r="F37" s="204">
        <f t="shared" si="2"/>
        <v>3</v>
      </c>
      <c r="G37" s="204">
        <f t="shared" si="3"/>
        <v>6</v>
      </c>
      <c r="H37" s="203">
        <f t="shared" si="4"/>
        <v>7.8082300164692446</v>
      </c>
      <c r="I37" s="204">
        <v>92.1</v>
      </c>
      <c r="J37" s="203">
        <f t="shared" si="5"/>
        <v>18.419999999999998</v>
      </c>
      <c r="K37" s="204">
        <v>23.7</v>
      </c>
      <c r="L37" s="203">
        <f t="shared" si="6"/>
        <v>3.4344208806169636</v>
      </c>
      <c r="M37" s="205">
        <f t="shared" si="7"/>
        <v>5.28</v>
      </c>
      <c r="N37" s="204">
        <v>21.6</v>
      </c>
      <c r="O37" s="203">
        <f t="shared" si="8"/>
        <v>10.8</v>
      </c>
      <c r="P37" s="204">
        <v>12.4</v>
      </c>
      <c r="Q37" s="203">
        <f t="shared" si="9"/>
        <v>1.6632233613161005</v>
      </c>
      <c r="R37" s="204">
        <f t="shared" si="10"/>
        <v>1.68</v>
      </c>
      <c r="S37" s="205">
        <v>59</v>
      </c>
      <c r="T37" s="206">
        <v>19.399999999999999</v>
      </c>
    </row>
    <row r="38" spans="1:20" x14ac:dyDescent="0.25">
      <c r="A38" s="202" t="str">
        <f t="shared" si="0"/>
        <v>RECF  100*40*4</v>
      </c>
      <c r="B38" s="203">
        <f t="shared" si="1"/>
        <v>7.9661521118726339</v>
      </c>
      <c r="C38" s="204">
        <v>100</v>
      </c>
      <c r="D38" s="204">
        <v>40</v>
      </c>
      <c r="E38" s="204">
        <v>4</v>
      </c>
      <c r="F38" s="204">
        <f t="shared" si="2"/>
        <v>4</v>
      </c>
      <c r="G38" s="204">
        <f t="shared" si="3"/>
        <v>8</v>
      </c>
      <c r="H38" s="203">
        <f t="shared" si="4"/>
        <v>10.1479644737231</v>
      </c>
      <c r="I38" s="204">
        <v>115</v>
      </c>
      <c r="J38" s="203">
        <f t="shared" si="5"/>
        <v>23</v>
      </c>
      <c r="K38" s="204">
        <v>30.2</v>
      </c>
      <c r="L38" s="203">
        <f t="shared" si="6"/>
        <v>3.3663514218613058</v>
      </c>
      <c r="M38" s="205">
        <f t="shared" si="7"/>
        <v>6.72</v>
      </c>
      <c r="N38" s="204">
        <v>26.5</v>
      </c>
      <c r="O38" s="203">
        <f t="shared" si="8"/>
        <v>13.25</v>
      </c>
      <c r="P38" s="204">
        <v>15.6</v>
      </c>
      <c r="Q38" s="203">
        <f t="shared" si="9"/>
        <v>1.6159706471448814</v>
      </c>
      <c r="R38" s="204">
        <f t="shared" si="10"/>
        <v>1.92</v>
      </c>
      <c r="S38" s="205">
        <v>74.5</v>
      </c>
      <c r="T38" s="206">
        <v>24</v>
      </c>
    </row>
    <row r="39" spans="1:20" x14ac:dyDescent="0.25">
      <c r="A39" s="207" t="str">
        <f t="shared" si="0"/>
        <v>RECF  100*40*5</v>
      </c>
      <c r="B39" s="208">
        <f t="shared" si="1"/>
        <v>9.6996126748009921</v>
      </c>
      <c r="C39" s="209">
        <v>100</v>
      </c>
      <c r="D39" s="209">
        <v>40</v>
      </c>
      <c r="E39" s="209">
        <v>5</v>
      </c>
      <c r="F39" s="209">
        <f t="shared" si="2"/>
        <v>5</v>
      </c>
      <c r="G39" s="209">
        <f t="shared" si="3"/>
        <v>10</v>
      </c>
      <c r="H39" s="208">
        <f t="shared" si="4"/>
        <v>12.356194490192346</v>
      </c>
      <c r="I39" s="209">
        <v>135</v>
      </c>
      <c r="J39" s="208">
        <f t="shared" si="5"/>
        <v>27</v>
      </c>
      <c r="K39" s="209">
        <v>36</v>
      </c>
      <c r="L39" s="208">
        <f t="shared" si="6"/>
        <v>3.3054037574326323</v>
      </c>
      <c r="M39" s="210">
        <f t="shared" si="7"/>
        <v>8</v>
      </c>
      <c r="N39" s="209">
        <v>30.4</v>
      </c>
      <c r="O39" s="208">
        <f t="shared" si="8"/>
        <v>15.2</v>
      </c>
      <c r="P39" s="209">
        <v>18.399999999999999</v>
      </c>
      <c r="Q39" s="208">
        <f t="shared" si="9"/>
        <v>1.5685357587851794</v>
      </c>
      <c r="R39" s="209">
        <f t="shared" si="10"/>
        <v>2</v>
      </c>
      <c r="S39" s="210">
        <v>87.9</v>
      </c>
      <c r="T39" s="211">
        <v>27.9</v>
      </c>
    </row>
    <row r="40" spans="1:20" x14ac:dyDescent="0.25">
      <c r="A40" s="194" t="str">
        <f t="shared" si="0"/>
        <v>RECF  100*50*2.5</v>
      </c>
      <c r="B40" s="195">
        <f t="shared" si="1"/>
        <v>5.5649031687002486</v>
      </c>
      <c r="C40" s="148">
        <v>100</v>
      </c>
      <c r="D40" s="148">
        <v>50</v>
      </c>
      <c r="E40" s="148">
        <v>2.5</v>
      </c>
      <c r="F40" s="148">
        <f t="shared" si="2"/>
        <v>2.5</v>
      </c>
      <c r="G40" s="148">
        <f t="shared" si="3"/>
        <v>5</v>
      </c>
      <c r="H40" s="195">
        <f t="shared" si="4"/>
        <v>7.0890486225480869</v>
      </c>
      <c r="I40" s="148">
        <v>91.1</v>
      </c>
      <c r="J40" s="195">
        <f t="shared" si="5"/>
        <v>18.22</v>
      </c>
      <c r="K40" s="148">
        <v>22.7</v>
      </c>
      <c r="L40" s="195">
        <f t="shared" si="6"/>
        <v>3.5848023114158498</v>
      </c>
      <c r="M40" s="196">
        <f t="shared" si="7"/>
        <v>4.5</v>
      </c>
      <c r="N40" s="148">
        <v>31</v>
      </c>
      <c r="O40" s="195">
        <f t="shared" si="8"/>
        <v>12.4</v>
      </c>
      <c r="P40" s="148">
        <v>14</v>
      </c>
      <c r="Q40" s="195">
        <f t="shared" si="9"/>
        <v>2.0911581042602272</v>
      </c>
      <c r="R40" s="148">
        <f t="shared" si="10"/>
        <v>2</v>
      </c>
      <c r="S40" s="196">
        <v>75.400000000000006</v>
      </c>
      <c r="T40" s="148">
        <v>21.5</v>
      </c>
    </row>
    <row r="41" spans="1:20" x14ac:dyDescent="0.25">
      <c r="A41" s="194" t="str">
        <f t="shared" si="0"/>
        <v>RECF  100*50*3</v>
      </c>
      <c r="B41" s="195">
        <f t="shared" si="1"/>
        <v>6.6004605629283581</v>
      </c>
      <c r="C41" s="148">
        <v>100</v>
      </c>
      <c r="D41" s="148">
        <v>50</v>
      </c>
      <c r="E41" s="148">
        <v>3</v>
      </c>
      <c r="F41" s="148">
        <f t="shared" si="2"/>
        <v>3</v>
      </c>
      <c r="G41" s="148">
        <f t="shared" si="3"/>
        <v>6</v>
      </c>
      <c r="H41" s="195">
        <f t="shared" si="4"/>
        <v>8.4082300164692452</v>
      </c>
      <c r="I41" s="148">
        <v>106</v>
      </c>
      <c r="J41" s="195">
        <f t="shared" si="5"/>
        <v>21.2</v>
      </c>
      <c r="K41" s="148">
        <v>26.6</v>
      </c>
      <c r="L41" s="195">
        <f t="shared" si="6"/>
        <v>3.5505909414929482</v>
      </c>
      <c r="M41" s="196">
        <f t="shared" si="7"/>
        <v>5.28</v>
      </c>
      <c r="N41" s="148">
        <v>36</v>
      </c>
      <c r="O41" s="195">
        <f t="shared" si="8"/>
        <v>14.4</v>
      </c>
      <c r="P41" s="148">
        <v>16.399999999999999</v>
      </c>
      <c r="Q41" s="195">
        <f t="shared" si="9"/>
        <v>2.0691832706915214</v>
      </c>
      <c r="R41" s="148">
        <f t="shared" si="10"/>
        <v>2.2800000000000002</v>
      </c>
      <c r="S41" s="196">
        <v>88.6</v>
      </c>
      <c r="T41" s="148">
        <v>25</v>
      </c>
    </row>
    <row r="42" spans="1:20" x14ac:dyDescent="0.25">
      <c r="A42" s="194" t="str">
        <f t="shared" si="0"/>
        <v>RECF  100*50*4</v>
      </c>
      <c r="B42" s="195">
        <f t="shared" si="1"/>
        <v>8.5941521118726349</v>
      </c>
      <c r="C42" s="148">
        <v>100</v>
      </c>
      <c r="D42" s="148">
        <v>50</v>
      </c>
      <c r="E42" s="148">
        <v>4</v>
      </c>
      <c r="F42" s="148">
        <f t="shared" si="2"/>
        <v>4</v>
      </c>
      <c r="G42" s="148">
        <f t="shared" si="3"/>
        <v>8</v>
      </c>
      <c r="H42" s="195">
        <f t="shared" si="4"/>
        <v>10.947964473723101</v>
      </c>
      <c r="I42" s="148">
        <v>134</v>
      </c>
      <c r="J42" s="195">
        <f t="shared" si="5"/>
        <v>26.8</v>
      </c>
      <c r="K42" s="148">
        <v>34</v>
      </c>
      <c r="L42" s="195">
        <f t="shared" si="6"/>
        <v>3.4985308628040044</v>
      </c>
      <c r="M42" s="196">
        <f t="shared" si="7"/>
        <v>6.72</v>
      </c>
      <c r="N42" s="148">
        <v>44.7</v>
      </c>
      <c r="O42" s="195">
        <f t="shared" si="8"/>
        <v>17.880000000000003</v>
      </c>
      <c r="P42" s="148">
        <v>20.9</v>
      </c>
      <c r="Q42" s="195">
        <f t="shared" si="9"/>
        <v>2.0206312805697082</v>
      </c>
      <c r="R42" s="148">
        <f t="shared" si="10"/>
        <v>2.72</v>
      </c>
      <c r="S42" s="196">
        <v>113</v>
      </c>
      <c r="T42" s="148">
        <v>31.3</v>
      </c>
    </row>
    <row r="43" spans="1:20" x14ac:dyDescent="0.25">
      <c r="A43" s="194" t="str">
        <f t="shared" si="0"/>
        <v>RECF  100*50*5</v>
      </c>
      <c r="B43" s="195">
        <f t="shared" si="1"/>
        <v>10.484612674800992</v>
      </c>
      <c r="C43" s="148">
        <v>100</v>
      </c>
      <c r="D43" s="148">
        <v>50</v>
      </c>
      <c r="E43" s="148">
        <v>5</v>
      </c>
      <c r="F43" s="148">
        <f t="shared" si="2"/>
        <v>5</v>
      </c>
      <c r="G43" s="148">
        <f t="shared" si="3"/>
        <v>10</v>
      </c>
      <c r="H43" s="195">
        <f t="shared" si="4"/>
        <v>13.356194490192346</v>
      </c>
      <c r="I43" s="148">
        <v>157</v>
      </c>
      <c r="J43" s="195">
        <f t="shared" si="5"/>
        <v>31.4</v>
      </c>
      <c r="K43" s="148">
        <v>40.700000000000003</v>
      </c>
      <c r="L43" s="195">
        <f t="shared" si="6"/>
        <v>3.4285339866821301</v>
      </c>
      <c r="M43" s="196">
        <f t="shared" si="7"/>
        <v>8</v>
      </c>
      <c r="N43" s="148">
        <v>52</v>
      </c>
      <c r="O43" s="195">
        <f t="shared" si="8"/>
        <v>20.8</v>
      </c>
      <c r="P43" s="148">
        <v>24.9</v>
      </c>
      <c r="Q43" s="195">
        <f t="shared" si="9"/>
        <v>1.9731509210510316</v>
      </c>
      <c r="R43" s="148">
        <f t="shared" si="10"/>
        <v>3</v>
      </c>
      <c r="S43" s="196">
        <v>135</v>
      </c>
      <c r="T43" s="148">
        <v>36.799999999999997</v>
      </c>
    </row>
    <row r="44" spans="1:20" x14ac:dyDescent="0.25">
      <c r="A44" s="194" t="str">
        <f t="shared" si="0"/>
        <v>RECF  100*50*6</v>
      </c>
      <c r="B44" s="195">
        <f t="shared" si="1"/>
        <v>12.271842251713428</v>
      </c>
      <c r="C44" s="148">
        <v>100</v>
      </c>
      <c r="D44" s="148">
        <v>50</v>
      </c>
      <c r="E44" s="148">
        <v>6</v>
      </c>
      <c r="F44" s="148">
        <f t="shared" si="2"/>
        <v>6</v>
      </c>
      <c r="G44" s="148">
        <f t="shared" si="3"/>
        <v>12</v>
      </c>
      <c r="H44" s="195">
        <f t="shared" si="4"/>
        <v>15.632920065876977</v>
      </c>
      <c r="I44" s="148">
        <v>177</v>
      </c>
      <c r="J44" s="195">
        <f t="shared" si="5"/>
        <v>35.4</v>
      </c>
      <c r="K44" s="148">
        <v>46.7</v>
      </c>
      <c r="L44" s="195">
        <f t="shared" si="6"/>
        <v>3.3648567465267272</v>
      </c>
      <c r="M44" s="196">
        <f t="shared" si="7"/>
        <v>9.120000000000001</v>
      </c>
      <c r="N44" s="148">
        <v>57.6</v>
      </c>
      <c r="O44" s="195">
        <f t="shared" si="8"/>
        <v>23.04</v>
      </c>
      <c r="P44" s="148">
        <v>28.4</v>
      </c>
      <c r="Q44" s="195">
        <f t="shared" si="9"/>
        <v>1.9195135760651707</v>
      </c>
      <c r="R44" s="148">
        <f t="shared" si="10"/>
        <v>3.12</v>
      </c>
      <c r="S44" s="196">
        <v>154</v>
      </c>
      <c r="T44" s="148">
        <v>41.4</v>
      </c>
    </row>
    <row r="45" spans="1:20" x14ac:dyDescent="0.25">
      <c r="A45" s="194" t="str">
        <f t="shared" si="0"/>
        <v>RECF  100*50*6.3</v>
      </c>
      <c r="B45" s="195">
        <f t="shared" si="1"/>
        <v>12.520430110018738</v>
      </c>
      <c r="C45" s="148">
        <v>100</v>
      </c>
      <c r="D45" s="148">
        <v>50</v>
      </c>
      <c r="E45" s="148">
        <v>6.3</v>
      </c>
      <c r="F45" s="148">
        <f t="shared" si="2"/>
        <v>9.4499999999999993</v>
      </c>
      <c r="G45" s="148">
        <f t="shared" si="3"/>
        <v>15.75</v>
      </c>
      <c r="H45" s="195">
        <f t="shared" si="4"/>
        <v>15.949592496839157</v>
      </c>
      <c r="I45" s="148">
        <v>173</v>
      </c>
      <c r="J45" s="195">
        <f t="shared" si="5"/>
        <v>34.6</v>
      </c>
      <c r="K45" s="148">
        <v>46.6</v>
      </c>
      <c r="L45" s="195">
        <f t="shared" si="6"/>
        <v>3.2934286243437589</v>
      </c>
      <c r="M45" s="196">
        <f t="shared" si="7"/>
        <v>8.6310000000000002</v>
      </c>
      <c r="N45" s="148">
        <v>56.9</v>
      </c>
      <c r="O45" s="195">
        <f t="shared" si="8"/>
        <v>22.759999999999998</v>
      </c>
      <c r="P45" s="148">
        <v>28.3</v>
      </c>
      <c r="Q45" s="195">
        <f t="shared" si="9"/>
        <v>1.8887798347471374</v>
      </c>
      <c r="R45" s="148">
        <f t="shared" si="10"/>
        <v>2.331</v>
      </c>
      <c r="S45" s="196">
        <v>158</v>
      </c>
      <c r="T45" s="148">
        <v>42.1</v>
      </c>
    </row>
    <row r="46" spans="1:20" x14ac:dyDescent="0.25">
      <c r="A46" s="197" t="str">
        <f t="shared" si="0"/>
        <v>RECF  100*60*2.5</v>
      </c>
      <c r="B46" s="198">
        <f t="shared" si="1"/>
        <v>5.9574031687002487</v>
      </c>
      <c r="C46" s="199">
        <v>100</v>
      </c>
      <c r="D46" s="199">
        <v>60</v>
      </c>
      <c r="E46" s="199">
        <v>2.5</v>
      </c>
      <c r="F46" s="199">
        <f t="shared" si="2"/>
        <v>2.5</v>
      </c>
      <c r="G46" s="199">
        <f t="shared" si="3"/>
        <v>5</v>
      </c>
      <c r="H46" s="198">
        <f t="shared" si="4"/>
        <v>7.5890486225480869</v>
      </c>
      <c r="I46" s="199">
        <v>103</v>
      </c>
      <c r="J46" s="198">
        <f t="shared" si="5"/>
        <v>20.6</v>
      </c>
      <c r="K46" s="199">
        <v>25.1</v>
      </c>
      <c r="L46" s="198">
        <f t="shared" si="6"/>
        <v>3.6840451551850384</v>
      </c>
      <c r="M46" s="200">
        <f t="shared" si="7"/>
        <v>4.5</v>
      </c>
      <c r="N46" s="199">
        <v>46.8</v>
      </c>
      <c r="O46" s="198">
        <f t="shared" si="8"/>
        <v>15.6</v>
      </c>
      <c r="P46" s="199">
        <v>17.7</v>
      </c>
      <c r="Q46" s="198">
        <f t="shared" si="9"/>
        <v>2.4833004021908787</v>
      </c>
      <c r="R46" s="199">
        <f t="shared" si="10"/>
        <v>2.5</v>
      </c>
      <c r="S46" s="200">
        <v>103.30000000000001</v>
      </c>
      <c r="T46" s="201">
        <v>26.23</v>
      </c>
    </row>
    <row r="47" spans="1:20" x14ac:dyDescent="0.25">
      <c r="A47" s="202" t="str">
        <f t="shared" si="0"/>
        <v>RECF  100*60*3</v>
      </c>
      <c r="B47" s="203">
        <f t="shared" si="1"/>
        <v>7.0714605629283573</v>
      </c>
      <c r="C47" s="204">
        <v>100</v>
      </c>
      <c r="D47" s="204">
        <v>60</v>
      </c>
      <c r="E47" s="204">
        <v>3</v>
      </c>
      <c r="F47" s="204">
        <f t="shared" si="2"/>
        <v>3</v>
      </c>
      <c r="G47" s="204">
        <f t="shared" si="3"/>
        <v>6</v>
      </c>
      <c r="H47" s="203">
        <f t="shared" si="4"/>
        <v>9.0082300164692448</v>
      </c>
      <c r="I47" s="204">
        <v>120</v>
      </c>
      <c r="J47" s="203">
        <f t="shared" si="5"/>
        <v>24</v>
      </c>
      <c r="K47" s="204">
        <v>29.5</v>
      </c>
      <c r="L47" s="203">
        <f t="shared" si="6"/>
        <v>3.6498153180193578</v>
      </c>
      <c r="M47" s="205">
        <f t="shared" si="7"/>
        <v>5.28</v>
      </c>
      <c r="N47" s="204">
        <v>54.5</v>
      </c>
      <c r="O47" s="203">
        <f t="shared" si="8"/>
        <v>18.166666666666668</v>
      </c>
      <c r="P47" s="204">
        <v>20.8</v>
      </c>
      <c r="Q47" s="203">
        <f t="shared" si="9"/>
        <v>2.459679477989047</v>
      </c>
      <c r="R47" s="204">
        <f t="shared" si="10"/>
        <v>2.88</v>
      </c>
      <c r="S47" s="205">
        <v>121.7</v>
      </c>
      <c r="T47" s="206">
        <v>30.64</v>
      </c>
    </row>
    <row r="48" spans="1:20" x14ac:dyDescent="0.25">
      <c r="A48" s="202" t="str">
        <f t="shared" si="0"/>
        <v>RECF  100*60*4</v>
      </c>
      <c r="B48" s="203">
        <f t="shared" si="1"/>
        <v>9.2221521118726333</v>
      </c>
      <c r="C48" s="204">
        <v>100</v>
      </c>
      <c r="D48" s="204">
        <v>60</v>
      </c>
      <c r="E48" s="204">
        <v>4</v>
      </c>
      <c r="F48" s="204">
        <f t="shared" si="2"/>
        <v>4</v>
      </c>
      <c r="G48" s="204">
        <f t="shared" si="3"/>
        <v>8</v>
      </c>
      <c r="H48" s="203">
        <f t="shared" si="4"/>
        <v>11.747964473723099</v>
      </c>
      <c r="I48" s="204">
        <v>152</v>
      </c>
      <c r="J48" s="203">
        <f t="shared" si="5"/>
        <v>30.4</v>
      </c>
      <c r="K48" s="204">
        <v>37.9</v>
      </c>
      <c r="L48" s="203">
        <f t="shared" si="6"/>
        <v>3.5970003635041286</v>
      </c>
      <c r="M48" s="205">
        <f t="shared" si="7"/>
        <v>6.72</v>
      </c>
      <c r="N48" s="204">
        <v>68.400000000000006</v>
      </c>
      <c r="O48" s="203">
        <f t="shared" si="8"/>
        <v>22.8</v>
      </c>
      <c r="P48" s="204">
        <v>26.6</v>
      </c>
      <c r="Q48" s="203">
        <f t="shared" si="9"/>
        <v>2.4129411983660058</v>
      </c>
      <c r="R48" s="204">
        <f t="shared" si="10"/>
        <v>3.52</v>
      </c>
      <c r="S48" s="205">
        <v>156.30000000000001</v>
      </c>
      <c r="T48" s="206">
        <v>38.68</v>
      </c>
    </row>
    <row r="49" spans="1:20" x14ac:dyDescent="0.25">
      <c r="A49" s="202" t="str">
        <f t="shared" si="0"/>
        <v>RECF  100*60*5</v>
      </c>
      <c r="B49" s="203">
        <f t="shared" si="1"/>
        <v>11.269612674800992</v>
      </c>
      <c r="C49" s="204">
        <v>100</v>
      </c>
      <c r="D49" s="204">
        <v>60</v>
      </c>
      <c r="E49" s="204">
        <v>5</v>
      </c>
      <c r="F49" s="204">
        <f t="shared" si="2"/>
        <v>5</v>
      </c>
      <c r="G49" s="204">
        <f t="shared" si="3"/>
        <v>10</v>
      </c>
      <c r="H49" s="203">
        <f t="shared" si="4"/>
        <v>14.356194490192346</v>
      </c>
      <c r="I49" s="204">
        <v>180</v>
      </c>
      <c r="J49" s="203">
        <f t="shared" si="5"/>
        <v>36</v>
      </c>
      <c r="K49" s="204">
        <v>45.5</v>
      </c>
      <c r="L49" s="203">
        <f t="shared" si="6"/>
        <v>3.5409238405981567</v>
      </c>
      <c r="M49" s="205">
        <f t="shared" si="7"/>
        <v>8</v>
      </c>
      <c r="N49" s="204">
        <v>80.3</v>
      </c>
      <c r="O49" s="203">
        <f t="shared" si="8"/>
        <v>26.766666666666666</v>
      </c>
      <c r="P49" s="204">
        <v>31.8</v>
      </c>
      <c r="Q49" s="203">
        <f t="shared" si="9"/>
        <v>2.365037906774889</v>
      </c>
      <c r="R49" s="204">
        <f t="shared" si="10"/>
        <v>4</v>
      </c>
      <c r="S49" s="205">
        <v>187.9</v>
      </c>
      <c r="T49" s="206">
        <v>45.75</v>
      </c>
    </row>
    <row r="50" spans="1:20" x14ac:dyDescent="0.25">
      <c r="A50" s="202" t="str">
        <f t="shared" si="0"/>
        <v>RECF  100*60*6</v>
      </c>
      <c r="B50" s="203">
        <f t="shared" si="1"/>
        <v>13.213842251713427</v>
      </c>
      <c r="C50" s="204">
        <v>100</v>
      </c>
      <c r="D50" s="204">
        <v>60</v>
      </c>
      <c r="E50" s="204">
        <v>6</v>
      </c>
      <c r="F50" s="204">
        <f t="shared" si="2"/>
        <v>6</v>
      </c>
      <c r="G50" s="204">
        <f t="shared" si="3"/>
        <v>12</v>
      </c>
      <c r="H50" s="203">
        <f t="shared" si="4"/>
        <v>16.832920065876976</v>
      </c>
      <c r="I50" s="204">
        <v>204</v>
      </c>
      <c r="J50" s="203">
        <f t="shared" si="5"/>
        <v>40.799999999999997</v>
      </c>
      <c r="K50" s="204">
        <v>52.4</v>
      </c>
      <c r="L50" s="203">
        <f t="shared" si="6"/>
        <v>3.4812511273811135</v>
      </c>
      <c r="M50" s="205">
        <f t="shared" si="7"/>
        <v>9.120000000000001</v>
      </c>
      <c r="N50" s="204">
        <v>90.3</v>
      </c>
      <c r="O50" s="203">
        <f t="shared" si="8"/>
        <v>30.099999999999998</v>
      </c>
      <c r="P50" s="204">
        <v>36.5</v>
      </c>
      <c r="Q50" s="203">
        <f t="shared" si="9"/>
        <v>2.3161364676405984</v>
      </c>
      <c r="R50" s="204">
        <f t="shared" si="10"/>
        <v>4.32</v>
      </c>
      <c r="S50" s="205">
        <v>216.4</v>
      </c>
      <c r="T50" s="206">
        <v>51.92</v>
      </c>
    </row>
    <row r="51" spans="1:20" x14ac:dyDescent="0.25">
      <c r="A51" s="207" t="str">
        <f t="shared" si="0"/>
        <v>RECF  100*60*6.3</v>
      </c>
      <c r="B51" s="208">
        <f t="shared" si="1"/>
        <v>13.509530110018739</v>
      </c>
      <c r="C51" s="209">
        <v>100</v>
      </c>
      <c r="D51" s="209">
        <v>60</v>
      </c>
      <c r="E51" s="209">
        <v>6.3</v>
      </c>
      <c r="F51" s="209">
        <f t="shared" si="2"/>
        <v>9.4499999999999993</v>
      </c>
      <c r="G51" s="209">
        <f t="shared" si="3"/>
        <v>15.75</v>
      </c>
      <c r="H51" s="208">
        <f t="shared" si="4"/>
        <v>17.209592496839157</v>
      </c>
      <c r="I51" s="209">
        <v>201</v>
      </c>
      <c r="J51" s="208">
        <f t="shared" si="5"/>
        <v>40.200000000000003</v>
      </c>
      <c r="K51" s="209">
        <v>52.5</v>
      </c>
      <c r="L51" s="208">
        <f t="shared" si="6"/>
        <v>3.4175331450609927</v>
      </c>
      <c r="M51" s="210">
        <f t="shared" si="7"/>
        <v>8.6310000000000002</v>
      </c>
      <c r="N51" s="209">
        <v>89.3</v>
      </c>
      <c r="O51" s="208">
        <f t="shared" si="8"/>
        <v>29.766666666666666</v>
      </c>
      <c r="P51" s="209">
        <v>36.6</v>
      </c>
      <c r="Q51" s="208">
        <f t="shared" si="9"/>
        <v>2.2779303240699793</v>
      </c>
      <c r="R51" s="209">
        <f t="shared" si="10"/>
        <v>3.5909999999999997</v>
      </c>
      <c r="S51" s="210">
        <v>223.4</v>
      </c>
      <c r="T51" s="211">
        <v>53</v>
      </c>
    </row>
    <row r="52" spans="1:20" x14ac:dyDescent="0.25">
      <c r="A52" s="194" t="str">
        <f t="shared" si="0"/>
        <v>RECF  100*80*2.5</v>
      </c>
      <c r="B52" s="195">
        <f t="shared" si="1"/>
        <v>6.7424031687002488</v>
      </c>
      <c r="C52" s="148">
        <v>100</v>
      </c>
      <c r="D52" s="148">
        <v>80</v>
      </c>
      <c r="E52" s="148">
        <v>2.5</v>
      </c>
      <c r="F52" s="148">
        <f t="shared" si="2"/>
        <v>2.5</v>
      </c>
      <c r="G52" s="148">
        <f t="shared" si="3"/>
        <v>5</v>
      </c>
      <c r="H52" s="195">
        <f t="shared" si="4"/>
        <v>8.5890486225480878</v>
      </c>
      <c r="I52" s="148">
        <v>127</v>
      </c>
      <c r="J52" s="195">
        <f t="shared" si="5"/>
        <v>25.4</v>
      </c>
      <c r="K52" s="148">
        <v>30</v>
      </c>
      <c r="L52" s="195">
        <f t="shared" si="6"/>
        <v>3.8452920479722272</v>
      </c>
      <c r="M52" s="196">
        <f t="shared" si="7"/>
        <v>4.5</v>
      </c>
      <c r="N52" s="148">
        <v>90.1</v>
      </c>
      <c r="O52" s="195">
        <f t="shared" si="8"/>
        <v>22.524999999999999</v>
      </c>
      <c r="P52" s="148">
        <v>25.8</v>
      </c>
      <c r="Q52" s="195">
        <f t="shared" si="9"/>
        <v>3.2388427640389645</v>
      </c>
      <c r="R52" s="148">
        <f t="shared" si="10"/>
        <v>3.5</v>
      </c>
      <c r="S52" s="196">
        <v>165.8</v>
      </c>
      <c r="T52" s="148">
        <v>35.729999999999997</v>
      </c>
    </row>
    <row r="53" spans="1:20" x14ac:dyDescent="0.25">
      <c r="A53" s="194" t="str">
        <f t="shared" si="0"/>
        <v>RECF  100*80*3</v>
      </c>
      <c r="B53" s="195">
        <f t="shared" si="1"/>
        <v>8.0134605629283566</v>
      </c>
      <c r="C53" s="148">
        <v>100</v>
      </c>
      <c r="D53" s="148">
        <v>80</v>
      </c>
      <c r="E53" s="148">
        <v>3</v>
      </c>
      <c r="F53" s="148">
        <f t="shared" si="2"/>
        <v>3</v>
      </c>
      <c r="G53" s="148">
        <f t="shared" si="3"/>
        <v>6</v>
      </c>
      <c r="H53" s="195">
        <f t="shared" si="4"/>
        <v>10.208230016469244</v>
      </c>
      <c r="I53" s="148">
        <v>149</v>
      </c>
      <c r="J53" s="195">
        <f t="shared" si="5"/>
        <v>29.8</v>
      </c>
      <c r="K53" s="148">
        <v>35.4</v>
      </c>
      <c r="L53" s="195">
        <f t="shared" si="6"/>
        <v>3.8204798248038454</v>
      </c>
      <c r="M53" s="196">
        <f t="shared" si="7"/>
        <v>5.28</v>
      </c>
      <c r="N53" s="148">
        <v>105</v>
      </c>
      <c r="O53" s="195">
        <f t="shared" si="8"/>
        <v>26.25</v>
      </c>
      <c r="P53" s="148">
        <v>30.4</v>
      </c>
      <c r="Q53" s="195">
        <f t="shared" si="9"/>
        <v>3.2071511325149409</v>
      </c>
      <c r="R53" s="148">
        <f t="shared" si="10"/>
        <v>4.08</v>
      </c>
      <c r="S53" s="196">
        <v>196.10000000000002</v>
      </c>
      <c r="T53" s="148">
        <v>41.91</v>
      </c>
    </row>
    <row r="54" spans="1:20" x14ac:dyDescent="0.25">
      <c r="A54" s="194" t="str">
        <f t="shared" si="0"/>
        <v>RECF  100*80*4</v>
      </c>
      <c r="B54" s="195">
        <f t="shared" si="1"/>
        <v>10.478152111872635</v>
      </c>
      <c r="C54" s="148">
        <v>100</v>
      </c>
      <c r="D54" s="148">
        <v>80</v>
      </c>
      <c r="E54" s="148">
        <v>4</v>
      </c>
      <c r="F54" s="148">
        <f t="shared" si="2"/>
        <v>4</v>
      </c>
      <c r="G54" s="148">
        <f t="shared" si="3"/>
        <v>8</v>
      </c>
      <c r="H54" s="195">
        <f t="shared" si="4"/>
        <v>13.347964473723101</v>
      </c>
      <c r="I54" s="148">
        <v>189</v>
      </c>
      <c r="J54" s="195">
        <f t="shared" si="5"/>
        <v>37.799999999999997</v>
      </c>
      <c r="K54" s="148">
        <v>45.6</v>
      </c>
      <c r="L54" s="195">
        <f t="shared" si="6"/>
        <v>3.7629061002000324</v>
      </c>
      <c r="M54" s="196">
        <f t="shared" si="7"/>
        <v>6.72</v>
      </c>
      <c r="N54" s="148">
        <v>134</v>
      </c>
      <c r="O54" s="195">
        <f t="shared" si="8"/>
        <v>33.5</v>
      </c>
      <c r="P54" s="148">
        <v>39.1</v>
      </c>
      <c r="Q54" s="195">
        <f t="shared" si="9"/>
        <v>3.1684355550217664</v>
      </c>
      <c r="R54" s="148">
        <f t="shared" si="10"/>
        <v>5.12</v>
      </c>
      <c r="S54" s="196">
        <v>253.8</v>
      </c>
      <c r="T54" s="148">
        <v>53.38</v>
      </c>
    </row>
    <row r="55" spans="1:20" x14ac:dyDescent="0.25">
      <c r="A55" s="194" t="str">
        <f t="shared" si="0"/>
        <v>RECF  100*80*5</v>
      </c>
      <c r="B55" s="195">
        <f t="shared" si="1"/>
        <v>12.839612674800991</v>
      </c>
      <c r="C55" s="148">
        <v>100</v>
      </c>
      <c r="D55" s="148">
        <v>80</v>
      </c>
      <c r="E55" s="148">
        <v>5</v>
      </c>
      <c r="F55" s="148">
        <f t="shared" si="2"/>
        <v>5</v>
      </c>
      <c r="G55" s="148">
        <f t="shared" si="3"/>
        <v>10</v>
      </c>
      <c r="H55" s="195">
        <f t="shared" si="4"/>
        <v>16.356194490192344</v>
      </c>
      <c r="I55" s="148">
        <v>225</v>
      </c>
      <c r="J55" s="195">
        <f t="shared" si="5"/>
        <v>45</v>
      </c>
      <c r="K55" s="148">
        <v>55</v>
      </c>
      <c r="L55" s="195">
        <f t="shared" si="6"/>
        <v>3.7089427180842351</v>
      </c>
      <c r="M55" s="196">
        <f t="shared" si="7"/>
        <v>8</v>
      </c>
      <c r="N55" s="148">
        <v>159</v>
      </c>
      <c r="O55" s="195">
        <f t="shared" si="8"/>
        <v>39.75</v>
      </c>
      <c r="P55" s="148">
        <v>47.1</v>
      </c>
      <c r="Q55" s="195">
        <f t="shared" si="9"/>
        <v>3.1178658781493342</v>
      </c>
      <c r="R55" s="148">
        <f t="shared" si="10"/>
        <v>6</v>
      </c>
      <c r="S55" s="196">
        <v>307.5</v>
      </c>
      <c r="T55" s="148">
        <v>63.72</v>
      </c>
    </row>
    <row r="56" spans="1:20" x14ac:dyDescent="0.25">
      <c r="A56" s="194" t="str">
        <f t="shared" si="0"/>
        <v>RECF  100*80*6</v>
      </c>
      <c r="B56" s="195">
        <f t="shared" si="1"/>
        <v>15.097842251713429</v>
      </c>
      <c r="C56" s="148">
        <v>100</v>
      </c>
      <c r="D56" s="148">
        <v>80</v>
      </c>
      <c r="E56" s="148">
        <v>6</v>
      </c>
      <c r="F56" s="148">
        <f t="shared" si="2"/>
        <v>6</v>
      </c>
      <c r="G56" s="148">
        <f t="shared" si="3"/>
        <v>12</v>
      </c>
      <c r="H56" s="195">
        <f t="shared" si="4"/>
        <v>19.232920065876979</v>
      </c>
      <c r="I56" s="148">
        <v>257</v>
      </c>
      <c r="J56" s="195">
        <f t="shared" si="5"/>
        <v>51.4</v>
      </c>
      <c r="K56" s="148">
        <v>63.7</v>
      </c>
      <c r="L56" s="195">
        <f t="shared" si="6"/>
        <v>3.6554760964354807</v>
      </c>
      <c r="M56" s="196">
        <f t="shared" si="7"/>
        <v>9.120000000000001</v>
      </c>
      <c r="N56" s="148">
        <v>181</v>
      </c>
      <c r="O56" s="195">
        <f t="shared" si="8"/>
        <v>45.25</v>
      </c>
      <c r="P56" s="148">
        <v>54.5</v>
      </c>
      <c r="Q56" s="195">
        <f t="shared" si="9"/>
        <v>3.0677267556611549</v>
      </c>
      <c r="R56" s="148">
        <f t="shared" si="10"/>
        <v>6.72</v>
      </c>
      <c r="S56" s="196">
        <v>357.40000000000003</v>
      </c>
      <c r="T56" s="148">
        <v>72.98</v>
      </c>
    </row>
    <row r="57" spans="1:20" x14ac:dyDescent="0.25">
      <c r="A57" s="194" t="str">
        <f t="shared" si="0"/>
        <v>RECF  100*80*6.3</v>
      </c>
      <c r="B57" s="195">
        <f t="shared" si="1"/>
        <v>15.487730110018738</v>
      </c>
      <c r="C57" s="148">
        <v>100</v>
      </c>
      <c r="D57" s="148">
        <v>80</v>
      </c>
      <c r="E57" s="148">
        <v>6.3</v>
      </c>
      <c r="F57" s="148">
        <f t="shared" si="2"/>
        <v>9.4499999999999993</v>
      </c>
      <c r="G57" s="148">
        <f t="shared" si="3"/>
        <v>15.75</v>
      </c>
      <c r="H57" s="195">
        <f t="shared" si="4"/>
        <v>19.729592496839157</v>
      </c>
      <c r="I57" s="148">
        <v>256</v>
      </c>
      <c r="J57" s="195">
        <f t="shared" si="5"/>
        <v>51.2</v>
      </c>
      <c r="K57" s="148">
        <v>64.3</v>
      </c>
      <c r="L57" s="195">
        <f t="shared" si="6"/>
        <v>3.6021427953633145</v>
      </c>
      <c r="M57" s="196">
        <f t="shared" si="7"/>
        <v>8.6310000000000002</v>
      </c>
      <c r="N57" s="148">
        <v>181</v>
      </c>
      <c r="O57" s="195">
        <f t="shared" si="8"/>
        <v>45.25</v>
      </c>
      <c r="P57" s="148">
        <v>55.1</v>
      </c>
      <c r="Q57" s="195">
        <f t="shared" si="9"/>
        <v>3.0288671832933254</v>
      </c>
      <c r="R57" s="148">
        <f t="shared" si="10"/>
        <v>6.1110000000000007</v>
      </c>
      <c r="S57" s="196">
        <v>371.40000000000003</v>
      </c>
      <c r="T57" s="148">
        <v>74.97</v>
      </c>
    </row>
    <row r="58" spans="1:20" x14ac:dyDescent="0.25">
      <c r="A58" s="197" t="str">
        <f t="shared" si="0"/>
        <v>RECF  120*60*2.5</v>
      </c>
      <c r="B58" s="198">
        <f t="shared" si="1"/>
        <v>6.7424031687002488</v>
      </c>
      <c r="C58" s="199">
        <v>120</v>
      </c>
      <c r="D58" s="199">
        <v>60</v>
      </c>
      <c r="E58" s="199">
        <v>2.5</v>
      </c>
      <c r="F58" s="199">
        <f t="shared" si="2"/>
        <v>2.5</v>
      </c>
      <c r="G58" s="199">
        <f t="shared" si="3"/>
        <v>5</v>
      </c>
      <c r="H58" s="198">
        <f t="shared" si="4"/>
        <v>8.5890486225480878</v>
      </c>
      <c r="I58" s="199">
        <v>161</v>
      </c>
      <c r="J58" s="198">
        <f t="shared" si="5"/>
        <v>26.833333333333332</v>
      </c>
      <c r="K58" s="199">
        <v>33.200000000000003</v>
      </c>
      <c r="L58" s="198">
        <f t="shared" si="6"/>
        <v>4.3295265515615871</v>
      </c>
      <c r="M58" s="200">
        <f t="shared" si="7"/>
        <v>5.5</v>
      </c>
      <c r="N58" s="199">
        <v>55.1</v>
      </c>
      <c r="O58" s="198">
        <f t="shared" si="8"/>
        <v>18.366666666666667</v>
      </c>
      <c r="P58" s="199">
        <v>20.5</v>
      </c>
      <c r="Q58" s="198">
        <f t="shared" si="9"/>
        <v>2.5328138292220959</v>
      </c>
      <c r="R58" s="199">
        <f t="shared" si="10"/>
        <v>2.5</v>
      </c>
      <c r="S58" s="200">
        <v>132.6</v>
      </c>
      <c r="T58" s="201">
        <v>31.75</v>
      </c>
    </row>
    <row r="59" spans="1:20" x14ac:dyDescent="0.25">
      <c r="A59" s="202" t="str">
        <f t="shared" si="0"/>
        <v>RECF  120*60*3</v>
      </c>
      <c r="B59" s="203">
        <f t="shared" si="1"/>
        <v>8.0134605629283566</v>
      </c>
      <c r="C59" s="204">
        <v>120</v>
      </c>
      <c r="D59" s="204">
        <v>60</v>
      </c>
      <c r="E59" s="204">
        <v>3</v>
      </c>
      <c r="F59" s="204">
        <f t="shared" si="2"/>
        <v>3</v>
      </c>
      <c r="G59" s="204">
        <f t="shared" si="3"/>
        <v>6</v>
      </c>
      <c r="H59" s="203">
        <f t="shared" si="4"/>
        <v>10.208230016469244</v>
      </c>
      <c r="I59" s="204">
        <v>189</v>
      </c>
      <c r="J59" s="203">
        <f t="shared" si="5"/>
        <v>31.5</v>
      </c>
      <c r="K59" s="204">
        <v>39.200000000000003</v>
      </c>
      <c r="L59" s="203">
        <f t="shared" si="6"/>
        <v>4.3028447678513064</v>
      </c>
      <c r="M59" s="205">
        <f t="shared" si="7"/>
        <v>6.48</v>
      </c>
      <c r="N59" s="204">
        <v>64.3</v>
      </c>
      <c r="O59" s="203">
        <f t="shared" si="8"/>
        <v>21.433333333333334</v>
      </c>
      <c r="P59" s="204">
        <v>24.2</v>
      </c>
      <c r="Q59" s="203">
        <f t="shared" si="9"/>
        <v>2.5097488439525408</v>
      </c>
      <c r="R59" s="204">
        <f t="shared" si="10"/>
        <v>2.88</v>
      </c>
      <c r="S59" s="205">
        <v>156.30000000000001</v>
      </c>
      <c r="T59" s="206">
        <v>37.14</v>
      </c>
    </row>
    <row r="60" spans="1:20" x14ac:dyDescent="0.25">
      <c r="A60" s="202" t="str">
        <f t="shared" si="0"/>
        <v>RECF  120*60*4</v>
      </c>
      <c r="B60" s="203">
        <f t="shared" si="1"/>
        <v>10.478152111872635</v>
      </c>
      <c r="C60" s="204">
        <v>120</v>
      </c>
      <c r="D60" s="204">
        <v>60</v>
      </c>
      <c r="E60" s="204">
        <v>4</v>
      </c>
      <c r="F60" s="204">
        <f t="shared" si="2"/>
        <v>4</v>
      </c>
      <c r="G60" s="204">
        <f t="shared" si="3"/>
        <v>8</v>
      </c>
      <c r="H60" s="203">
        <f t="shared" si="4"/>
        <v>13.347964473723101</v>
      </c>
      <c r="I60" s="204">
        <v>140</v>
      </c>
      <c r="J60" s="203">
        <f t="shared" si="5"/>
        <v>23.333333333333332</v>
      </c>
      <c r="K60" s="204">
        <v>50.4</v>
      </c>
      <c r="L60" s="203">
        <f t="shared" si="6"/>
        <v>3.2385939243148942</v>
      </c>
      <c r="M60" s="205">
        <f t="shared" si="7"/>
        <v>8.32</v>
      </c>
      <c r="N60" s="204">
        <v>81</v>
      </c>
      <c r="O60" s="203">
        <f t="shared" si="8"/>
        <v>27</v>
      </c>
      <c r="P60" s="204">
        <v>31</v>
      </c>
      <c r="Q60" s="203">
        <f t="shared" si="9"/>
        <v>2.4634002910253905</v>
      </c>
      <c r="R60" s="204">
        <f t="shared" si="10"/>
        <v>3.52</v>
      </c>
      <c r="S60" s="205">
        <v>201.10000000000002</v>
      </c>
      <c r="T60" s="206">
        <v>47.05</v>
      </c>
    </row>
    <row r="61" spans="1:20" x14ac:dyDescent="0.25">
      <c r="A61" s="202" t="str">
        <f t="shared" si="0"/>
        <v>RECF  120*60*5</v>
      </c>
      <c r="B61" s="203">
        <f t="shared" si="1"/>
        <v>12.839612674800991</v>
      </c>
      <c r="C61" s="204">
        <v>120</v>
      </c>
      <c r="D61" s="204">
        <v>60</v>
      </c>
      <c r="E61" s="204">
        <v>5</v>
      </c>
      <c r="F61" s="204">
        <f t="shared" si="2"/>
        <v>5</v>
      </c>
      <c r="G61" s="204">
        <f t="shared" si="3"/>
        <v>10</v>
      </c>
      <c r="H61" s="203">
        <f t="shared" si="4"/>
        <v>16.356194490192344</v>
      </c>
      <c r="I61" s="204">
        <v>286</v>
      </c>
      <c r="J61" s="203">
        <f t="shared" si="5"/>
        <v>47.666666666666664</v>
      </c>
      <c r="K61" s="204">
        <v>60.9</v>
      </c>
      <c r="L61" s="203">
        <f t="shared" si="6"/>
        <v>4.1815941886130785</v>
      </c>
      <c r="M61" s="205">
        <f t="shared" si="7"/>
        <v>10</v>
      </c>
      <c r="N61" s="204">
        <v>95.5</v>
      </c>
      <c r="O61" s="203">
        <f t="shared" si="8"/>
        <v>31.833333333333332</v>
      </c>
      <c r="P61" s="204">
        <v>37.299999999999997</v>
      </c>
      <c r="Q61" s="203">
        <f t="shared" si="9"/>
        <v>2.4163539624960872</v>
      </c>
      <c r="R61" s="204">
        <f t="shared" si="10"/>
        <v>4</v>
      </c>
      <c r="S61" s="205">
        <v>242.20000000000002</v>
      </c>
      <c r="T61" s="206">
        <v>55.85</v>
      </c>
    </row>
    <row r="62" spans="1:20" x14ac:dyDescent="0.25">
      <c r="A62" s="202" t="str">
        <f t="shared" si="0"/>
        <v>RECF  120*60*6</v>
      </c>
      <c r="B62" s="203">
        <f t="shared" si="1"/>
        <v>15.097842251713429</v>
      </c>
      <c r="C62" s="204">
        <v>120</v>
      </c>
      <c r="D62" s="204">
        <v>60</v>
      </c>
      <c r="E62" s="204">
        <v>6</v>
      </c>
      <c r="F62" s="204">
        <f t="shared" si="2"/>
        <v>6</v>
      </c>
      <c r="G62" s="204">
        <f t="shared" si="3"/>
        <v>12</v>
      </c>
      <c r="H62" s="203">
        <f t="shared" si="4"/>
        <v>19.232920065876979</v>
      </c>
      <c r="I62" s="204">
        <v>326</v>
      </c>
      <c r="J62" s="203">
        <f t="shared" si="5"/>
        <v>54.333333333333336</v>
      </c>
      <c r="K62" s="204">
        <v>70.400000000000006</v>
      </c>
      <c r="L62" s="203">
        <f t="shared" si="6"/>
        <v>4.1170504298924024</v>
      </c>
      <c r="M62" s="205">
        <f t="shared" si="7"/>
        <v>11.52</v>
      </c>
      <c r="N62" s="204">
        <v>108</v>
      </c>
      <c r="O62" s="203">
        <f t="shared" si="8"/>
        <v>36</v>
      </c>
      <c r="P62" s="204">
        <v>42.9</v>
      </c>
      <c r="Q62" s="203">
        <f t="shared" si="9"/>
        <v>2.3696776062503169</v>
      </c>
      <c r="R62" s="204">
        <f t="shared" si="10"/>
        <v>4.32</v>
      </c>
      <c r="S62" s="205">
        <v>279.7</v>
      </c>
      <c r="T62" s="206">
        <v>63.6</v>
      </c>
    </row>
    <row r="63" spans="1:20" x14ac:dyDescent="0.25">
      <c r="A63" s="202" t="str">
        <f t="shared" si="0"/>
        <v>RECF  120*60*6.3</v>
      </c>
      <c r="B63" s="203">
        <f t="shared" si="1"/>
        <v>15.487730110018738</v>
      </c>
      <c r="C63" s="204">
        <v>120</v>
      </c>
      <c r="D63" s="204">
        <v>60</v>
      </c>
      <c r="E63" s="204">
        <v>6.3</v>
      </c>
      <c r="F63" s="204">
        <f t="shared" si="2"/>
        <v>9.4499999999999993</v>
      </c>
      <c r="G63" s="204">
        <f t="shared" si="3"/>
        <v>15.75</v>
      </c>
      <c r="H63" s="203">
        <f t="shared" si="4"/>
        <v>19.729592496839157</v>
      </c>
      <c r="I63" s="204">
        <v>324</v>
      </c>
      <c r="J63" s="203">
        <f t="shared" si="5"/>
        <v>54</v>
      </c>
      <c r="K63" s="204">
        <v>70.900000000000006</v>
      </c>
      <c r="L63" s="203">
        <f t="shared" si="6"/>
        <v>4.0524106447837287</v>
      </c>
      <c r="M63" s="205">
        <f t="shared" si="7"/>
        <v>11.151</v>
      </c>
      <c r="N63" s="204">
        <v>108</v>
      </c>
      <c r="O63" s="203">
        <f t="shared" si="8"/>
        <v>36</v>
      </c>
      <c r="P63" s="204">
        <v>43.4</v>
      </c>
      <c r="Q63" s="203">
        <f t="shared" si="9"/>
        <v>2.3396603766327906</v>
      </c>
      <c r="R63" s="204">
        <f t="shared" si="10"/>
        <v>3.5909999999999997</v>
      </c>
      <c r="S63" s="205">
        <v>289.3</v>
      </c>
      <c r="T63" s="206">
        <v>65.14</v>
      </c>
    </row>
    <row r="64" spans="1:20" x14ac:dyDescent="0.25">
      <c r="A64" s="207" t="str">
        <f t="shared" si="0"/>
        <v>RECF  120*60*8</v>
      </c>
      <c r="B64" s="208">
        <f t="shared" si="1"/>
        <v>18.87334459665405</v>
      </c>
      <c r="C64" s="209">
        <v>120</v>
      </c>
      <c r="D64" s="209">
        <v>60</v>
      </c>
      <c r="E64" s="209">
        <v>8</v>
      </c>
      <c r="F64" s="209">
        <f t="shared" si="2"/>
        <v>12</v>
      </c>
      <c r="G64" s="209">
        <f t="shared" si="3"/>
        <v>20</v>
      </c>
      <c r="H64" s="208">
        <f t="shared" si="4"/>
        <v>24.042477193189871</v>
      </c>
      <c r="I64" s="209">
        <v>368</v>
      </c>
      <c r="J64" s="208">
        <f t="shared" si="5"/>
        <v>61.333333333333336</v>
      </c>
      <c r="K64" s="209">
        <v>83.4</v>
      </c>
      <c r="L64" s="208">
        <f t="shared" si="6"/>
        <v>3.9123193981531488</v>
      </c>
      <c r="M64" s="210">
        <f t="shared" si="7"/>
        <v>12.8</v>
      </c>
      <c r="N64" s="209">
        <v>121</v>
      </c>
      <c r="O64" s="208">
        <f t="shared" si="8"/>
        <v>40.333333333333336</v>
      </c>
      <c r="P64" s="209">
        <v>50.7</v>
      </c>
      <c r="Q64" s="208">
        <f t="shared" si="9"/>
        <v>2.2433812140025862</v>
      </c>
      <c r="R64" s="209">
        <f t="shared" si="10"/>
        <v>3.2</v>
      </c>
      <c r="S64" s="210">
        <v>339.6</v>
      </c>
      <c r="T64" s="211">
        <v>74.959999999999994</v>
      </c>
    </row>
    <row r="65" spans="1:20" x14ac:dyDescent="0.25">
      <c r="A65" s="194" t="str">
        <f t="shared" si="0"/>
        <v>RECF  120*80*3</v>
      </c>
      <c r="B65" s="195">
        <f t="shared" si="1"/>
        <v>8.9554605629283586</v>
      </c>
      <c r="C65" s="148">
        <v>120</v>
      </c>
      <c r="D65" s="148">
        <v>80</v>
      </c>
      <c r="E65" s="148">
        <v>3</v>
      </c>
      <c r="F65" s="148">
        <f t="shared" si="2"/>
        <v>3</v>
      </c>
      <c r="G65" s="148">
        <f t="shared" si="3"/>
        <v>6</v>
      </c>
      <c r="H65" s="195">
        <f t="shared" si="4"/>
        <v>11.408230016469245</v>
      </c>
      <c r="I65" s="148">
        <v>230</v>
      </c>
      <c r="J65" s="195">
        <f t="shared" si="5"/>
        <v>38.333333333333336</v>
      </c>
      <c r="K65" s="148">
        <v>46.2</v>
      </c>
      <c r="L65" s="195">
        <f t="shared" si="6"/>
        <v>4.4900872846798086</v>
      </c>
      <c r="M65" s="196">
        <f t="shared" si="7"/>
        <v>6.48</v>
      </c>
      <c r="N65" s="148">
        <v>123</v>
      </c>
      <c r="O65" s="195">
        <f t="shared" si="8"/>
        <v>30.75</v>
      </c>
      <c r="P65" s="148">
        <v>35</v>
      </c>
      <c r="Q65" s="195">
        <f t="shared" si="9"/>
        <v>3.2835483923694273</v>
      </c>
      <c r="R65" s="148">
        <f t="shared" si="10"/>
        <v>4.08</v>
      </c>
      <c r="S65" s="196">
        <v>255.5</v>
      </c>
      <c r="T65" s="148">
        <v>50.8</v>
      </c>
    </row>
    <row r="66" spans="1:20" x14ac:dyDescent="0.25">
      <c r="A66" s="194" t="str">
        <f t="shared" si="0"/>
        <v>RECF  120*80*4</v>
      </c>
      <c r="B66" s="195">
        <f t="shared" si="1"/>
        <v>11.734152111872634</v>
      </c>
      <c r="C66" s="148">
        <v>120</v>
      </c>
      <c r="D66" s="148">
        <v>80</v>
      </c>
      <c r="E66" s="148">
        <v>4</v>
      </c>
      <c r="F66" s="148">
        <f t="shared" si="2"/>
        <v>4</v>
      </c>
      <c r="G66" s="148">
        <f t="shared" si="3"/>
        <v>8</v>
      </c>
      <c r="H66" s="195">
        <f t="shared" si="4"/>
        <v>14.947964473723101</v>
      </c>
      <c r="I66" s="148">
        <v>294</v>
      </c>
      <c r="J66" s="195">
        <f t="shared" si="5"/>
        <v>49</v>
      </c>
      <c r="K66" s="148">
        <v>59.7</v>
      </c>
      <c r="L66" s="195">
        <f t="shared" si="6"/>
        <v>4.4348877978102514</v>
      </c>
      <c r="M66" s="196">
        <f t="shared" si="7"/>
        <v>8.32</v>
      </c>
      <c r="N66" s="148">
        <v>157</v>
      </c>
      <c r="O66" s="195">
        <f t="shared" si="8"/>
        <v>39.25</v>
      </c>
      <c r="P66" s="148">
        <v>45.2</v>
      </c>
      <c r="Q66" s="195">
        <f t="shared" si="9"/>
        <v>3.2408490086762396</v>
      </c>
      <c r="R66" s="148">
        <f t="shared" si="10"/>
        <v>5.12</v>
      </c>
      <c r="S66" s="196">
        <v>331.20000000000005</v>
      </c>
      <c r="T66" s="148">
        <v>64.930000000000007</v>
      </c>
    </row>
    <row r="67" spans="1:20" x14ac:dyDescent="0.25">
      <c r="A67" s="194" t="str">
        <f t="shared" si="0"/>
        <v>RECF  120*80*5</v>
      </c>
      <c r="B67" s="195">
        <f t="shared" si="1"/>
        <v>14.409612674800991</v>
      </c>
      <c r="C67" s="148">
        <v>120</v>
      </c>
      <c r="D67" s="148">
        <v>80</v>
      </c>
      <c r="E67" s="148">
        <v>5</v>
      </c>
      <c r="F67" s="148">
        <f t="shared" si="2"/>
        <v>5</v>
      </c>
      <c r="G67" s="148">
        <f t="shared" si="3"/>
        <v>10</v>
      </c>
      <c r="H67" s="195">
        <f t="shared" si="4"/>
        <v>18.356194490192344</v>
      </c>
      <c r="I67" s="148">
        <v>352</v>
      </c>
      <c r="J67" s="195">
        <f t="shared" si="5"/>
        <v>58.666666666666664</v>
      </c>
      <c r="K67" s="148">
        <v>72.400000000000006</v>
      </c>
      <c r="L67" s="195">
        <f t="shared" si="6"/>
        <v>4.3790510332225079</v>
      </c>
      <c r="M67" s="196">
        <f t="shared" si="7"/>
        <v>10</v>
      </c>
      <c r="N67" s="148">
        <v>187</v>
      </c>
      <c r="O67" s="195">
        <f t="shared" si="8"/>
        <v>46.75</v>
      </c>
      <c r="P67" s="148">
        <v>54.6</v>
      </c>
      <c r="Q67" s="195">
        <f t="shared" si="9"/>
        <v>3.1917544899741315</v>
      </c>
      <c r="R67" s="148">
        <f t="shared" si="10"/>
        <v>6</v>
      </c>
      <c r="S67" s="196">
        <v>402.3</v>
      </c>
      <c r="T67" s="148">
        <v>77.77</v>
      </c>
    </row>
    <row r="68" spans="1:20" x14ac:dyDescent="0.25">
      <c r="A68" s="194" t="str">
        <f t="shared" si="0"/>
        <v>RECF  120*80*6</v>
      </c>
      <c r="B68" s="195">
        <f t="shared" si="1"/>
        <v>16.981842251713431</v>
      </c>
      <c r="C68" s="148">
        <v>120</v>
      </c>
      <c r="D68" s="148">
        <v>80</v>
      </c>
      <c r="E68" s="148">
        <v>6</v>
      </c>
      <c r="F68" s="148">
        <f t="shared" si="2"/>
        <v>6</v>
      </c>
      <c r="G68" s="148">
        <f t="shared" si="3"/>
        <v>12</v>
      </c>
      <c r="H68" s="195">
        <f t="shared" si="4"/>
        <v>21.632920065876981</v>
      </c>
      <c r="I68" s="148">
        <v>404</v>
      </c>
      <c r="J68" s="195">
        <f t="shared" si="5"/>
        <v>67.333333333333329</v>
      </c>
      <c r="K68" s="148">
        <v>84.1</v>
      </c>
      <c r="L68" s="195">
        <f t="shared" si="6"/>
        <v>4.3214859939392616</v>
      </c>
      <c r="M68" s="196">
        <f t="shared" si="7"/>
        <v>11.52</v>
      </c>
      <c r="N68" s="148">
        <v>214</v>
      </c>
      <c r="O68" s="195">
        <f t="shared" si="8"/>
        <v>53.5</v>
      </c>
      <c r="P68" s="148">
        <v>63.4</v>
      </c>
      <c r="Q68" s="195">
        <f t="shared" si="9"/>
        <v>3.1452075817719423</v>
      </c>
      <c r="R68" s="148">
        <f t="shared" si="10"/>
        <v>6.72</v>
      </c>
      <c r="S68" s="196">
        <v>468.5</v>
      </c>
      <c r="T68" s="148">
        <v>89.4</v>
      </c>
    </row>
    <row r="69" spans="1:20" x14ac:dyDescent="0.25">
      <c r="A69" s="194" t="str">
        <f t="shared" ref="A69:A132" si="11">$B$3&amp;"  "&amp;C69&amp;"*"&amp;D69&amp;"*"&amp;E69</f>
        <v>RECF  120*80*6.3</v>
      </c>
      <c r="B69" s="195">
        <f t="shared" ref="B69:B132" si="12">H69*0.785</f>
        <v>17.465930110018739</v>
      </c>
      <c r="C69" s="148">
        <v>120</v>
      </c>
      <c r="D69" s="148">
        <v>80</v>
      </c>
      <c r="E69" s="148">
        <v>6.3</v>
      </c>
      <c r="F69" s="148">
        <f t="shared" ref="F69:F132" si="13">IF(E69&lt;=6,1*E69,IF(E69&lt;=10,1.5*E69,2*E69))</f>
        <v>9.4499999999999993</v>
      </c>
      <c r="G69" s="148">
        <f t="shared" ref="G69:G132" si="14">IF(E69&lt;=6,2*E69,IF(E69&lt;=10,2.5*E69,3*E69))</f>
        <v>15.75</v>
      </c>
      <c r="H69" s="195">
        <f t="shared" ref="H69:H132" si="15">(2*(C69-2*G69)*E69+2*(D69-2*G69)*E69+PI()*(G69^2-F69^2))*0.01</f>
        <v>22.249592496839156</v>
      </c>
      <c r="I69" s="148">
        <v>405</v>
      </c>
      <c r="J69" s="195">
        <f t="shared" ref="J69:J132" si="16">I69/(0.5*C69*0.1)</f>
        <v>67.5</v>
      </c>
      <c r="K69" s="148">
        <v>85.3</v>
      </c>
      <c r="L69" s="195">
        <f t="shared" ref="L69:L132" si="17">SQRT(I69/H69)</f>
        <v>4.2664482379025603</v>
      </c>
      <c r="M69" s="196">
        <f t="shared" ref="M69:M132" si="18">2*(C69-2*G69)*E69*0.01</f>
        <v>11.151</v>
      </c>
      <c r="N69" s="148">
        <v>215</v>
      </c>
      <c r="O69" s="195">
        <f t="shared" ref="O69:O132" si="19">N69/(0.5*D69*0.1)</f>
        <v>53.75</v>
      </c>
      <c r="P69" s="148">
        <v>64.400000000000006</v>
      </c>
      <c r="Q69" s="195">
        <f t="shared" ref="Q69:Q132" si="20">SQRT(N69/H69)</f>
        <v>3.1085524485736262</v>
      </c>
      <c r="R69" s="148">
        <f t="shared" ref="R69:R132" si="21">2*(D69-2*G69)*E69*0.01</f>
        <v>6.1110000000000007</v>
      </c>
      <c r="S69" s="196">
        <v>487.8</v>
      </c>
      <c r="T69" s="148">
        <v>92.07</v>
      </c>
    </row>
    <row r="70" spans="1:20" x14ac:dyDescent="0.25">
      <c r="A70" s="194" t="str">
        <f t="shared" si="11"/>
        <v>RECF  120*80*8</v>
      </c>
      <c r="B70" s="195">
        <f t="shared" si="12"/>
        <v>21.385344596654051</v>
      </c>
      <c r="C70" s="148">
        <v>120</v>
      </c>
      <c r="D70" s="148">
        <v>80</v>
      </c>
      <c r="E70" s="148">
        <v>8</v>
      </c>
      <c r="F70" s="148">
        <f t="shared" si="13"/>
        <v>12</v>
      </c>
      <c r="G70" s="148">
        <f t="shared" si="14"/>
        <v>20</v>
      </c>
      <c r="H70" s="195">
        <f t="shared" si="15"/>
        <v>27.24247719318987</v>
      </c>
      <c r="I70" s="148">
        <v>469</v>
      </c>
      <c r="J70" s="195">
        <f t="shared" si="16"/>
        <v>78.166666666666671</v>
      </c>
      <c r="K70" s="148">
        <v>101</v>
      </c>
      <c r="L70" s="195">
        <f t="shared" si="17"/>
        <v>4.1491880972158093</v>
      </c>
      <c r="M70" s="196">
        <f t="shared" si="18"/>
        <v>12.8</v>
      </c>
      <c r="N70" s="148">
        <v>247</v>
      </c>
      <c r="O70" s="195">
        <f t="shared" si="19"/>
        <v>61.75</v>
      </c>
      <c r="P70" s="148">
        <v>76.3</v>
      </c>
      <c r="Q70" s="195">
        <f t="shared" si="20"/>
        <v>3.0110999983823552</v>
      </c>
      <c r="R70" s="148">
        <f t="shared" si="21"/>
        <v>6.4</v>
      </c>
      <c r="S70" s="196">
        <v>584</v>
      </c>
      <c r="T70" s="148">
        <v>108</v>
      </c>
    </row>
    <row r="71" spans="1:20" x14ac:dyDescent="0.25">
      <c r="A71" s="197" t="str">
        <f t="shared" si="11"/>
        <v>RECF  140*80*4</v>
      </c>
      <c r="B71" s="198">
        <f t="shared" si="12"/>
        <v>12.990152111872636</v>
      </c>
      <c r="C71" s="199">
        <v>140</v>
      </c>
      <c r="D71" s="199">
        <v>80</v>
      </c>
      <c r="E71" s="199">
        <v>4</v>
      </c>
      <c r="F71" s="199">
        <f t="shared" si="13"/>
        <v>4</v>
      </c>
      <c r="G71" s="199">
        <f t="shared" si="14"/>
        <v>8</v>
      </c>
      <c r="H71" s="198">
        <f t="shared" si="15"/>
        <v>16.547964473723102</v>
      </c>
      <c r="I71" s="199">
        <v>429</v>
      </c>
      <c r="J71" s="198">
        <f t="shared" si="16"/>
        <v>61.285714285714285</v>
      </c>
      <c r="K71" s="199">
        <v>75.5</v>
      </c>
      <c r="L71" s="198">
        <f t="shared" si="17"/>
        <v>5.091624366330529</v>
      </c>
      <c r="M71" s="200">
        <f t="shared" si="18"/>
        <v>9.92</v>
      </c>
      <c r="N71" s="199">
        <v>180</v>
      </c>
      <c r="O71" s="198">
        <f t="shared" si="19"/>
        <v>45</v>
      </c>
      <c r="P71" s="199">
        <v>51.3</v>
      </c>
      <c r="Q71" s="198">
        <f t="shared" si="20"/>
        <v>3.2981010867016218</v>
      </c>
      <c r="R71" s="199">
        <f t="shared" si="21"/>
        <v>5.12</v>
      </c>
      <c r="S71" s="200">
        <v>411.6</v>
      </c>
      <c r="T71" s="201">
        <v>76.48</v>
      </c>
    </row>
    <row r="72" spans="1:20" x14ac:dyDescent="0.25">
      <c r="A72" s="202" t="str">
        <f t="shared" si="11"/>
        <v>RECF  140*80*5</v>
      </c>
      <c r="B72" s="203">
        <f t="shared" si="12"/>
        <v>15.979612674800991</v>
      </c>
      <c r="C72" s="204">
        <v>140</v>
      </c>
      <c r="D72" s="204">
        <v>80</v>
      </c>
      <c r="E72" s="204">
        <v>5</v>
      </c>
      <c r="F72" s="204">
        <f t="shared" si="13"/>
        <v>5</v>
      </c>
      <c r="G72" s="204">
        <f t="shared" si="14"/>
        <v>10</v>
      </c>
      <c r="H72" s="203">
        <f t="shared" si="15"/>
        <v>20.356194490192344</v>
      </c>
      <c r="I72" s="204">
        <v>416</v>
      </c>
      <c r="J72" s="203">
        <f t="shared" si="16"/>
        <v>59.428571428571431</v>
      </c>
      <c r="K72" s="204">
        <v>91.7</v>
      </c>
      <c r="L72" s="203">
        <f t="shared" si="17"/>
        <v>4.520623824404681</v>
      </c>
      <c r="M72" s="205">
        <f t="shared" si="18"/>
        <v>12</v>
      </c>
      <c r="N72" s="204">
        <v>215</v>
      </c>
      <c r="O72" s="203">
        <f t="shared" si="19"/>
        <v>53.75</v>
      </c>
      <c r="P72" s="204">
        <v>62.1</v>
      </c>
      <c r="Q72" s="203">
        <f t="shared" si="20"/>
        <v>3.2499070063550946</v>
      </c>
      <c r="R72" s="204">
        <f t="shared" si="21"/>
        <v>6</v>
      </c>
      <c r="S72" s="205">
        <v>500.5</v>
      </c>
      <c r="T72" s="206">
        <v>91.83</v>
      </c>
    </row>
    <row r="73" spans="1:20" x14ac:dyDescent="0.25">
      <c r="A73" s="202" t="str">
        <f t="shared" si="11"/>
        <v>RECF  140*80*6</v>
      </c>
      <c r="B73" s="203">
        <f t="shared" si="12"/>
        <v>18.865842251713431</v>
      </c>
      <c r="C73" s="204">
        <v>140</v>
      </c>
      <c r="D73" s="204">
        <v>80</v>
      </c>
      <c r="E73" s="204">
        <v>6</v>
      </c>
      <c r="F73" s="204">
        <f t="shared" si="13"/>
        <v>6</v>
      </c>
      <c r="G73" s="204">
        <f t="shared" si="14"/>
        <v>12</v>
      </c>
      <c r="H73" s="203">
        <f t="shared" si="15"/>
        <v>24.032920065876979</v>
      </c>
      <c r="I73" s="204">
        <v>495</v>
      </c>
      <c r="J73" s="203">
        <f t="shared" si="16"/>
        <v>70.714285714285708</v>
      </c>
      <c r="K73" s="204">
        <v>107</v>
      </c>
      <c r="L73" s="203">
        <f t="shared" si="17"/>
        <v>4.5383640302089274</v>
      </c>
      <c r="M73" s="205">
        <f t="shared" si="18"/>
        <v>13.92</v>
      </c>
      <c r="N73" s="204">
        <v>247</v>
      </c>
      <c r="O73" s="203">
        <f t="shared" si="19"/>
        <v>61.75</v>
      </c>
      <c r="P73" s="204">
        <v>72.3</v>
      </c>
      <c r="Q73" s="203">
        <f t="shared" si="20"/>
        <v>3.2058648192517576</v>
      </c>
      <c r="R73" s="204">
        <f t="shared" si="21"/>
        <v>6.72</v>
      </c>
      <c r="S73" s="205">
        <v>583.80000000000007</v>
      </c>
      <c r="T73" s="206">
        <v>105.8</v>
      </c>
    </row>
    <row r="74" spans="1:20" x14ac:dyDescent="0.25">
      <c r="A74" s="202" t="str">
        <f t="shared" si="11"/>
        <v>RECF  140*80*6.3</v>
      </c>
      <c r="B74" s="203">
        <f t="shared" si="12"/>
        <v>19.444130110018737</v>
      </c>
      <c r="C74" s="204">
        <v>140</v>
      </c>
      <c r="D74" s="204">
        <v>80</v>
      </c>
      <c r="E74" s="204">
        <v>6.3</v>
      </c>
      <c r="F74" s="204">
        <f t="shared" si="13"/>
        <v>9.4499999999999993</v>
      </c>
      <c r="G74" s="204">
        <f t="shared" si="14"/>
        <v>15.75</v>
      </c>
      <c r="H74" s="203">
        <f t="shared" si="15"/>
        <v>24.769592496839156</v>
      </c>
      <c r="I74" s="204">
        <v>599</v>
      </c>
      <c r="J74" s="203">
        <f t="shared" si="16"/>
        <v>85.571428571428569</v>
      </c>
      <c r="K74" s="204">
        <v>109</v>
      </c>
      <c r="L74" s="203">
        <f t="shared" si="17"/>
        <v>4.9176088344965798</v>
      </c>
      <c r="M74" s="205">
        <f t="shared" si="18"/>
        <v>13.670999999999999</v>
      </c>
      <c r="N74" s="204">
        <v>249</v>
      </c>
      <c r="O74" s="203">
        <f t="shared" si="19"/>
        <v>62.25</v>
      </c>
      <c r="P74" s="204">
        <v>73.7</v>
      </c>
      <c r="Q74" s="203">
        <f t="shared" si="20"/>
        <v>3.1705911472609416</v>
      </c>
      <c r="R74" s="204">
        <f t="shared" si="21"/>
        <v>6.1110000000000007</v>
      </c>
      <c r="S74" s="205">
        <v>608.5</v>
      </c>
      <c r="T74" s="206">
        <v>109.2</v>
      </c>
    </row>
    <row r="75" spans="1:20" x14ac:dyDescent="0.25">
      <c r="A75" s="207" t="str">
        <f t="shared" si="11"/>
        <v>RECF  140*80*8</v>
      </c>
      <c r="B75" s="208">
        <f t="shared" si="12"/>
        <v>23.897344596654047</v>
      </c>
      <c r="C75" s="209">
        <v>140</v>
      </c>
      <c r="D75" s="209">
        <v>80</v>
      </c>
      <c r="E75" s="209">
        <v>8</v>
      </c>
      <c r="F75" s="209">
        <f t="shared" si="13"/>
        <v>12</v>
      </c>
      <c r="G75" s="209">
        <f t="shared" si="14"/>
        <v>20</v>
      </c>
      <c r="H75" s="208">
        <f t="shared" si="15"/>
        <v>30.44247719318987</v>
      </c>
      <c r="I75" s="209">
        <v>700</v>
      </c>
      <c r="J75" s="208">
        <f t="shared" si="16"/>
        <v>100</v>
      </c>
      <c r="K75" s="209">
        <v>130</v>
      </c>
      <c r="L75" s="208">
        <f t="shared" si="17"/>
        <v>4.7952253922355288</v>
      </c>
      <c r="M75" s="210">
        <f t="shared" si="18"/>
        <v>16</v>
      </c>
      <c r="N75" s="209">
        <v>289</v>
      </c>
      <c r="O75" s="208">
        <f t="shared" si="19"/>
        <v>72.25</v>
      </c>
      <c r="P75" s="209">
        <v>87.8</v>
      </c>
      <c r="Q75" s="208">
        <f t="shared" si="20"/>
        <v>3.0811222251725034</v>
      </c>
      <c r="R75" s="209">
        <f t="shared" si="21"/>
        <v>6.4</v>
      </c>
      <c r="S75" s="210">
        <v>731.40000000000009</v>
      </c>
      <c r="T75" s="211">
        <v>128.80000000000001</v>
      </c>
    </row>
    <row r="76" spans="1:20" x14ac:dyDescent="0.25">
      <c r="A76" s="194" t="str">
        <f t="shared" si="11"/>
        <v>RECF  150*100*4</v>
      </c>
      <c r="B76" s="195">
        <f t="shared" si="12"/>
        <v>14.874152111872634</v>
      </c>
      <c r="C76" s="148">
        <v>150</v>
      </c>
      <c r="D76" s="148">
        <v>100</v>
      </c>
      <c r="E76" s="148">
        <v>4</v>
      </c>
      <c r="F76" s="148">
        <f t="shared" si="13"/>
        <v>4</v>
      </c>
      <c r="G76" s="148">
        <f t="shared" si="14"/>
        <v>8</v>
      </c>
      <c r="H76" s="195">
        <f t="shared" si="15"/>
        <v>18.947964473723101</v>
      </c>
      <c r="I76" s="148">
        <v>594</v>
      </c>
      <c r="J76" s="195">
        <f t="shared" si="16"/>
        <v>79.2</v>
      </c>
      <c r="K76" s="148">
        <v>95.6</v>
      </c>
      <c r="L76" s="195">
        <f t="shared" si="17"/>
        <v>5.5990190044515371</v>
      </c>
      <c r="M76" s="196">
        <f t="shared" si="18"/>
        <v>10.72</v>
      </c>
      <c r="N76" s="148">
        <v>318</v>
      </c>
      <c r="O76" s="195">
        <f t="shared" si="19"/>
        <v>63.6</v>
      </c>
      <c r="P76" s="148">
        <v>72.400000000000006</v>
      </c>
      <c r="Q76" s="195">
        <f t="shared" si="20"/>
        <v>4.0966822398391063</v>
      </c>
      <c r="R76" s="148">
        <f t="shared" si="21"/>
        <v>6.72</v>
      </c>
      <c r="S76" s="196">
        <v>661.6</v>
      </c>
      <c r="T76" s="148">
        <v>104.9</v>
      </c>
    </row>
    <row r="77" spans="1:20" x14ac:dyDescent="0.25">
      <c r="A77" s="194" t="str">
        <f t="shared" si="11"/>
        <v>RECF  150*100*5</v>
      </c>
      <c r="B77" s="195">
        <f t="shared" si="12"/>
        <v>18.334612674800994</v>
      </c>
      <c r="C77" s="148">
        <v>150</v>
      </c>
      <c r="D77" s="148">
        <v>100</v>
      </c>
      <c r="E77" s="148">
        <v>5</v>
      </c>
      <c r="F77" s="148">
        <f t="shared" si="13"/>
        <v>5</v>
      </c>
      <c r="G77" s="148">
        <f t="shared" si="14"/>
        <v>10</v>
      </c>
      <c r="H77" s="195">
        <f t="shared" si="15"/>
        <v>23.356194490192348</v>
      </c>
      <c r="I77" s="148">
        <v>718</v>
      </c>
      <c r="J77" s="195">
        <f t="shared" si="16"/>
        <v>95.733333333333334</v>
      </c>
      <c r="K77" s="148">
        <v>117</v>
      </c>
      <c r="L77" s="195">
        <f t="shared" si="17"/>
        <v>5.5444845880708664</v>
      </c>
      <c r="M77" s="196">
        <f t="shared" si="18"/>
        <v>13</v>
      </c>
      <c r="N77" s="148">
        <v>383</v>
      </c>
      <c r="O77" s="195">
        <f t="shared" si="19"/>
        <v>76.599999999999994</v>
      </c>
      <c r="P77" s="148">
        <v>88.2</v>
      </c>
      <c r="Q77" s="195">
        <f t="shared" si="20"/>
        <v>4.0494714879262954</v>
      </c>
      <c r="R77" s="148">
        <f t="shared" si="21"/>
        <v>8</v>
      </c>
      <c r="S77" s="196">
        <v>808.7</v>
      </c>
      <c r="T77" s="148">
        <v>126.8</v>
      </c>
    </row>
    <row r="78" spans="1:20" x14ac:dyDescent="0.25">
      <c r="A78" s="194" t="str">
        <f t="shared" si="11"/>
        <v>RECF  150*100*6</v>
      </c>
      <c r="B78" s="195">
        <f t="shared" si="12"/>
        <v>21.691842251713432</v>
      </c>
      <c r="C78" s="148">
        <v>150</v>
      </c>
      <c r="D78" s="148">
        <v>100</v>
      </c>
      <c r="E78" s="148">
        <v>6</v>
      </c>
      <c r="F78" s="148">
        <f t="shared" si="13"/>
        <v>6</v>
      </c>
      <c r="G78" s="148">
        <f t="shared" si="14"/>
        <v>12</v>
      </c>
      <c r="H78" s="195">
        <f t="shared" si="15"/>
        <v>27.632920065876981</v>
      </c>
      <c r="I78" s="148">
        <v>832</v>
      </c>
      <c r="J78" s="195">
        <f t="shared" si="16"/>
        <v>110.93333333333334</v>
      </c>
      <c r="K78" s="148">
        <v>137</v>
      </c>
      <c r="L78" s="195">
        <f t="shared" si="17"/>
        <v>5.4871681975167963</v>
      </c>
      <c r="M78" s="196">
        <f t="shared" si="18"/>
        <v>15.120000000000001</v>
      </c>
      <c r="N78" s="148">
        <v>443</v>
      </c>
      <c r="O78" s="195">
        <f t="shared" si="19"/>
        <v>88.6</v>
      </c>
      <c r="P78" s="148">
        <v>103</v>
      </c>
      <c r="Q78" s="195">
        <f t="shared" si="20"/>
        <v>4.0039484071394895</v>
      </c>
      <c r="R78" s="148">
        <f t="shared" si="21"/>
        <v>9.120000000000001</v>
      </c>
      <c r="S78" s="196">
        <v>948.30000000000007</v>
      </c>
      <c r="T78" s="148">
        <v>147.1</v>
      </c>
    </row>
    <row r="79" spans="1:20" x14ac:dyDescent="0.25">
      <c r="A79" s="194" t="str">
        <f t="shared" si="11"/>
        <v>RECF  150*100*6.3</v>
      </c>
      <c r="B79" s="195">
        <f t="shared" si="12"/>
        <v>22.411430110018735</v>
      </c>
      <c r="C79" s="148">
        <v>150</v>
      </c>
      <c r="D79" s="148">
        <v>100</v>
      </c>
      <c r="E79" s="148">
        <v>6.3</v>
      </c>
      <c r="F79" s="148">
        <f t="shared" si="13"/>
        <v>9.4499999999999993</v>
      </c>
      <c r="G79" s="148">
        <f t="shared" si="14"/>
        <v>15.75</v>
      </c>
      <c r="H79" s="195">
        <f t="shared" si="15"/>
        <v>28.549592496839153</v>
      </c>
      <c r="I79" s="148">
        <v>844</v>
      </c>
      <c r="J79" s="195">
        <f t="shared" si="16"/>
        <v>112.53333333333333</v>
      </c>
      <c r="K79" s="148">
        <v>140</v>
      </c>
      <c r="L79" s="195">
        <f t="shared" si="17"/>
        <v>5.4371493988072661</v>
      </c>
      <c r="M79" s="196">
        <f t="shared" si="18"/>
        <v>14.930999999999999</v>
      </c>
      <c r="N79" s="148">
        <v>450</v>
      </c>
      <c r="O79" s="195">
        <f t="shared" si="19"/>
        <v>90</v>
      </c>
      <c r="P79" s="148">
        <v>106</v>
      </c>
      <c r="Q79" s="195">
        <f t="shared" si="20"/>
        <v>3.9701443730281052</v>
      </c>
      <c r="R79" s="148">
        <f t="shared" si="21"/>
        <v>8.6310000000000002</v>
      </c>
      <c r="S79" s="196">
        <v>991.6</v>
      </c>
      <c r="T79" s="148">
        <v>152.30000000000001</v>
      </c>
    </row>
    <row r="80" spans="1:20" x14ac:dyDescent="0.25">
      <c r="A80" s="194" t="str">
        <f t="shared" si="11"/>
        <v>RECF  150*100*8</v>
      </c>
      <c r="B80" s="195">
        <f t="shared" si="12"/>
        <v>27.665344596654048</v>
      </c>
      <c r="C80" s="148">
        <v>150</v>
      </c>
      <c r="D80" s="148">
        <v>100</v>
      </c>
      <c r="E80" s="148">
        <v>8</v>
      </c>
      <c r="F80" s="148">
        <f t="shared" si="13"/>
        <v>12</v>
      </c>
      <c r="G80" s="148">
        <f t="shared" si="14"/>
        <v>20</v>
      </c>
      <c r="H80" s="195">
        <f t="shared" si="15"/>
        <v>35.24247719318987</v>
      </c>
      <c r="I80" s="148">
        <v>999</v>
      </c>
      <c r="J80" s="195">
        <f t="shared" si="16"/>
        <v>133.19999999999999</v>
      </c>
      <c r="K80" s="148">
        <v>169</v>
      </c>
      <c r="L80" s="195">
        <f t="shared" si="17"/>
        <v>5.3241407792275828</v>
      </c>
      <c r="M80" s="196">
        <f t="shared" si="18"/>
        <v>17.600000000000001</v>
      </c>
      <c r="N80" s="148">
        <v>530</v>
      </c>
      <c r="O80" s="195">
        <f t="shared" si="19"/>
        <v>106</v>
      </c>
      <c r="P80" s="148">
        <v>127</v>
      </c>
      <c r="Q80" s="195">
        <f t="shared" si="20"/>
        <v>3.877972465099274</v>
      </c>
      <c r="R80" s="148">
        <f t="shared" si="21"/>
        <v>9.6</v>
      </c>
      <c r="S80" s="196">
        <v>1206</v>
      </c>
      <c r="T80" s="148">
        <v>181.8</v>
      </c>
    </row>
    <row r="81" spans="1:20" x14ac:dyDescent="0.25">
      <c r="A81" s="194" t="str">
        <f t="shared" si="11"/>
        <v>RECF  150*100*10</v>
      </c>
      <c r="B81" s="195">
        <f t="shared" si="12"/>
        <v>33.414600932271959</v>
      </c>
      <c r="C81" s="148">
        <v>150</v>
      </c>
      <c r="D81" s="148">
        <v>100</v>
      </c>
      <c r="E81" s="148">
        <v>10</v>
      </c>
      <c r="F81" s="148">
        <f t="shared" si="13"/>
        <v>15</v>
      </c>
      <c r="G81" s="148">
        <f t="shared" si="14"/>
        <v>25</v>
      </c>
      <c r="H81" s="195">
        <f t="shared" si="15"/>
        <v>42.56637061435918</v>
      </c>
      <c r="I81" s="148">
        <v>1145</v>
      </c>
      <c r="J81" s="195">
        <f t="shared" si="16"/>
        <v>152.66666666666666</v>
      </c>
      <c r="K81" s="148">
        <v>198</v>
      </c>
      <c r="L81" s="195">
        <f t="shared" si="17"/>
        <v>5.1864408869164444</v>
      </c>
      <c r="M81" s="196">
        <f t="shared" si="18"/>
        <v>20</v>
      </c>
      <c r="N81" s="148">
        <v>603</v>
      </c>
      <c r="O81" s="195">
        <f t="shared" si="19"/>
        <v>120.6</v>
      </c>
      <c r="P81" s="148">
        <v>149</v>
      </c>
      <c r="Q81" s="195">
        <f t="shared" si="20"/>
        <v>3.7637896621927953</v>
      </c>
      <c r="R81" s="148">
        <f t="shared" si="21"/>
        <v>10</v>
      </c>
      <c r="S81" s="196">
        <v>1426</v>
      </c>
      <c r="T81" s="148">
        <v>211</v>
      </c>
    </row>
    <row r="82" spans="1:20" x14ac:dyDescent="0.25">
      <c r="A82" s="194" t="str">
        <f t="shared" si="11"/>
        <v>RECF  150*100*12</v>
      </c>
      <c r="B82" s="195">
        <f t="shared" si="12"/>
        <v>37.726681678089513</v>
      </c>
      <c r="C82" s="148">
        <v>150</v>
      </c>
      <c r="D82" s="148">
        <v>100</v>
      </c>
      <c r="E82" s="148">
        <v>12</v>
      </c>
      <c r="F82" s="148">
        <f t="shared" si="13"/>
        <v>24</v>
      </c>
      <c r="G82" s="148">
        <f t="shared" si="14"/>
        <v>36</v>
      </c>
      <c r="H82" s="195">
        <f t="shared" si="15"/>
        <v>48.059467105846508</v>
      </c>
      <c r="I82" s="148">
        <v>1166</v>
      </c>
      <c r="J82" s="195">
        <f t="shared" si="16"/>
        <v>155.46666666666667</v>
      </c>
      <c r="K82" s="148">
        <v>212</v>
      </c>
      <c r="L82" s="195">
        <f t="shared" si="17"/>
        <v>4.9256074759219262</v>
      </c>
      <c r="M82" s="196">
        <f t="shared" si="18"/>
        <v>18.72</v>
      </c>
      <c r="N82" s="148">
        <v>616</v>
      </c>
      <c r="O82" s="195">
        <f t="shared" si="19"/>
        <v>123.2</v>
      </c>
      <c r="P82" s="148">
        <v>160</v>
      </c>
      <c r="Q82" s="195">
        <f t="shared" si="20"/>
        <v>3.580147177832754</v>
      </c>
      <c r="R82" s="148">
        <f t="shared" si="21"/>
        <v>6.72</v>
      </c>
      <c r="S82" s="196">
        <v>1573</v>
      </c>
      <c r="T82" s="148">
        <v>228.7</v>
      </c>
    </row>
    <row r="83" spans="1:20" x14ac:dyDescent="0.25">
      <c r="A83" s="194" t="str">
        <f t="shared" si="11"/>
        <v>RECF  150*100*12.5</v>
      </c>
      <c r="B83" s="195">
        <f t="shared" si="12"/>
        <v>38.891798695843654</v>
      </c>
      <c r="C83" s="148">
        <v>150</v>
      </c>
      <c r="D83" s="148">
        <v>100</v>
      </c>
      <c r="E83" s="148">
        <v>12.5</v>
      </c>
      <c r="F83" s="148">
        <f t="shared" si="13"/>
        <v>25</v>
      </c>
      <c r="G83" s="148">
        <f t="shared" si="14"/>
        <v>37.5</v>
      </c>
      <c r="H83" s="195">
        <f t="shared" si="15"/>
        <v>49.543692606170261</v>
      </c>
      <c r="I83" s="148">
        <v>1179</v>
      </c>
      <c r="J83" s="195">
        <f t="shared" si="16"/>
        <v>157.19999999999999</v>
      </c>
      <c r="K83" s="148">
        <v>216</v>
      </c>
      <c r="L83" s="195">
        <f t="shared" si="17"/>
        <v>4.8782349832968661</v>
      </c>
      <c r="M83" s="196">
        <f t="shared" si="18"/>
        <v>18.75</v>
      </c>
      <c r="N83" s="148">
        <v>622</v>
      </c>
      <c r="O83" s="195">
        <f t="shared" si="19"/>
        <v>124.4</v>
      </c>
      <c r="P83" s="148">
        <v>163</v>
      </c>
      <c r="Q83" s="195">
        <f t="shared" si="20"/>
        <v>3.5432435574103933</v>
      </c>
      <c r="R83" s="148">
        <f t="shared" si="21"/>
        <v>6.25</v>
      </c>
      <c r="S83" s="196">
        <v>1606</v>
      </c>
      <c r="T83" s="148">
        <v>232.9</v>
      </c>
    </row>
    <row r="84" spans="1:20" x14ac:dyDescent="0.25">
      <c r="A84" s="197" t="str">
        <f t="shared" si="11"/>
        <v>RECF  160*80*4</v>
      </c>
      <c r="B84" s="198">
        <f t="shared" si="12"/>
        <v>14.246152111872634</v>
      </c>
      <c r="C84" s="199">
        <v>160</v>
      </c>
      <c r="D84" s="199">
        <v>80</v>
      </c>
      <c r="E84" s="199">
        <v>4</v>
      </c>
      <c r="F84" s="199">
        <f t="shared" si="13"/>
        <v>4</v>
      </c>
      <c r="G84" s="199">
        <f t="shared" si="14"/>
        <v>8</v>
      </c>
      <c r="H84" s="198">
        <f t="shared" si="15"/>
        <v>18.1479644737231</v>
      </c>
      <c r="I84" s="199">
        <v>597</v>
      </c>
      <c r="J84" s="198">
        <f t="shared" si="16"/>
        <v>74.625</v>
      </c>
      <c r="K84" s="199">
        <v>92.8</v>
      </c>
      <c r="L84" s="198">
        <f t="shared" si="17"/>
        <v>5.7355253730500069</v>
      </c>
      <c r="M84" s="200">
        <f t="shared" si="18"/>
        <v>11.52</v>
      </c>
      <c r="N84" s="199">
        <v>203</v>
      </c>
      <c r="O84" s="198">
        <f t="shared" si="19"/>
        <v>50.75</v>
      </c>
      <c r="P84" s="199">
        <v>57.3</v>
      </c>
      <c r="Q84" s="198">
        <f t="shared" si="20"/>
        <v>3.3445220130290898</v>
      </c>
      <c r="R84" s="199">
        <f t="shared" si="21"/>
        <v>5.12</v>
      </c>
      <c r="S84" s="200">
        <v>494.1</v>
      </c>
      <c r="T84" s="201">
        <v>88.03</v>
      </c>
    </row>
    <row r="85" spans="1:20" x14ac:dyDescent="0.25">
      <c r="A85" s="202" t="str">
        <f t="shared" si="11"/>
        <v>RECF  160*80*5</v>
      </c>
      <c r="B85" s="203">
        <f t="shared" si="12"/>
        <v>17.549612674800994</v>
      </c>
      <c r="C85" s="204">
        <v>160</v>
      </c>
      <c r="D85" s="204">
        <v>80</v>
      </c>
      <c r="E85" s="204">
        <v>5</v>
      </c>
      <c r="F85" s="204">
        <f t="shared" si="13"/>
        <v>5</v>
      </c>
      <c r="G85" s="204">
        <f t="shared" si="14"/>
        <v>10</v>
      </c>
      <c r="H85" s="203">
        <f t="shared" si="15"/>
        <v>22.356194490192348</v>
      </c>
      <c r="I85" s="204">
        <v>720</v>
      </c>
      <c r="J85" s="203">
        <f t="shared" si="16"/>
        <v>90</v>
      </c>
      <c r="K85" s="204">
        <v>113</v>
      </c>
      <c r="L85" s="203">
        <f t="shared" si="17"/>
        <v>5.675018853002773</v>
      </c>
      <c r="M85" s="205">
        <f t="shared" si="18"/>
        <v>14</v>
      </c>
      <c r="N85" s="204">
        <v>243</v>
      </c>
      <c r="O85" s="203">
        <f t="shared" si="19"/>
        <v>60.75</v>
      </c>
      <c r="P85" s="204">
        <v>69.599999999999994</v>
      </c>
      <c r="Q85" s="203">
        <f t="shared" si="20"/>
        <v>3.2968880260639288</v>
      </c>
      <c r="R85" s="204">
        <f t="shared" si="21"/>
        <v>6</v>
      </c>
      <c r="S85" s="205">
        <v>601.30000000000007</v>
      </c>
      <c r="T85" s="206">
        <v>105.9</v>
      </c>
    </row>
    <row r="86" spans="1:20" x14ac:dyDescent="0.25">
      <c r="A86" s="202" t="str">
        <f t="shared" si="11"/>
        <v>RECF  160*80*6</v>
      </c>
      <c r="B86" s="203">
        <f t="shared" si="12"/>
        <v>20.749842251713428</v>
      </c>
      <c r="C86" s="204">
        <v>160</v>
      </c>
      <c r="D86" s="204">
        <v>80</v>
      </c>
      <c r="E86" s="204">
        <v>6</v>
      </c>
      <c r="F86" s="204">
        <f t="shared" si="13"/>
        <v>6</v>
      </c>
      <c r="G86" s="204">
        <f t="shared" si="14"/>
        <v>12</v>
      </c>
      <c r="H86" s="203">
        <f t="shared" si="15"/>
        <v>26.432920065876978</v>
      </c>
      <c r="I86" s="204">
        <v>833</v>
      </c>
      <c r="J86" s="203">
        <f t="shared" si="16"/>
        <v>104.125</v>
      </c>
      <c r="K86" s="204">
        <v>132</v>
      </c>
      <c r="L86" s="203">
        <f t="shared" si="17"/>
        <v>5.6137094290329177</v>
      </c>
      <c r="M86" s="205">
        <f t="shared" si="18"/>
        <v>16.32</v>
      </c>
      <c r="N86" s="204">
        <v>280</v>
      </c>
      <c r="O86" s="203">
        <f t="shared" si="19"/>
        <v>70</v>
      </c>
      <c r="P86" s="204">
        <v>81.099999999999994</v>
      </c>
      <c r="Q86" s="203">
        <f t="shared" si="20"/>
        <v>3.2546661295223296</v>
      </c>
      <c r="R86" s="204">
        <f t="shared" si="21"/>
        <v>6.72</v>
      </c>
      <c r="S86" s="205">
        <v>702.1</v>
      </c>
      <c r="T86" s="206">
        <v>122.3</v>
      </c>
    </row>
    <row r="87" spans="1:20" x14ac:dyDescent="0.25">
      <c r="A87" s="202" t="str">
        <f t="shared" si="11"/>
        <v>RECF  160*80*6.3</v>
      </c>
      <c r="B87" s="203">
        <f t="shared" si="12"/>
        <v>21.422330110018738</v>
      </c>
      <c r="C87" s="204">
        <v>160</v>
      </c>
      <c r="D87" s="204">
        <v>80</v>
      </c>
      <c r="E87" s="204">
        <v>6.3</v>
      </c>
      <c r="F87" s="204">
        <f t="shared" si="13"/>
        <v>9.4499999999999993</v>
      </c>
      <c r="G87" s="204">
        <f t="shared" si="14"/>
        <v>15.75</v>
      </c>
      <c r="H87" s="203">
        <f t="shared" si="15"/>
        <v>27.289592496839155</v>
      </c>
      <c r="I87" s="204">
        <v>842</v>
      </c>
      <c r="J87" s="203">
        <f t="shared" si="16"/>
        <v>105.25</v>
      </c>
      <c r="K87" s="204">
        <v>135</v>
      </c>
      <c r="L87" s="203">
        <f t="shared" si="17"/>
        <v>5.5546605048168898</v>
      </c>
      <c r="M87" s="205">
        <f t="shared" si="18"/>
        <v>16.190999999999999</v>
      </c>
      <c r="N87" s="204">
        <v>283</v>
      </c>
      <c r="O87" s="203">
        <f t="shared" si="19"/>
        <v>70.75</v>
      </c>
      <c r="P87" s="204">
        <v>83</v>
      </c>
      <c r="Q87" s="203">
        <f t="shared" si="20"/>
        <v>3.2202878426227688</v>
      </c>
      <c r="R87" s="204">
        <f t="shared" si="21"/>
        <v>6.1110000000000007</v>
      </c>
      <c r="S87" s="205">
        <v>732.30000000000007</v>
      </c>
      <c r="T87" s="206">
        <v>126.3</v>
      </c>
    </row>
    <row r="88" spans="1:20" x14ac:dyDescent="0.25">
      <c r="A88" s="202" t="str">
        <f t="shared" si="11"/>
        <v>RECF  160*80*8</v>
      </c>
      <c r="B88" s="203">
        <f t="shared" si="12"/>
        <v>26.409344596654048</v>
      </c>
      <c r="C88" s="204">
        <v>160</v>
      </c>
      <c r="D88" s="204">
        <v>80</v>
      </c>
      <c r="E88" s="204">
        <v>8</v>
      </c>
      <c r="F88" s="204">
        <f t="shared" si="13"/>
        <v>12</v>
      </c>
      <c r="G88" s="204">
        <f t="shared" si="14"/>
        <v>20</v>
      </c>
      <c r="H88" s="203">
        <f t="shared" si="15"/>
        <v>33.642477193189869</v>
      </c>
      <c r="I88" s="204">
        <v>992</v>
      </c>
      <c r="J88" s="203">
        <f t="shared" si="16"/>
        <v>124</v>
      </c>
      <c r="K88" s="204">
        <v>162</v>
      </c>
      <c r="L88" s="203">
        <f t="shared" si="17"/>
        <v>5.4301503280375059</v>
      </c>
      <c r="M88" s="205">
        <f t="shared" si="18"/>
        <v>19.2</v>
      </c>
      <c r="N88" s="204">
        <v>330</v>
      </c>
      <c r="O88" s="203">
        <f t="shared" si="19"/>
        <v>82.5</v>
      </c>
      <c r="P88" s="204">
        <v>99.4</v>
      </c>
      <c r="Q88" s="203">
        <f t="shared" si="20"/>
        <v>3.1319367772823052</v>
      </c>
      <c r="R88" s="204">
        <f t="shared" si="21"/>
        <v>6.4</v>
      </c>
      <c r="S88" s="205">
        <v>882.30000000000007</v>
      </c>
      <c r="T88" s="206">
        <v>149.5</v>
      </c>
    </row>
    <row r="89" spans="1:20" x14ac:dyDescent="0.25">
      <c r="A89" s="202" t="str">
        <f t="shared" si="11"/>
        <v>RECF  160*80*10</v>
      </c>
      <c r="B89" s="203">
        <f t="shared" si="12"/>
        <v>31.844600932271959</v>
      </c>
      <c r="C89" s="204">
        <v>160</v>
      </c>
      <c r="D89" s="204">
        <v>80</v>
      </c>
      <c r="E89" s="204">
        <v>10</v>
      </c>
      <c r="F89" s="204">
        <f t="shared" si="13"/>
        <v>15</v>
      </c>
      <c r="G89" s="204">
        <f t="shared" si="14"/>
        <v>25</v>
      </c>
      <c r="H89" s="203">
        <f t="shared" si="15"/>
        <v>40.56637061435918</v>
      </c>
      <c r="I89" s="204">
        <v>1128</v>
      </c>
      <c r="J89" s="203">
        <f t="shared" si="16"/>
        <v>141</v>
      </c>
      <c r="K89" s="204">
        <v>190</v>
      </c>
      <c r="L89" s="203">
        <f t="shared" si="17"/>
        <v>5.273166359401988</v>
      </c>
      <c r="M89" s="205">
        <f t="shared" si="18"/>
        <v>22</v>
      </c>
      <c r="N89" s="204">
        <v>371</v>
      </c>
      <c r="O89" s="203">
        <f t="shared" si="19"/>
        <v>92.75</v>
      </c>
      <c r="P89" s="204">
        <v>115</v>
      </c>
      <c r="Q89" s="203">
        <f t="shared" si="20"/>
        <v>3.0241538235952214</v>
      </c>
      <c r="R89" s="204">
        <f t="shared" si="21"/>
        <v>6</v>
      </c>
      <c r="S89" s="205">
        <v>1031</v>
      </c>
      <c r="T89" s="206">
        <v>171.6</v>
      </c>
    </row>
    <row r="90" spans="1:20" x14ac:dyDescent="0.25">
      <c r="A90" s="202" t="str">
        <f t="shared" si="11"/>
        <v>RECF  160*80*12</v>
      </c>
      <c r="B90" s="203">
        <f t="shared" si="12"/>
        <v>35.842681678089512</v>
      </c>
      <c r="C90" s="204">
        <v>160</v>
      </c>
      <c r="D90" s="204">
        <v>80</v>
      </c>
      <c r="E90" s="204">
        <v>12</v>
      </c>
      <c r="F90" s="204">
        <f t="shared" si="13"/>
        <v>24</v>
      </c>
      <c r="G90" s="204">
        <f t="shared" si="14"/>
        <v>36</v>
      </c>
      <c r="H90" s="203">
        <f t="shared" si="15"/>
        <v>45.65946710584651</v>
      </c>
      <c r="I90" s="204">
        <v>1127</v>
      </c>
      <c r="J90" s="203">
        <f t="shared" si="16"/>
        <v>140.875</v>
      </c>
      <c r="K90" s="204">
        <v>201</v>
      </c>
      <c r="L90" s="203">
        <f t="shared" si="17"/>
        <v>4.9681710379263215</v>
      </c>
      <c r="M90" s="205">
        <f t="shared" si="18"/>
        <v>21.12</v>
      </c>
      <c r="N90" s="204">
        <v>371</v>
      </c>
      <c r="O90" s="203">
        <f t="shared" si="19"/>
        <v>92.75</v>
      </c>
      <c r="P90" s="204">
        <v>122</v>
      </c>
      <c r="Q90" s="203">
        <f t="shared" si="20"/>
        <v>2.8505032175232401</v>
      </c>
      <c r="R90" s="204">
        <f t="shared" si="21"/>
        <v>1.92</v>
      </c>
      <c r="S90" s="205">
        <v>1111</v>
      </c>
      <c r="T90" s="206">
        <v>182.6</v>
      </c>
    </row>
    <row r="91" spans="1:20" x14ac:dyDescent="0.25">
      <c r="A91" s="207" t="str">
        <f t="shared" si="11"/>
        <v>RECF  160*80*12.5</v>
      </c>
      <c r="B91" s="208">
        <f t="shared" si="12"/>
        <v>36.929298695843656</v>
      </c>
      <c r="C91" s="209">
        <v>160</v>
      </c>
      <c r="D91" s="209">
        <v>80</v>
      </c>
      <c r="E91" s="209">
        <v>12.5</v>
      </c>
      <c r="F91" s="209">
        <f t="shared" si="13"/>
        <v>25</v>
      </c>
      <c r="G91" s="209">
        <f t="shared" si="14"/>
        <v>37.5</v>
      </c>
      <c r="H91" s="208">
        <f t="shared" si="15"/>
        <v>47.043692606170261</v>
      </c>
      <c r="I91" s="209">
        <v>1135</v>
      </c>
      <c r="J91" s="208">
        <f t="shared" si="16"/>
        <v>141.875</v>
      </c>
      <c r="K91" s="209">
        <v>205</v>
      </c>
      <c r="L91" s="208">
        <f t="shared" si="17"/>
        <v>4.9118741277704459</v>
      </c>
      <c r="M91" s="210">
        <f t="shared" si="18"/>
        <v>21.25</v>
      </c>
      <c r="N91" s="209">
        <v>373</v>
      </c>
      <c r="O91" s="208">
        <f t="shared" si="19"/>
        <v>93.25</v>
      </c>
      <c r="P91" s="209">
        <v>124</v>
      </c>
      <c r="Q91" s="208">
        <f t="shared" si="20"/>
        <v>2.8158123807632474</v>
      </c>
      <c r="R91" s="209">
        <f t="shared" si="21"/>
        <v>1.25</v>
      </c>
      <c r="S91" s="210">
        <v>1129</v>
      </c>
      <c r="T91" s="211">
        <v>185.2</v>
      </c>
    </row>
    <row r="92" spans="1:20" x14ac:dyDescent="0.25">
      <c r="A92" s="194" t="str">
        <f t="shared" si="11"/>
        <v>RECF  180*100*4</v>
      </c>
      <c r="B92" s="195">
        <f t="shared" si="12"/>
        <v>16.758152111872633</v>
      </c>
      <c r="C92" s="148">
        <v>180</v>
      </c>
      <c r="D92" s="148">
        <v>100</v>
      </c>
      <c r="E92" s="148">
        <v>4</v>
      </c>
      <c r="F92" s="148">
        <f t="shared" si="13"/>
        <v>4</v>
      </c>
      <c r="G92" s="148">
        <f t="shared" si="14"/>
        <v>8</v>
      </c>
      <c r="H92" s="195">
        <f t="shared" si="15"/>
        <v>21.347964473723099</v>
      </c>
      <c r="I92" s="148">
        <v>925</v>
      </c>
      <c r="J92" s="195">
        <f t="shared" si="16"/>
        <v>102.77777777777777</v>
      </c>
      <c r="K92" s="148">
        <v>126</v>
      </c>
      <c r="L92" s="195">
        <f t="shared" si="17"/>
        <v>6.5825267197895183</v>
      </c>
      <c r="M92" s="196">
        <f t="shared" si="18"/>
        <v>13.120000000000001</v>
      </c>
      <c r="N92" s="148">
        <v>373</v>
      </c>
      <c r="O92" s="195">
        <f t="shared" si="19"/>
        <v>74.599999999999994</v>
      </c>
      <c r="P92" s="148">
        <v>84</v>
      </c>
      <c r="Q92" s="195">
        <f t="shared" si="20"/>
        <v>4.179999022403238</v>
      </c>
      <c r="R92" s="148">
        <f t="shared" si="21"/>
        <v>6.72</v>
      </c>
      <c r="S92" s="196">
        <v>853.80000000000007</v>
      </c>
      <c r="T92" s="148">
        <v>127.1</v>
      </c>
    </row>
    <row r="93" spans="1:20" x14ac:dyDescent="0.25">
      <c r="A93" s="194" t="str">
        <f t="shared" si="11"/>
        <v>RECF  180*100*5</v>
      </c>
      <c r="B93" s="195">
        <f t="shared" si="12"/>
        <v>20.689612674800994</v>
      </c>
      <c r="C93" s="148">
        <v>180</v>
      </c>
      <c r="D93" s="148">
        <v>100</v>
      </c>
      <c r="E93" s="148">
        <v>5</v>
      </c>
      <c r="F93" s="148">
        <f t="shared" si="13"/>
        <v>5</v>
      </c>
      <c r="G93" s="148">
        <f t="shared" si="14"/>
        <v>10</v>
      </c>
      <c r="H93" s="195">
        <f t="shared" si="15"/>
        <v>26.356194490192348</v>
      </c>
      <c r="I93" s="148">
        <v>1123</v>
      </c>
      <c r="J93" s="195">
        <f t="shared" si="16"/>
        <v>124.77777777777777</v>
      </c>
      <c r="K93" s="148">
        <v>154</v>
      </c>
      <c r="L93" s="195">
        <f t="shared" si="17"/>
        <v>6.5275247365960638</v>
      </c>
      <c r="M93" s="196">
        <f t="shared" si="18"/>
        <v>16</v>
      </c>
      <c r="N93" s="148">
        <v>451</v>
      </c>
      <c r="O93" s="195">
        <f t="shared" si="19"/>
        <v>90.2</v>
      </c>
      <c r="P93" s="148">
        <v>102</v>
      </c>
      <c r="Q93" s="195">
        <f t="shared" si="20"/>
        <v>4.1366323035811545</v>
      </c>
      <c r="R93" s="148">
        <f t="shared" si="21"/>
        <v>8</v>
      </c>
      <c r="S93" s="196">
        <v>1045</v>
      </c>
      <c r="T93" s="148">
        <v>153.9</v>
      </c>
    </row>
    <row r="94" spans="1:20" x14ac:dyDescent="0.25">
      <c r="A94" s="194" t="str">
        <f t="shared" si="11"/>
        <v>RECF  180*100*6</v>
      </c>
      <c r="B94" s="195">
        <f t="shared" si="12"/>
        <v>24.517842251713429</v>
      </c>
      <c r="C94" s="148">
        <v>180</v>
      </c>
      <c r="D94" s="148">
        <v>100</v>
      </c>
      <c r="E94" s="148">
        <v>6</v>
      </c>
      <c r="F94" s="148">
        <f t="shared" si="13"/>
        <v>6</v>
      </c>
      <c r="G94" s="148">
        <f t="shared" si="14"/>
        <v>12</v>
      </c>
      <c r="H94" s="195">
        <f t="shared" si="15"/>
        <v>31.232920065876979</v>
      </c>
      <c r="I94" s="148">
        <v>1307</v>
      </c>
      <c r="J94" s="195">
        <f t="shared" si="16"/>
        <v>145.22222222222223</v>
      </c>
      <c r="K94" s="148">
        <v>181</v>
      </c>
      <c r="L94" s="195">
        <f t="shared" si="17"/>
        <v>6.4689158085417429</v>
      </c>
      <c r="M94" s="196">
        <f t="shared" si="18"/>
        <v>18.72</v>
      </c>
      <c r="N94" s="148">
        <v>522</v>
      </c>
      <c r="O94" s="195">
        <f t="shared" si="19"/>
        <v>104.4</v>
      </c>
      <c r="P94" s="148">
        <v>120</v>
      </c>
      <c r="Q94" s="195">
        <f t="shared" si="20"/>
        <v>4.0881700913326631</v>
      </c>
      <c r="R94" s="148">
        <f t="shared" si="21"/>
        <v>9.120000000000001</v>
      </c>
      <c r="S94" s="196">
        <v>1227</v>
      </c>
      <c r="T94" s="148">
        <v>178.9</v>
      </c>
    </row>
    <row r="95" spans="1:20" x14ac:dyDescent="0.25">
      <c r="A95" s="194" t="str">
        <f t="shared" si="11"/>
        <v>RECF  180*100*6.3</v>
      </c>
      <c r="B95" s="195">
        <f t="shared" si="12"/>
        <v>25.378730110018736</v>
      </c>
      <c r="C95" s="148">
        <v>180</v>
      </c>
      <c r="D95" s="148">
        <v>100</v>
      </c>
      <c r="E95" s="148">
        <v>6.3</v>
      </c>
      <c r="F95" s="148">
        <f t="shared" si="13"/>
        <v>9.4499999999999993</v>
      </c>
      <c r="G95" s="148">
        <f t="shared" si="14"/>
        <v>15.75</v>
      </c>
      <c r="H95" s="195">
        <f t="shared" si="15"/>
        <v>32.329592496839155</v>
      </c>
      <c r="I95" s="148">
        <v>1330</v>
      </c>
      <c r="J95" s="195">
        <f t="shared" si="16"/>
        <v>147.77777777777777</v>
      </c>
      <c r="K95" s="148">
        <v>185</v>
      </c>
      <c r="L95" s="195">
        <f t="shared" si="17"/>
        <v>6.4139519962191924</v>
      </c>
      <c r="M95" s="196">
        <f t="shared" si="18"/>
        <v>18.710999999999999</v>
      </c>
      <c r="N95" s="148">
        <v>533</v>
      </c>
      <c r="O95" s="195">
        <f t="shared" si="19"/>
        <v>106.6</v>
      </c>
      <c r="P95" s="148">
        <v>123</v>
      </c>
      <c r="Q95" s="195">
        <f t="shared" si="20"/>
        <v>4.0603501693343214</v>
      </c>
      <c r="R95" s="148">
        <f t="shared" si="21"/>
        <v>8.6310000000000002</v>
      </c>
      <c r="S95" s="196">
        <v>1283</v>
      </c>
      <c r="T95" s="148">
        <v>185.5</v>
      </c>
    </row>
    <row r="96" spans="1:20" x14ac:dyDescent="0.25">
      <c r="A96" s="194" t="str">
        <f t="shared" si="11"/>
        <v>RECF  180*100*8</v>
      </c>
      <c r="B96" s="195">
        <f t="shared" si="12"/>
        <v>31.433344596654052</v>
      </c>
      <c r="C96" s="148">
        <v>180</v>
      </c>
      <c r="D96" s="148">
        <v>100</v>
      </c>
      <c r="E96" s="148">
        <v>8</v>
      </c>
      <c r="F96" s="148">
        <f t="shared" si="13"/>
        <v>12</v>
      </c>
      <c r="G96" s="148">
        <f t="shared" si="14"/>
        <v>20</v>
      </c>
      <c r="H96" s="195">
        <f t="shared" si="15"/>
        <v>40.042477193189875</v>
      </c>
      <c r="I96" s="148">
        <v>1588</v>
      </c>
      <c r="J96" s="195">
        <f t="shared" si="16"/>
        <v>176.44444444444446</v>
      </c>
      <c r="K96" s="148">
        <v>225</v>
      </c>
      <c r="L96" s="195">
        <f t="shared" si="17"/>
        <v>6.2974507626306595</v>
      </c>
      <c r="M96" s="196">
        <f t="shared" si="18"/>
        <v>22.400000000000002</v>
      </c>
      <c r="N96" s="148">
        <v>632</v>
      </c>
      <c r="O96" s="195">
        <f t="shared" si="19"/>
        <v>126.4</v>
      </c>
      <c r="P96" s="148">
        <v>149</v>
      </c>
      <c r="Q96" s="195">
        <f t="shared" si="20"/>
        <v>3.972812518527582</v>
      </c>
      <c r="R96" s="148">
        <f t="shared" si="21"/>
        <v>9.6</v>
      </c>
      <c r="S96" s="196">
        <v>1565</v>
      </c>
      <c r="T96" s="148">
        <v>222.5</v>
      </c>
    </row>
    <row r="97" spans="1:20" x14ac:dyDescent="0.25">
      <c r="A97" s="194" t="str">
        <f t="shared" si="11"/>
        <v>RECF  180*100*10</v>
      </c>
      <c r="B97" s="195">
        <f t="shared" si="12"/>
        <v>38.12460093227196</v>
      </c>
      <c r="C97" s="148">
        <v>180</v>
      </c>
      <c r="D97" s="148">
        <v>100</v>
      </c>
      <c r="E97" s="148">
        <v>10</v>
      </c>
      <c r="F97" s="148">
        <f t="shared" si="13"/>
        <v>15</v>
      </c>
      <c r="G97" s="148">
        <f t="shared" si="14"/>
        <v>25</v>
      </c>
      <c r="H97" s="195">
        <f t="shared" si="15"/>
        <v>48.56637061435918</v>
      </c>
      <c r="I97" s="148">
        <v>1839</v>
      </c>
      <c r="J97" s="195">
        <f t="shared" si="16"/>
        <v>204.33333333333334</v>
      </c>
      <c r="K97" s="148">
        <v>266</v>
      </c>
      <c r="L97" s="195">
        <f t="shared" si="17"/>
        <v>6.1535118289506778</v>
      </c>
      <c r="M97" s="196">
        <f t="shared" si="18"/>
        <v>26</v>
      </c>
      <c r="N97" s="148">
        <v>725</v>
      </c>
      <c r="O97" s="195">
        <f t="shared" si="19"/>
        <v>145</v>
      </c>
      <c r="P97" s="148">
        <v>176</v>
      </c>
      <c r="Q97" s="195">
        <f t="shared" si="20"/>
        <v>3.863680254540518</v>
      </c>
      <c r="R97" s="148">
        <f t="shared" si="21"/>
        <v>10</v>
      </c>
      <c r="S97" s="196">
        <v>1859</v>
      </c>
      <c r="T97" s="148">
        <v>259.60000000000002</v>
      </c>
    </row>
    <row r="98" spans="1:20" x14ac:dyDescent="0.25">
      <c r="A98" s="194" t="str">
        <f t="shared" si="11"/>
        <v>RECF  180*100*12</v>
      </c>
      <c r="B98" s="195">
        <f t="shared" si="12"/>
        <v>43.378681678089514</v>
      </c>
      <c r="C98" s="148">
        <v>180</v>
      </c>
      <c r="D98" s="148">
        <v>100</v>
      </c>
      <c r="E98" s="148">
        <v>12</v>
      </c>
      <c r="F98" s="148">
        <f t="shared" si="13"/>
        <v>24</v>
      </c>
      <c r="G98" s="148">
        <f t="shared" si="14"/>
        <v>36</v>
      </c>
      <c r="H98" s="195">
        <f t="shared" si="15"/>
        <v>55.259467105846511</v>
      </c>
      <c r="I98" s="148">
        <v>1915</v>
      </c>
      <c r="J98" s="195">
        <f t="shared" si="16"/>
        <v>212.77777777777777</v>
      </c>
      <c r="K98" s="148">
        <v>289</v>
      </c>
      <c r="L98" s="195">
        <f t="shared" si="17"/>
        <v>5.8868238796994898</v>
      </c>
      <c r="M98" s="196">
        <f t="shared" si="18"/>
        <v>25.92</v>
      </c>
      <c r="N98" s="148">
        <v>756</v>
      </c>
      <c r="O98" s="195">
        <f t="shared" si="19"/>
        <v>151.19999999999999</v>
      </c>
      <c r="P98" s="148">
        <v>191</v>
      </c>
      <c r="Q98" s="195">
        <f t="shared" si="20"/>
        <v>3.6987719163863586</v>
      </c>
      <c r="R98" s="148">
        <f t="shared" si="21"/>
        <v>6.72</v>
      </c>
      <c r="S98" s="196">
        <v>2073</v>
      </c>
      <c r="T98" s="148">
        <v>284.5</v>
      </c>
    </row>
    <row r="99" spans="1:20" x14ac:dyDescent="0.25">
      <c r="A99" s="194" t="str">
        <f t="shared" si="11"/>
        <v>RECF  180*100*12.5</v>
      </c>
      <c r="B99" s="195">
        <f t="shared" si="12"/>
        <v>44.779298695843657</v>
      </c>
      <c r="C99" s="148">
        <v>180</v>
      </c>
      <c r="D99" s="148">
        <v>100</v>
      </c>
      <c r="E99" s="148">
        <v>12.5</v>
      </c>
      <c r="F99" s="148">
        <f t="shared" si="13"/>
        <v>25</v>
      </c>
      <c r="G99" s="148">
        <f t="shared" si="14"/>
        <v>37.5</v>
      </c>
      <c r="H99" s="195">
        <f t="shared" si="15"/>
        <v>57.043692606170261</v>
      </c>
      <c r="I99" s="148">
        <v>1945</v>
      </c>
      <c r="J99" s="195">
        <f t="shared" si="16"/>
        <v>216.11111111111111</v>
      </c>
      <c r="K99" s="148">
        <v>296</v>
      </c>
      <c r="L99" s="195">
        <f t="shared" si="17"/>
        <v>5.8392354516322751</v>
      </c>
      <c r="M99" s="196">
        <f t="shared" si="18"/>
        <v>26.25</v>
      </c>
      <c r="N99" s="148">
        <v>767</v>
      </c>
      <c r="O99" s="195">
        <f t="shared" si="19"/>
        <v>153.4</v>
      </c>
      <c r="P99" s="148">
        <v>196</v>
      </c>
      <c r="Q99" s="195">
        <f t="shared" si="20"/>
        <v>3.6668560951552429</v>
      </c>
      <c r="R99" s="148">
        <f t="shared" si="21"/>
        <v>6.25</v>
      </c>
      <c r="S99" s="196">
        <v>2122</v>
      </c>
      <c r="T99" s="148">
        <v>290.39999999999998</v>
      </c>
    </row>
    <row r="100" spans="1:20" x14ac:dyDescent="0.25">
      <c r="A100" s="197" t="str">
        <f t="shared" si="11"/>
        <v>RECF  200*100*4</v>
      </c>
      <c r="B100" s="198">
        <f t="shared" si="12"/>
        <v>18.014152111872633</v>
      </c>
      <c r="C100" s="199">
        <v>200</v>
      </c>
      <c r="D100" s="199">
        <v>100</v>
      </c>
      <c r="E100" s="199">
        <v>4</v>
      </c>
      <c r="F100" s="199">
        <f t="shared" si="13"/>
        <v>4</v>
      </c>
      <c r="G100" s="199">
        <f t="shared" si="14"/>
        <v>8</v>
      </c>
      <c r="H100" s="198">
        <f t="shared" si="15"/>
        <v>22.947964473723101</v>
      </c>
      <c r="I100" s="199">
        <v>1199</v>
      </c>
      <c r="J100" s="198">
        <f t="shared" si="16"/>
        <v>119.9</v>
      </c>
      <c r="K100" s="199">
        <v>148</v>
      </c>
      <c r="L100" s="198">
        <f t="shared" si="17"/>
        <v>7.2283222709973973</v>
      </c>
      <c r="M100" s="200">
        <f t="shared" si="18"/>
        <v>14.72</v>
      </c>
      <c r="N100" s="199">
        <v>410</v>
      </c>
      <c r="O100" s="198">
        <f t="shared" si="19"/>
        <v>82</v>
      </c>
      <c r="P100" s="199">
        <v>91.6</v>
      </c>
      <c r="Q100" s="198">
        <f t="shared" si="20"/>
        <v>4.2268792741898968</v>
      </c>
      <c r="R100" s="199">
        <f t="shared" si="21"/>
        <v>6.72</v>
      </c>
      <c r="S100" s="200">
        <v>985.40000000000009</v>
      </c>
      <c r="T100" s="201">
        <v>141.80000000000001</v>
      </c>
    </row>
    <row r="101" spans="1:20" x14ac:dyDescent="0.25">
      <c r="A101" s="202" t="str">
        <f t="shared" si="11"/>
        <v>RECF  200*100*5</v>
      </c>
      <c r="B101" s="203">
        <f t="shared" si="12"/>
        <v>22.259612674800994</v>
      </c>
      <c r="C101" s="204">
        <v>200</v>
      </c>
      <c r="D101" s="204">
        <v>100</v>
      </c>
      <c r="E101" s="204">
        <v>5</v>
      </c>
      <c r="F101" s="204">
        <f t="shared" si="13"/>
        <v>5</v>
      </c>
      <c r="G101" s="204">
        <f t="shared" si="14"/>
        <v>10</v>
      </c>
      <c r="H101" s="203">
        <f t="shared" si="15"/>
        <v>28.356194490192348</v>
      </c>
      <c r="I101" s="204">
        <v>1457</v>
      </c>
      <c r="J101" s="203">
        <f t="shared" si="16"/>
        <v>145.69999999999999</v>
      </c>
      <c r="K101" s="204">
        <v>181</v>
      </c>
      <c r="L101" s="203">
        <f t="shared" si="17"/>
        <v>7.1681288388187765</v>
      </c>
      <c r="M101" s="205">
        <f t="shared" si="18"/>
        <v>18</v>
      </c>
      <c r="N101" s="204">
        <v>496</v>
      </c>
      <c r="O101" s="203">
        <f t="shared" si="19"/>
        <v>99.2</v>
      </c>
      <c r="P101" s="204">
        <v>112</v>
      </c>
      <c r="Q101" s="203">
        <f t="shared" si="20"/>
        <v>4.1823162085204544</v>
      </c>
      <c r="R101" s="204">
        <f t="shared" si="21"/>
        <v>8</v>
      </c>
      <c r="S101" s="205">
        <v>1206</v>
      </c>
      <c r="T101" s="206">
        <v>171.9</v>
      </c>
    </row>
    <row r="102" spans="1:20" x14ac:dyDescent="0.25">
      <c r="A102" s="202" t="str">
        <f t="shared" si="11"/>
        <v>RECF  200*100*6</v>
      </c>
      <c r="B102" s="203">
        <f t="shared" si="12"/>
        <v>26.401842251713433</v>
      </c>
      <c r="C102" s="204">
        <v>200</v>
      </c>
      <c r="D102" s="204">
        <v>100</v>
      </c>
      <c r="E102" s="204">
        <v>6</v>
      </c>
      <c r="F102" s="204">
        <f t="shared" si="13"/>
        <v>6</v>
      </c>
      <c r="G102" s="204">
        <f t="shared" si="14"/>
        <v>12</v>
      </c>
      <c r="H102" s="203">
        <f t="shared" si="15"/>
        <v>33.632920065876981</v>
      </c>
      <c r="I102" s="204">
        <v>1700</v>
      </c>
      <c r="J102" s="203">
        <f t="shared" si="16"/>
        <v>170</v>
      </c>
      <c r="K102" s="204">
        <v>213</v>
      </c>
      <c r="L102" s="203">
        <f t="shared" si="17"/>
        <v>7.1095509865184683</v>
      </c>
      <c r="M102" s="205">
        <f t="shared" si="18"/>
        <v>21.12</v>
      </c>
      <c r="N102" s="204">
        <v>575</v>
      </c>
      <c r="O102" s="203">
        <f t="shared" si="19"/>
        <v>115</v>
      </c>
      <c r="P102" s="204">
        <v>131</v>
      </c>
      <c r="Q102" s="203">
        <f t="shared" si="20"/>
        <v>4.1347726487890473</v>
      </c>
      <c r="R102" s="204">
        <f t="shared" si="21"/>
        <v>9.120000000000001</v>
      </c>
      <c r="S102" s="205">
        <v>1417</v>
      </c>
      <c r="T102" s="206">
        <v>200.1</v>
      </c>
    </row>
    <row r="103" spans="1:20" x14ac:dyDescent="0.25">
      <c r="A103" s="202" t="str">
        <f t="shared" si="11"/>
        <v>RECF  200*100*6.3</v>
      </c>
      <c r="B103" s="203">
        <f t="shared" si="12"/>
        <v>27.356930110018741</v>
      </c>
      <c r="C103" s="204">
        <v>200</v>
      </c>
      <c r="D103" s="204">
        <v>100</v>
      </c>
      <c r="E103" s="204">
        <v>6.3</v>
      </c>
      <c r="F103" s="204">
        <f t="shared" si="13"/>
        <v>9.4499999999999993</v>
      </c>
      <c r="G103" s="204">
        <f t="shared" si="14"/>
        <v>15.75</v>
      </c>
      <c r="H103" s="203">
        <f t="shared" si="15"/>
        <v>34.849592496839158</v>
      </c>
      <c r="I103" s="204">
        <v>1733</v>
      </c>
      <c r="J103" s="203">
        <f t="shared" si="16"/>
        <v>173.3</v>
      </c>
      <c r="K103" s="204">
        <v>219</v>
      </c>
      <c r="L103" s="203">
        <f t="shared" si="17"/>
        <v>7.0518071888502991</v>
      </c>
      <c r="M103" s="205">
        <f t="shared" si="18"/>
        <v>21.230999999999998</v>
      </c>
      <c r="N103" s="204">
        <v>588</v>
      </c>
      <c r="O103" s="203">
        <f t="shared" si="19"/>
        <v>117.6</v>
      </c>
      <c r="P103" s="204">
        <v>135</v>
      </c>
      <c r="Q103" s="203">
        <f t="shared" si="20"/>
        <v>4.1076157550114303</v>
      </c>
      <c r="R103" s="204">
        <f t="shared" si="21"/>
        <v>8.6310000000000002</v>
      </c>
      <c r="S103" s="205">
        <v>1483</v>
      </c>
      <c r="T103" s="206">
        <v>207.6</v>
      </c>
    </row>
    <row r="104" spans="1:20" x14ac:dyDescent="0.25">
      <c r="A104" s="202" t="str">
        <f t="shared" si="11"/>
        <v>RECF  200*100*8</v>
      </c>
      <c r="B104" s="203">
        <f t="shared" si="12"/>
        <v>33.945344596654053</v>
      </c>
      <c r="C104" s="204">
        <v>200</v>
      </c>
      <c r="D104" s="204">
        <v>100</v>
      </c>
      <c r="E104" s="204">
        <v>8</v>
      </c>
      <c r="F104" s="204">
        <f t="shared" si="13"/>
        <v>12</v>
      </c>
      <c r="G104" s="204">
        <f t="shared" si="14"/>
        <v>20</v>
      </c>
      <c r="H104" s="203">
        <f t="shared" si="15"/>
        <v>43.24247719318987</v>
      </c>
      <c r="I104" s="204">
        <v>2079</v>
      </c>
      <c r="J104" s="203">
        <f t="shared" si="16"/>
        <v>207.9</v>
      </c>
      <c r="K104" s="204">
        <v>267</v>
      </c>
      <c r="L104" s="203">
        <f t="shared" si="17"/>
        <v>6.933810402115161</v>
      </c>
      <c r="M104" s="205">
        <f t="shared" si="18"/>
        <v>25.6</v>
      </c>
      <c r="N104" s="204">
        <v>700</v>
      </c>
      <c r="O104" s="203">
        <f t="shared" si="19"/>
        <v>140</v>
      </c>
      <c r="P104" s="204">
        <v>164</v>
      </c>
      <c r="Q104" s="203">
        <f t="shared" si="20"/>
        <v>4.0234048721381397</v>
      </c>
      <c r="R104" s="204">
        <f t="shared" si="21"/>
        <v>9.6</v>
      </c>
      <c r="S104" s="205">
        <v>1811</v>
      </c>
      <c r="T104" s="206">
        <v>249.6</v>
      </c>
    </row>
    <row r="105" spans="1:20" x14ac:dyDescent="0.25">
      <c r="A105" s="202" t="str">
        <f t="shared" si="11"/>
        <v>RECF  200*100*10</v>
      </c>
      <c r="B105" s="203">
        <f t="shared" si="12"/>
        <v>41.264600932271961</v>
      </c>
      <c r="C105" s="204">
        <v>200</v>
      </c>
      <c r="D105" s="204">
        <v>100</v>
      </c>
      <c r="E105" s="204">
        <v>10</v>
      </c>
      <c r="F105" s="204">
        <f t="shared" si="13"/>
        <v>15</v>
      </c>
      <c r="G105" s="204">
        <f t="shared" si="14"/>
        <v>25</v>
      </c>
      <c r="H105" s="203">
        <f t="shared" si="15"/>
        <v>52.56637061435918</v>
      </c>
      <c r="I105" s="204">
        <v>2421</v>
      </c>
      <c r="J105" s="203">
        <f t="shared" si="16"/>
        <v>242.1</v>
      </c>
      <c r="K105" s="204">
        <v>317</v>
      </c>
      <c r="L105" s="203">
        <f t="shared" si="17"/>
        <v>6.7864616362993671</v>
      </c>
      <c r="M105" s="205">
        <f t="shared" si="18"/>
        <v>30</v>
      </c>
      <c r="N105" s="204">
        <v>807</v>
      </c>
      <c r="O105" s="203">
        <f t="shared" si="19"/>
        <v>161.4</v>
      </c>
      <c r="P105" s="204">
        <v>194</v>
      </c>
      <c r="Q105" s="203">
        <f t="shared" si="20"/>
        <v>3.918165452562508</v>
      </c>
      <c r="R105" s="204">
        <f t="shared" si="21"/>
        <v>10</v>
      </c>
      <c r="S105" s="205">
        <v>2154</v>
      </c>
      <c r="T105" s="206">
        <v>292.10000000000002</v>
      </c>
    </row>
    <row r="106" spans="1:20" x14ac:dyDescent="0.25">
      <c r="A106" s="207" t="str">
        <f t="shared" si="11"/>
        <v>RECF  200*100*12.5</v>
      </c>
      <c r="B106" s="208">
        <f t="shared" si="12"/>
        <v>48.704298695843654</v>
      </c>
      <c r="C106" s="209">
        <v>200</v>
      </c>
      <c r="D106" s="209">
        <v>100</v>
      </c>
      <c r="E106" s="209">
        <v>12.5</v>
      </c>
      <c r="F106" s="209">
        <f t="shared" si="13"/>
        <v>25</v>
      </c>
      <c r="G106" s="209">
        <f t="shared" si="14"/>
        <v>37.5</v>
      </c>
      <c r="H106" s="208">
        <f t="shared" si="15"/>
        <v>62.043692606170261</v>
      </c>
      <c r="I106" s="209">
        <v>2596</v>
      </c>
      <c r="J106" s="208">
        <f t="shared" si="16"/>
        <v>259.60000000000002</v>
      </c>
      <c r="K106" s="209">
        <v>356</v>
      </c>
      <c r="L106" s="208">
        <f t="shared" si="17"/>
        <v>6.4684991486518104</v>
      </c>
      <c r="M106" s="210">
        <f t="shared" si="18"/>
        <v>31.25</v>
      </c>
      <c r="N106" s="209">
        <v>863</v>
      </c>
      <c r="O106" s="208">
        <f t="shared" si="19"/>
        <v>172.6</v>
      </c>
      <c r="P106" s="209">
        <v>217</v>
      </c>
      <c r="Q106" s="208">
        <f t="shared" si="20"/>
        <v>3.7295512473294892</v>
      </c>
      <c r="R106" s="209">
        <f t="shared" si="21"/>
        <v>6.25</v>
      </c>
      <c r="S106" s="210">
        <v>2474</v>
      </c>
      <c r="T106" s="211">
        <v>328.8</v>
      </c>
    </row>
    <row r="107" spans="1:20" x14ac:dyDescent="0.25">
      <c r="A107" s="194" t="str">
        <f t="shared" si="11"/>
        <v>RECF  200*120*4</v>
      </c>
      <c r="B107" s="195">
        <f t="shared" si="12"/>
        <v>19.270152111872637</v>
      </c>
      <c r="C107" s="148">
        <v>200</v>
      </c>
      <c r="D107" s="148">
        <v>120</v>
      </c>
      <c r="E107" s="148">
        <v>4</v>
      </c>
      <c r="F107" s="148">
        <f t="shared" si="13"/>
        <v>4</v>
      </c>
      <c r="G107" s="148">
        <f t="shared" si="14"/>
        <v>8</v>
      </c>
      <c r="H107" s="195">
        <f t="shared" si="15"/>
        <v>24.547964473723102</v>
      </c>
      <c r="I107" s="148">
        <v>1352</v>
      </c>
      <c r="J107" s="195">
        <f t="shared" si="16"/>
        <v>135.19999999999999</v>
      </c>
      <c r="K107" s="148">
        <v>164</v>
      </c>
      <c r="L107" s="195">
        <f t="shared" si="17"/>
        <v>7.421310506025792</v>
      </c>
      <c r="M107" s="196">
        <f t="shared" si="18"/>
        <v>14.72</v>
      </c>
      <c r="N107" s="148">
        <v>617</v>
      </c>
      <c r="O107" s="195">
        <f t="shared" si="19"/>
        <v>102.83333333333333</v>
      </c>
      <c r="P107" s="148">
        <v>115</v>
      </c>
      <c r="Q107" s="195">
        <f t="shared" si="20"/>
        <v>5.0134286549750495</v>
      </c>
      <c r="R107" s="148">
        <f t="shared" si="21"/>
        <v>8.32</v>
      </c>
      <c r="S107" s="196">
        <v>1345</v>
      </c>
      <c r="T107" s="148">
        <v>172.5</v>
      </c>
    </row>
    <row r="108" spans="1:20" x14ac:dyDescent="0.25">
      <c r="A108" s="194" t="str">
        <f t="shared" si="11"/>
        <v>RECF  200*120*5</v>
      </c>
      <c r="B108" s="195">
        <f t="shared" si="12"/>
        <v>23.829612674800995</v>
      </c>
      <c r="C108" s="148">
        <v>200</v>
      </c>
      <c r="D108" s="148">
        <v>120</v>
      </c>
      <c r="E108" s="148">
        <v>5</v>
      </c>
      <c r="F108" s="148">
        <f t="shared" si="13"/>
        <v>5</v>
      </c>
      <c r="G108" s="148">
        <f t="shared" si="14"/>
        <v>10</v>
      </c>
      <c r="H108" s="195">
        <f t="shared" si="15"/>
        <v>30.356194490192348</v>
      </c>
      <c r="I108" s="148">
        <v>1648</v>
      </c>
      <c r="J108" s="195">
        <f t="shared" si="16"/>
        <v>164.8</v>
      </c>
      <c r="K108" s="148">
        <v>201</v>
      </c>
      <c r="L108" s="195">
        <f t="shared" si="17"/>
        <v>7.3680903103700768</v>
      </c>
      <c r="M108" s="196">
        <f t="shared" si="18"/>
        <v>18</v>
      </c>
      <c r="N108" s="148">
        <v>749</v>
      </c>
      <c r="O108" s="195">
        <f t="shared" si="19"/>
        <v>124.83333333333333</v>
      </c>
      <c r="P108" s="148">
        <v>141</v>
      </c>
      <c r="Q108" s="195">
        <f t="shared" si="20"/>
        <v>4.9672640347785695</v>
      </c>
      <c r="R108" s="148">
        <f t="shared" si="21"/>
        <v>10</v>
      </c>
      <c r="S108" s="196">
        <v>1652</v>
      </c>
      <c r="T108" s="148">
        <v>209.9</v>
      </c>
    </row>
    <row r="109" spans="1:20" x14ac:dyDescent="0.25">
      <c r="A109" s="194" t="str">
        <f t="shared" si="11"/>
        <v>RECF  200*120*6</v>
      </c>
      <c r="B109" s="195">
        <f t="shared" si="12"/>
        <v>28.285842251713429</v>
      </c>
      <c r="C109" s="148">
        <v>200</v>
      </c>
      <c r="D109" s="148">
        <v>120</v>
      </c>
      <c r="E109" s="148">
        <v>6</v>
      </c>
      <c r="F109" s="148">
        <f t="shared" si="13"/>
        <v>6</v>
      </c>
      <c r="G109" s="148">
        <f t="shared" si="14"/>
        <v>12</v>
      </c>
      <c r="H109" s="195">
        <f t="shared" si="15"/>
        <v>36.032920065876979</v>
      </c>
      <c r="I109" s="148">
        <v>1926</v>
      </c>
      <c r="J109" s="195">
        <f t="shared" si="16"/>
        <v>192.6</v>
      </c>
      <c r="K109" s="148">
        <v>236</v>
      </c>
      <c r="L109" s="195">
        <f t="shared" si="17"/>
        <v>7.3110274121214038</v>
      </c>
      <c r="M109" s="196">
        <f t="shared" si="18"/>
        <v>21.12</v>
      </c>
      <c r="N109" s="148">
        <v>872</v>
      </c>
      <c r="O109" s="195">
        <f t="shared" si="19"/>
        <v>145.33333333333334</v>
      </c>
      <c r="P109" s="148">
        <v>166</v>
      </c>
      <c r="Q109" s="195">
        <f t="shared" si="20"/>
        <v>4.9193589559780939</v>
      </c>
      <c r="R109" s="148">
        <f t="shared" si="21"/>
        <v>11.52</v>
      </c>
      <c r="S109" s="196">
        <v>1947</v>
      </c>
      <c r="T109" s="148">
        <v>245.1</v>
      </c>
    </row>
    <row r="110" spans="1:20" x14ac:dyDescent="0.25">
      <c r="A110" s="194" t="str">
        <f t="shared" si="11"/>
        <v>RECF  200*120*6.3</v>
      </c>
      <c r="B110" s="195">
        <f t="shared" si="12"/>
        <v>29.335130110018738</v>
      </c>
      <c r="C110" s="148">
        <v>200</v>
      </c>
      <c r="D110" s="148">
        <v>120</v>
      </c>
      <c r="E110" s="148">
        <v>6.3</v>
      </c>
      <c r="F110" s="148">
        <f t="shared" si="13"/>
        <v>9.4499999999999993</v>
      </c>
      <c r="G110" s="148">
        <f t="shared" si="14"/>
        <v>15.75</v>
      </c>
      <c r="H110" s="195">
        <f t="shared" si="15"/>
        <v>37.369592496839154</v>
      </c>
      <c r="I110" s="148">
        <v>1970</v>
      </c>
      <c r="J110" s="195">
        <f t="shared" si="16"/>
        <v>197</v>
      </c>
      <c r="K110" s="148">
        <v>243</v>
      </c>
      <c r="L110" s="195">
        <f t="shared" si="17"/>
        <v>7.2606237521756629</v>
      </c>
      <c r="M110" s="196">
        <f t="shared" si="18"/>
        <v>21.230999999999998</v>
      </c>
      <c r="N110" s="148">
        <v>894</v>
      </c>
      <c r="O110" s="195">
        <f t="shared" si="19"/>
        <v>149</v>
      </c>
      <c r="P110" s="148">
        <v>171</v>
      </c>
      <c r="Q110" s="195">
        <f t="shared" si="20"/>
        <v>4.8911341941892541</v>
      </c>
      <c r="R110" s="148">
        <f t="shared" si="21"/>
        <v>11.151</v>
      </c>
      <c r="S110" s="196">
        <v>2040</v>
      </c>
      <c r="T110" s="148">
        <v>254.7</v>
      </c>
    </row>
    <row r="111" spans="1:20" x14ac:dyDescent="0.25">
      <c r="A111" s="194" t="str">
        <f t="shared" si="11"/>
        <v>RECF  200*120*8</v>
      </c>
      <c r="B111" s="195">
        <f t="shared" si="12"/>
        <v>36.457344596654053</v>
      </c>
      <c r="C111" s="148">
        <v>200</v>
      </c>
      <c r="D111" s="148">
        <v>120</v>
      </c>
      <c r="E111" s="148">
        <v>8</v>
      </c>
      <c r="F111" s="148">
        <f t="shared" si="13"/>
        <v>12</v>
      </c>
      <c r="G111" s="148">
        <f t="shared" si="14"/>
        <v>20</v>
      </c>
      <c r="H111" s="195">
        <f t="shared" si="15"/>
        <v>46.442477193189873</v>
      </c>
      <c r="I111" s="148">
        <v>2374</v>
      </c>
      <c r="J111" s="195">
        <f t="shared" si="16"/>
        <v>237.4</v>
      </c>
      <c r="K111" s="148">
        <v>297</v>
      </c>
      <c r="L111" s="195">
        <f t="shared" si="17"/>
        <v>7.1496152136232203</v>
      </c>
      <c r="M111" s="196">
        <f t="shared" si="18"/>
        <v>25.6</v>
      </c>
      <c r="N111" s="148">
        <v>1072</v>
      </c>
      <c r="O111" s="195">
        <f t="shared" si="19"/>
        <v>178.66666666666666</v>
      </c>
      <c r="P111" s="148">
        <v>209</v>
      </c>
      <c r="Q111" s="195">
        <f t="shared" si="20"/>
        <v>4.8044060416024488</v>
      </c>
      <c r="R111" s="148">
        <f t="shared" si="21"/>
        <v>12.8</v>
      </c>
      <c r="S111" s="196">
        <v>2507</v>
      </c>
      <c r="T111" s="148">
        <v>308.3</v>
      </c>
    </row>
    <row r="112" spans="1:20" x14ac:dyDescent="0.25">
      <c r="A112" s="194" t="str">
        <f t="shared" si="11"/>
        <v>RECF  200*120*10</v>
      </c>
      <c r="B112" s="195">
        <f t="shared" si="12"/>
        <v>44.404600932271961</v>
      </c>
      <c r="C112" s="148">
        <v>200</v>
      </c>
      <c r="D112" s="148">
        <v>120</v>
      </c>
      <c r="E112" s="148">
        <v>10</v>
      </c>
      <c r="F112" s="148">
        <f t="shared" si="13"/>
        <v>15</v>
      </c>
      <c r="G112" s="148">
        <f t="shared" si="14"/>
        <v>25</v>
      </c>
      <c r="H112" s="195">
        <f t="shared" si="15"/>
        <v>56.56637061435918</v>
      </c>
      <c r="I112" s="148">
        <v>2783</v>
      </c>
      <c r="J112" s="195">
        <f t="shared" si="16"/>
        <v>278.3</v>
      </c>
      <c r="K112" s="148">
        <v>355</v>
      </c>
      <c r="L112" s="195">
        <f t="shared" si="17"/>
        <v>7.0141887079658582</v>
      </c>
      <c r="M112" s="196">
        <f t="shared" si="18"/>
        <v>30</v>
      </c>
      <c r="N112" s="148">
        <v>1249</v>
      </c>
      <c r="O112" s="195">
        <f t="shared" si="19"/>
        <v>208.16666666666666</v>
      </c>
      <c r="P112" s="148">
        <v>249</v>
      </c>
      <c r="Q112" s="195">
        <f t="shared" si="20"/>
        <v>4.698963394966059</v>
      </c>
      <c r="R112" s="148">
        <f t="shared" si="21"/>
        <v>14</v>
      </c>
      <c r="S112" s="196">
        <v>3007</v>
      </c>
      <c r="T112" s="148">
        <v>363.7</v>
      </c>
    </row>
    <row r="113" spans="1:20" x14ac:dyDescent="0.25">
      <c r="A113" s="194" t="str">
        <f t="shared" si="11"/>
        <v>RECF  200*120*12</v>
      </c>
      <c r="B113" s="195">
        <f t="shared" si="12"/>
        <v>50.914681678089508</v>
      </c>
      <c r="C113" s="148">
        <v>200</v>
      </c>
      <c r="D113" s="148">
        <v>120</v>
      </c>
      <c r="E113" s="148">
        <v>12</v>
      </c>
      <c r="F113" s="148">
        <f t="shared" si="13"/>
        <v>24</v>
      </c>
      <c r="G113" s="148">
        <f t="shared" si="14"/>
        <v>36</v>
      </c>
      <c r="H113" s="195">
        <f t="shared" si="15"/>
        <v>64.859467105846505</v>
      </c>
      <c r="I113" s="148">
        <v>2976</v>
      </c>
      <c r="J113" s="195">
        <f t="shared" si="16"/>
        <v>297.60000000000002</v>
      </c>
      <c r="K113" s="148">
        <v>392</v>
      </c>
      <c r="L113" s="195">
        <f t="shared" si="17"/>
        <v>6.7737595353432143</v>
      </c>
      <c r="M113" s="196">
        <f t="shared" si="18"/>
        <v>30.72</v>
      </c>
      <c r="N113" s="148">
        <v>1336</v>
      </c>
      <c r="O113" s="195">
        <f t="shared" si="19"/>
        <v>222.66666666666666</v>
      </c>
      <c r="P113" s="148">
        <v>275</v>
      </c>
      <c r="Q113" s="195">
        <f t="shared" si="20"/>
        <v>4.5385439041859348</v>
      </c>
      <c r="R113" s="148">
        <f t="shared" si="21"/>
        <v>11.52</v>
      </c>
      <c r="S113" s="196">
        <v>3419</v>
      </c>
      <c r="T113" s="148">
        <v>405.7</v>
      </c>
    </row>
    <row r="114" spans="1:20" x14ac:dyDescent="0.25">
      <c r="A114" s="194" t="str">
        <f t="shared" si="11"/>
        <v>RECF  200*120*12.5</v>
      </c>
      <c r="B114" s="195">
        <f t="shared" si="12"/>
        <v>52.629298695843666</v>
      </c>
      <c r="C114" s="148">
        <v>200</v>
      </c>
      <c r="D114" s="148">
        <v>120</v>
      </c>
      <c r="E114" s="148">
        <v>12.5</v>
      </c>
      <c r="F114" s="148">
        <f t="shared" si="13"/>
        <v>25</v>
      </c>
      <c r="G114" s="148">
        <f t="shared" si="14"/>
        <v>37.5</v>
      </c>
      <c r="H114" s="195">
        <f t="shared" si="15"/>
        <v>67.043692606170268</v>
      </c>
      <c r="I114" s="148">
        <v>3036</v>
      </c>
      <c r="J114" s="195">
        <f t="shared" si="16"/>
        <v>303.60000000000002</v>
      </c>
      <c r="K114" s="148">
        <v>403</v>
      </c>
      <c r="L114" s="195">
        <f t="shared" si="17"/>
        <v>6.7293314612256534</v>
      </c>
      <c r="M114" s="196">
        <f t="shared" si="18"/>
        <v>31.25</v>
      </c>
      <c r="N114" s="148">
        <v>1362</v>
      </c>
      <c r="O114" s="195">
        <f t="shared" si="19"/>
        <v>227</v>
      </c>
      <c r="P114" s="148">
        <v>282</v>
      </c>
      <c r="Q114" s="195">
        <f t="shared" si="20"/>
        <v>4.5072286549116747</v>
      </c>
      <c r="R114" s="148">
        <f t="shared" si="21"/>
        <v>11.25</v>
      </c>
      <c r="S114" s="196">
        <v>3514</v>
      </c>
      <c r="T114" s="148">
        <v>415.7</v>
      </c>
    </row>
    <row r="115" spans="1:20" x14ac:dyDescent="0.25">
      <c r="A115" s="197" t="str">
        <f t="shared" si="11"/>
        <v>RECF  250*150*5</v>
      </c>
      <c r="B115" s="198">
        <f t="shared" si="12"/>
        <v>30.109612674800996</v>
      </c>
      <c r="C115" s="199">
        <v>250</v>
      </c>
      <c r="D115" s="199">
        <v>150</v>
      </c>
      <c r="E115" s="199">
        <v>5</v>
      </c>
      <c r="F115" s="199">
        <f t="shared" si="13"/>
        <v>5</v>
      </c>
      <c r="G115" s="199">
        <f t="shared" si="14"/>
        <v>10</v>
      </c>
      <c r="H115" s="198">
        <f t="shared" si="15"/>
        <v>38.356194490192351</v>
      </c>
      <c r="I115" s="199">
        <v>3302</v>
      </c>
      <c r="J115" s="198">
        <f t="shared" si="16"/>
        <v>264.16000000000003</v>
      </c>
      <c r="K115" s="199">
        <v>320</v>
      </c>
      <c r="L115" s="198">
        <f t="shared" si="17"/>
        <v>9.2783505845911058</v>
      </c>
      <c r="M115" s="200">
        <f t="shared" si="18"/>
        <v>23</v>
      </c>
      <c r="N115" s="199">
        <v>1507</v>
      </c>
      <c r="O115" s="198">
        <f t="shared" si="19"/>
        <v>200.93333333333334</v>
      </c>
      <c r="P115" s="199">
        <v>225</v>
      </c>
      <c r="Q115" s="198">
        <f t="shared" si="20"/>
        <v>6.2681426290271789</v>
      </c>
      <c r="R115" s="199">
        <f t="shared" si="21"/>
        <v>13</v>
      </c>
      <c r="S115" s="200">
        <v>3285</v>
      </c>
      <c r="T115" s="201">
        <v>336.9</v>
      </c>
    </row>
    <row r="116" spans="1:20" x14ac:dyDescent="0.25">
      <c r="A116" s="202" t="str">
        <f t="shared" si="11"/>
        <v>RECF  250*150*6</v>
      </c>
      <c r="B116" s="203">
        <f t="shared" si="12"/>
        <v>35.821842251713434</v>
      </c>
      <c r="C116" s="204">
        <v>250</v>
      </c>
      <c r="D116" s="204">
        <v>150</v>
      </c>
      <c r="E116" s="204">
        <v>6</v>
      </c>
      <c r="F116" s="204">
        <f t="shared" si="13"/>
        <v>6</v>
      </c>
      <c r="G116" s="204">
        <f t="shared" si="14"/>
        <v>12</v>
      </c>
      <c r="H116" s="203">
        <f t="shared" si="15"/>
        <v>45.632920065876981</v>
      </c>
      <c r="I116" s="204">
        <v>3881</v>
      </c>
      <c r="J116" s="203">
        <f t="shared" si="16"/>
        <v>310.48</v>
      </c>
      <c r="K116" s="204">
        <v>378</v>
      </c>
      <c r="L116" s="203">
        <f t="shared" si="17"/>
        <v>9.2221608168391587</v>
      </c>
      <c r="M116" s="205">
        <f t="shared" si="18"/>
        <v>27.12</v>
      </c>
      <c r="N116" s="204">
        <v>1766</v>
      </c>
      <c r="O116" s="203">
        <f t="shared" si="19"/>
        <v>235.46666666666667</v>
      </c>
      <c r="P116" s="204">
        <v>266</v>
      </c>
      <c r="Q116" s="203">
        <f t="shared" si="20"/>
        <v>6.2209429623249646</v>
      </c>
      <c r="R116" s="204">
        <f t="shared" si="21"/>
        <v>15.120000000000001</v>
      </c>
      <c r="S116" s="205">
        <v>3886</v>
      </c>
      <c r="T116" s="206">
        <v>395.6</v>
      </c>
    </row>
    <row r="117" spans="1:20" x14ac:dyDescent="0.25">
      <c r="A117" s="202" t="str">
        <f t="shared" si="11"/>
        <v>RECF  250*150*6.3</v>
      </c>
      <c r="B117" s="203">
        <f t="shared" si="12"/>
        <v>37.247930110018743</v>
      </c>
      <c r="C117" s="204">
        <v>250</v>
      </c>
      <c r="D117" s="204">
        <v>150</v>
      </c>
      <c r="E117" s="204">
        <v>6.3</v>
      </c>
      <c r="F117" s="204">
        <f t="shared" si="13"/>
        <v>9.4499999999999993</v>
      </c>
      <c r="G117" s="204">
        <f t="shared" si="14"/>
        <v>15.75</v>
      </c>
      <c r="H117" s="203">
        <f t="shared" si="15"/>
        <v>47.449592496839159</v>
      </c>
      <c r="I117" s="204">
        <v>3994</v>
      </c>
      <c r="J117" s="203">
        <f t="shared" si="16"/>
        <v>319.52</v>
      </c>
      <c r="K117" s="204">
        <v>391</v>
      </c>
      <c r="L117" s="203">
        <f t="shared" si="17"/>
        <v>9.1746136907640494</v>
      </c>
      <c r="M117" s="205">
        <f t="shared" si="18"/>
        <v>27.530999999999999</v>
      </c>
      <c r="N117" s="204">
        <v>1820</v>
      </c>
      <c r="O117" s="203">
        <f t="shared" si="19"/>
        <v>242.66666666666666</v>
      </c>
      <c r="P117" s="204">
        <v>275</v>
      </c>
      <c r="Q117" s="203">
        <f t="shared" si="20"/>
        <v>6.19326196694443</v>
      </c>
      <c r="R117" s="204">
        <f t="shared" si="21"/>
        <v>14.930999999999999</v>
      </c>
      <c r="S117" s="205">
        <v>4078</v>
      </c>
      <c r="T117" s="206">
        <v>412.2</v>
      </c>
    </row>
    <row r="118" spans="1:20" x14ac:dyDescent="0.25">
      <c r="A118" s="202" t="str">
        <f t="shared" si="11"/>
        <v>RECF  250*150*8</v>
      </c>
      <c r="B118" s="203">
        <f t="shared" si="12"/>
        <v>46.505344596654048</v>
      </c>
      <c r="C118" s="204">
        <v>250</v>
      </c>
      <c r="D118" s="204">
        <v>150</v>
      </c>
      <c r="E118" s="204">
        <v>8</v>
      </c>
      <c r="F118" s="204">
        <f t="shared" si="13"/>
        <v>12</v>
      </c>
      <c r="G118" s="204">
        <f t="shared" si="14"/>
        <v>20</v>
      </c>
      <c r="H118" s="203">
        <f t="shared" si="15"/>
        <v>59.24247719318987</v>
      </c>
      <c r="I118" s="204">
        <v>4871</v>
      </c>
      <c r="J118" s="203">
        <f t="shared" si="16"/>
        <v>389.68</v>
      </c>
      <c r="K118" s="204">
        <v>482</v>
      </c>
      <c r="L118" s="203">
        <f t="shared" si="17"/>
        <v>9.0676022126370306</v>
      </c>
      <c r="M118" s="205">
        <f t="shared" si="18"/>
        <v>33.6</v>
      </c>
      <c r="N118" s="204">
        <v>2210</v>
      </c>
      <c r="O118" s="203">
        <f t="shared" si="19"/>
        <v>294.66666666666669</v>
      </c>
      <c r="P118" s="204">
        <v>339</v>
      </c>
      <c r="Q118" s="203">
        <f t="shared" si="20"/>
        <v>6.1077258029124</v>
      </c>
      <c r="R118" s="204">
        <f t="shared" si="21"/>
        <v>17.600000000000001</v>
      </c>
      <c r="S118" s="205">
        <v>5050</v>
      </c>
      <c r="T118" s="206">
        <v>504</v>
      </c>
    </row>
    <row r="119" spans="1:20" x14ac:dyDescent="0.25">
      <c r="A119" s="202" t="str">
        <f t="shared" si="11"/>
        <v>RECF  250*150*10</v>
      </c>
      <c r="B119" s="203">
        <f t="shared" si="12"/>
        <v>56.964600932271949</v>
      </c>
      <c r="C119" s="204">
        <v>250</v>
      </c>
      <c r="D119" s="204">
        <v>150</v>
      </c>
      <c r="E119" s="204">
        <v>10</v>
      </c>
      <c r="F119" s="204">
        <f t="shared" si="13"/>
        <v>15</v>
      </c>
      <c r="G119" s="204">
        <f t="shared" si="14"/>
        <v>25</v>
      </c>
      <c r="H119" s="203">
        <f t="shared" si="15"/>
        <v>72.566370614359172</v>
      </c>
      <c r="I119" s="204">
        <v>5796</v>
      </c>
      <c r="J119" s="203">
        <f t="shared" si="16"/>
        <v>463.68</v>
      </c>
      <c r="K119" s="204">
        <v>581</v>
      </c>
      <c r="L119" s="203">
        <f t="shared" si="17"/>
        <v>8.9370973191272629</v>
      </c>
      <c r="M119" s="205">
        <f t="shared" si="18"/>
        <v>40</v>
      </c>
      <c r="N119" s="204">
        <v>22617</v>
      </c>
      <c r="O119" s="203">
        <f t="shared" si="19"/>
        <v>3015.6</v>
      </c>
      <c r="P119" s="204">
        <v>408</v>
      </c>
      <c r="Q119" s="203">
        <f t="shared" si="20"/>
        <v>17.654271360380363</v>
      </c>
      <c r="R119" s="204">
        <f t="shared" si="21"/>
        <v>20</v>
      </c>
      <c r="S119" s="205">
        <v>6121</v>
      </c>
      <c r="T119" s="206">
        <v>602.1</v>
      </c>
    </row>
    <row r="120" spans="1:20" x14ac:dyDescent="0.25">
      <c r="A120" s="202" t="str">
        <f t="shared" si="11"/>
        <v>RECF  250*150*12</v>
      </c>
      <c r="B120" s="203">
        <f t="shared" si="12"/>
        <v>65.986681678089511</v>
      </c>
      <c r="C120" s="204">
        <v>250</v>
      </c>
      <c r="D120" s="204">
        <v>150</v>
      </c>
      <c r="E120" s="204">
        <v>12</v>
      </c>
      <c r="F120" s="204">
        <f t="shared" si="13"/>
        <v>24</v>
      </c>
      <c r="G120" s="204">
        <f t="shared" si="14"/>
        <v>36</v>
      </c>
      <c r="H120" s="203">
        <f t="shared" si="15"/>
        <v>84.059467105846508</v>
      </c>
      <c r="I120" s="204">
        <v>6387</v>
      </c>
      <c r="J120" s="203">
        <f t="shared" si="16"/>
        <v>510.96</v>
      </c>
      <c r="K120" s="204">
        <v>655</v>
      </c>
      <c r="L120" s="203">
        <f t="shared" si="17"/>
        <v>8.7167610676706655</v>
      </c>
      <c r="M120" s="205">
        <f t="shared" si="18"/>
        <v>42.72</v>
      </c>
      <c r="N120" s="204">
        <v>2885</v>
      </c>
      <c r="O120" s="203">
        <f t="shared" si="19"/>
        <v>384.66666666666669</v>
      </c>
      <c r="P120" s="204">
        <v>460</v>
      </c>
      <c r="Q120" s="203">
        <f t="shared" si="20"/>
        <v>5.8584077076257763</v>
      </c>
      <c r="R120" s="204">
        <f t="shared" si="21"/>
        <v>18.72</v>
      </c>
      <c r="S120" s="205">
        <v>7088</v>
      </c>
      <c r="T120" s="206">
        <v>684.4</v>
      </c>
    </row>
    <row r="121" spans="1:20" x14ac:dyDescent="0.25">
      <c r="A121" s="202" t="str">
        <f t="shared" si="11"/>
        <v>RECF  250*150*12.5</v>
      </c>
      <c r="B121" s="203">
        <f t="shared" si="12"/>
        <v>68.329298695843661</v>
      </c>
      <c r="C121" s="204">
        <v>250</v>
      </c>
      <c r="D121" s="204">
        <v>150</v>
      </c>
      <c r="E121" s="204">
        <v>12.5</v>
      </c>
      <c r="F121" s="204">
        <f t="shared" si="13"/>
        <v>25</v>
      </c>
      <c r="G121" s="204">
        <f t="shared" si="14"/>
        <v>37.5</v>
      </c>
      <c r="H121" s="203">
        <f t="shared" si="15"/>
        <v>87.043692606170268</v>
      </c>
      <c r="I121" s="204">
        <v>6553</v>
      </c>
      <c r="J121" s="203">
        <f t="shared" si="16"/>
        <v>524.24</v>
      </c>
      <c r="K121" s="204">
        <v>675</v>
      </c>
      <c r="L121" s="203">
        <f t="shared" si="17"/>
        <v>8.6766370441925726</v>
      </c>
      <c r="M121" s="205">
        <f t="shared" si="18"/>
        <v>43.75</v>
      </c>
      <c r="N121" s="204">
        <v>2956</v>
      </c>
      <c r="O121" s="203">
        <f t="shared" si="19"/>
        <v>394.13333333333333</v>
      </c>
      <c r="P121" s="204">
        <v>474</v>
      </c>
      <c r="Q121" s="203">
        <f t="shared" si="20"/>
        <v>5.8275171671442152</v>
      </c>
      <c r="R121" s="204">
        <f t="shared" si="21"/>
        <v>18.75</v>
      </c>
      <c r="S121" s="205">
        <v>7315</v>
      </c>
      <c r="T121" s="206">
        <v>704.1</v>
      </c>
    </row>
    <row r="122" spans="1:20" x14ac:dyDescent="0.25">
      <c r="A122" s="207" t="str">
        <f t="shared" si="11"/>
        <v>RECF  250*150*16</v>
      </c>
      <c r="B122" s="208">
        <f t="shared" si="12"/>
        <v>83.816322983270254</v>
      </c>
      <c r="C122" s="209">
        <v>250</v>
      </c>
      <c r="D122" s="209">
        <v>150</v>
      </c>
      <c r="E122" s="209">
        <v>16</v>
      </c>
      <c r="F122" s="209">
        <f t="shared" si="13"/>
        <v>32</v>
      </c>
      <c r="G122" s="209">
        <f t="shared" si="14"/>
        <v>48</v>
      </c>
      <c r="H122" s="208">
        <f t="shared" si="15"/>
        <v>106.77238596594937</v>
      </c>
      <c r="I122" s="209">
        <v>7496</v>
      </c>
      <c r="J122" s="208">
        <f t="shared" si="16"/>
        <v>599.67999999999995</v>
      </c>
      <c r="K122" s="209">
        <v>798</v>
      </c>
      <c r="L122" s="208">
        <f t="shared" si="17"/>
        <v>8.3788673528207127</v>
      </c>
      <c r="M122" s="210">
        <f t="shared" si="18"/>
        <v>49.28</v>
      </c>
      <c r="N122" s="209">
        <v>3359</v>
      </c>
      <c r="O122" s="208">
        <f t="shared" si="19"/>
        <v>447.86666666666667</v>
      </c>
      <c r="P122" s="209">
        <v>559</v>
      </c>
      <c r="Q122" s="208">
        <f t="shared" si="20"/>
        <v>5.6088719867968058</v>
      </c>
      <c r="R122" s="209">
        <f t="shared" si="21"/>
        <v>17.28</v>
      </c>
      <c r="S122" s="210">
        <v>8713</v>
      </c>
      <c r="T122" s="211">
        <v>823</v>
      </c>
    </row>
    <row r="123" spans="1:20" x14ac:dyDescent="0.25">
      <c r="A123" s="194" t="str">
        <f t="shared" si="11"/>
        <v>RECF  260*180*5</v>
      </c>
      <c r="B123" s="195">
        <f t="shared" si="12"/>
        <v>33.249612674801</v>
      </c>
      <c r="C123" s="148">
        <v>260</v>
      </c>
      <c r="D123" s="148">
        <v>180</v>
      </c>
      <c r="E123" s="148">
        <v>5</v>
      </c>
      <c r="F123" s="148">
        <f t="shared" si="13"/>
        <v>5</v>
      </c>
      <c r="G123" s="148">
        <f t="shared" si="14"/>
        <v>10</v>
      </c>
      <c r="H123" s="195">
        <f t="shared" si="15"/>
        <v>42.356194490192351</v>
      </c>
      <c r="I123" s="148">
        <v>4119</v>
      </c>
      <c r="J123" s="195">
        <f t="shared" si="16"/>
        <v>316.84615384615387</v>
      </c>
      <c r="K123" s="148">
        <v>377</v>
      </c>
      <c r="L123" s="195">
        <f t="shared" si="17"/>
        <v>9.8613739775295297</v>
      </c>
      <c r="M123" s="196">
        <f t="shared" si="18"/>
        <v>24</v>
      </c>
      <c r="N123" s="148">
        <v>2348</v>
      </c>
      <c r="O123" s="195">
        <f t="shared" si="19"/>
        <v>260.88888888888891</v>
      </c>
      <c r="P123" s="148">
        <v>294</v>
      </c>
      <c r="Q123" s="195">
        <f t="shared" si="20"/>
        <v>7.4454436210118029</v>
      </c>
      <c r="R123" s="148">
        <f t="shared" si="21"/>
        <v>16</v>
      </c>
      <c r="S123" s="196">
        <v>4695</v>
      </c>
      <c r="T123" s="148">
        <v>425.9</v>
      </c>
    </row>
    <row r="124" spans="1:20" x14ac:dyDescent="0.25">
      <c r="A124" s="194" t="str">
        <f t="shared" si="11"/>
        <v>RECF  260*180*6</v>
      </c>
      <c r="B124" s="195">
        <f t="shared" si="12"/>
        <v>39.589842251713428</v>
      </c>
      <c r="C124" s="148">
        <v>260</v>
      </c>
      <c r="D124" s="148">
        <v>180</v>
      </c>
      <c r="E124" s="148">
        <v>6</v>
      </c>
      <c r="F124" s="148">
        <f t="shared" si="13"/>
        <v>6</v>
      </c>
      <c r="G124" s="148">
        <f t="shared" si="14"/>
        <v>12</v>
      </c>
      <c r="H124" s="195">
        <f t="shared" si="15"/>
        <v>50.432920065876978</v>
      </c>
      <c r="I124" s="148">
        <v>4852</v>
      </c>
      <c r="J124" s="195">
        <f t="shared" si="16"/>
        <v>373.23076923076923</v>
      </c>
      <c r="K124" s="148">
        <v>447</v>
      </c>
      <c r="L124" s="195">
        <f t="shared" si="17"/>
        <v>9.8085167672934173</v>
      </c>
      <c r="M124" s="196">
        <f t="shared" si="18"/>
        <v>28.32</v>
      </c>
      <c r="N124" s="148">
        <v>2761</v>
      </c>
      <c r="O124" s="195">
        <f t="shared" si="19"/>
        <v>306.77777777777777</v>
      </c>
      <c r="P124" s="148">
        <v>348</v>
      </c>
      <c r="Q124" s="195">
        <f t="shared" si="20"/>
        <v>7.3990531334540979</v>
      </c>
      <c r="R124" s="148">
        <f t="shared" si="21"/>
        <v>18.72</v>
      </c>
      <c r="S124" s="196"/>
      <c r="T124" s="148"/>
    </row>
    <row r="125" spans="1:20" x14ac:dyDescent="0.25">
      <c r="A125" s="194" t="str">
        <f t="shared" si="11"/>
        <v>RECF  260*180*6.3</v>
      </c>
      <c r="B125" s="195">
        <f t="shared" si="12"/>
        <v>41.204330110018738</v>
      </c>
      <c r="C125" s="148">
        <v>260</v>
      </c>
      <c r="D125" s="148">
        <v>180</v>
      </c>
      <c r="E125" s="148">
        <v>6.3</v>
      </c>
      <c r="F125" s="148">
        <f t="shared" si="13"/>
        <v>9.4499999999999993</v>
      </c>
      <c r="G125" s="148">
        <f t="shared" si="14"/>
        <v>15.75</v>
      </c>
      <c r="H125" s="195">
        <f t="shared" si="15"/>
        <v>52.489592496839158</v>
      </c>
      <c r="I125" s="148">
        <v>5005</v>
      </c>
      <c r="J125" s="195">
        <f t="shared" si="16"/>
        <v>385</v>
      </c>
      <c r="K125" s="148">
        <v>463</v>
      </c>
      <c r="L125" s="195">
        <f t="shared" si="17"/>
        <v>9.7648469411800196</v>
      </c>
      <c r="M125" s="196">
        <f t="shared" si="18"/>
        <v>28.791</v>
      </c>
      <c r="N125" s="148">
        <v>2851</v>
      </c>
      <c r="O125" s="195">
        <f t="shared" si="19"/>
        <v>316.77777777777777</v>
      </c>
      <c r="P125" s="148">
        <v>360</v>
      </c>
      <c r="Q125" s="195">
        <f t="shared" si="20"/>
        <v>7.3699070085792355</v>
      </c>
      <c r="R125" s="148">
        <f t="shared" si="21"/>
        <v>18.710999999999999</v>
      </c>
      <c r="S125" s="196">
        <v>5844</v>
      </c>
      <c r="T125" s="148">
        <v>523</v>
      </c>
    </row>
    <row r="126" spans="1:20" x14ac:dyDescent="0.25">
      <c r="A126" s="194" t="str">
        <f t="shared" si="11"/>
        <v>RECF  260*180*8</v>
      </c>
      <c r="B126" s="195">
        <f t="shared" si="12"/>
        <v>51.529344596654056</v>
      </c>
      <c r="C126" s="148">
        <v>260</v>
      </c>
      <c r="D126" s="148">
        <v>180</v>
      </c>
      <c r="E126" s="148">
        <v>8</v>
      </c>
      <c r="F126" s="148">
        <f t="shared" si="13"/>
        <v>12</v>
      </c>
      <c r="G126" s="148">
        <f t="shared" si="14"/>
        <v>20</v>
      </c>
      <c r="H126" s="195">
        <f t="shared" si="15"/>
        <v>65.642477193189876</v>
      </c>
      <c r="I126" s="148">
        <v>6130</v>
      </c>
      <c r="J126" s="195">
        <f t="shared" si="16"/>
        <v>471.53846153846155</v>
      </c>
      <c r="K126" s="148">
        <v>572</v>
      </c>
      <c r="L126" s="195">
        <f t="shared" si="17"/>
        <v>9.6635735465403432</v>
      </c>
      <c r="M126" s="196">
        <f t="shared" si="18"/>
        <v>35.200000000000003</v>
      </c>
      <c r="N126" s="148">
        <v>3483</v>
      </c>
      <c r="O126" s="195">
        <f t="shared" si="19"/>
        <v>387</v>
      </c>
      <c r="P126" s="148">
        <v>445</v>
      </c>
      <c r="Q126" s="195">
        <f t="shared" si="20"/>
        <v>7.2842401648900736</v>
      </c>
      <c r="R126" s="148">
        <f t="shared" si="21"/>
        <v>22.400000000000002</v>
      </c>
      <c r="S126" s="196">
        <v>7267</v>
      </c>
      <c r="T126" s="148">
        <v>642.4</v>
      </c>
    </row>
    <row r="127" spans="1:20" x14ac:dyDescent="0.25">
      <c r="A127" s="194" t="str">
        <f t="shared" si="11"/>
        <v>RECF  260*180*10</v>
      </c>
      <c r="B127" s="195">
        <f t="shared" si="12"/>
        <v>63.24460093227195</v>
      </c>
      <c r="C127" s="148">
        <v>260</v>
      </c>
      <c r="D127" s="148">
        <v>180</v>
      </c>
      <c r="E127" s="148">
        <v>10</v>
      </c>
      <c r="F127" s="148">
        <f t="shared" si="13"/>
        <v>15</v>
      </c>
      <c r="G127" s="148">
        <f t="shared" si="14"/>
        <v>25</v>
      </c>
      <c r="H127" s="195">
        <f t="shared" si="15"/>
        <v>80.566370614359172</v>
      </c>
      <c r="I127" s="148">
        <v>7333</v>
      </c>
      <c r="J127" s="195">
        <f t="shared" si="16"/>
        <v>564.07692307692309</v>
      </c>
      <c r="K127" s="148">
        <v>693</v>
      </c>
      <c r="L127" s="195">
        <f t="shared" si="17"/>
        <v>9.5403419806140146</v>
      </c>
      <c r="M127" s="196">
        <f t="shared" si="18"/>
        <v>42</v>
      </c>
      <c r="N127" s="148">
        <v>4154</v>
      </c>
      <c r="O127" s="195">
        <f t="shared" si="19"/>
        <v>461.55555555555554</v>
      </c>
      <c r="P127" s="148">
        <v>538</v>
      </c>
      <c r="Q127" s="195">
        <f t="shared" si="20"/>
        <v>7.1805274402960473</v>
      </c>
      <c r="R127" s="148">
        <f t="shared" si="21"/>
        <v>26</v>
      </c>
      <c r="S127" s="196">
        <v>8850</v>
      </c>
      <c r="T127" s="148">
        <v>771.9</v>
      </c>
    </row>
    <row r="128" spans="1:20" x14ac:dyDescent="0.25">
      <c r="A128" s="194" t="str">
        <f t="shared" si="11"/>
        <v>RECF  260*180*12</v>
      </c>
      <c r="B128" s="195">
        <f t="shared" si="12"/>
        <v>73.522681678089512</v>
      </c>
      <c r="C128" s="148">
        <v>260</v>
      </c>
      <c r="D128" s="148">
        <v>180</v>
      </c>
      <c r="E128" s="148">
        <v>12</v>
      </c>
      <c r="F128" s="148">
        <f t="shared" si="13"/>
        <v>24</v>
      </c>
      <c r="G128" s="148">
        <f t="shared" si="14"/>
        <v>36</v>
      </c>
      <c r="H128" s="195">
        <f t="shared" si="15"/>
        <v>93.659467105846502</v>
      </c>
      <c r="I128" s="148">
        <v>8171</v>
      </c>
      <c r="J128" s="195">
        <f t="shared" si="16"/>
        <v>628.53846153846155</v>
      </c>
      <c r="K128" s="148">
        <v>787</v>
      </c>
      <c r="L128" s="195">
        <f t="shared" si="17"/>
        <v>9.3403201845658685</v>
      </c>
      <c r="M128" s="196">
        <f t="shared" si="18"/>
        <v>45.12</v>
      </c>
      <c r="N128" s="148">
        <v>4630</v>
      </c>
      <c r="O128" s="195">
        <f t="shared" si="19"/>
        <v>514.44444444444446</v>
      </c>
      <c r="P128" s="148">
        <v>612</v>
      </c>
      <c r="Q128" s="195">
        <f t="shared" si="20"/>
        <v>7.0309604386901068</v>
      </c>
      <c r="R128" s="148">
        <f t="shared" si="21"/>
        <v>25.92</v>
      </c>
      <c r="S128" s="196">
        <v>10330</v>
      </c>
      <c r="T128" s="148">
        <v>884.4</v>
      </c>
    </row>
    <row r="129" spans="1:20" x14ac:dyDescent="0.25">
      <c r="A129" s="194" t="str">
        <f t="shared" si="11"/>
        <v>RECF  260*180*12.5</v>
      </c>
      <c r="B129" s="195">
        <f t="shared" si="12"/>
        <v>76.17929869584367</v>
      </c>
      <c r="C129" s="148">
        <v>260</v>
      </c>
      <c r="D129" s="148">
        <v>180</v>
      </c>
      <c r="E129" s="148">
        <v>12.5</v>
      </c>
      <c r="F129" s="148">
        <f t="shared" si="13"/>
        <v>25</v>
      </c>
      <c r="G129" s="148">
        <f t="shared" si="14"/>
        <v>37.5</v>
      </c>
      <c r="H129" s="195">
        <f t="shared" si="15"/>
        <v>97.043692606170268</v>
      </c>
      <c r="I129" s="148">
        <v>8400</v>
      </c>
      <c r="J129" s="195">
        <f t="shared" si="16"/>
        <v>646.15384615384619</v>
      </c>
      <c r="K129" s="148">
        <v>812</v>
      </c>
      <c r="L129" s="195">
        <f t="shared" si="17"/>
        <v>9.3037061753586343</v>
      </c>
      <c r="M129" s="196">
        <f t="shared" si="18"/>
        <v>46.25</v>
      </c>
      <c r="N129" s="148">
        <v>4756</v>
      </c>
      <c r="O129" s="195">
        <f t="shared" si="19"/>
        <v>528.44444444444446</v>
      </c>
      <c r="P129" s="148">
        <v>631</v>
      </c>
      <c r="Q129" s="195">
        <f t="shared" si="20"/>
        <v>7.000632280366716</v>
      </c>
      <c r="R129" s="148">
        <f t="shared" si="21"/>
        <v>26.25</v>
      </c>
      <c r="S129" s="196">
        <v>10680</v>
      </c>
      <c r="T129" s="148">
        <v>911.4</v>
      </c>
    </row>
    <row r="130" spans="1:20" x14ac:dyDescent="0.25">
      <c r="A130" s="194" t="str">
        <f t="shared" si="11"/>
        <v>RECF  260*180*16</v>
      </c>
      <c r="B130" s="195">
        <f t="shared" si="12"/>
        <v>93.864322983270256</v>
      </c>
      <c r="C130" s="148">
        <v>260</v>
      </c>
      <c r="D130" s="148">
        <v>180</v>
      </c>
      <c r="E130" s="148">
        <v>16</v>
      </c>
      <c r="F130" s="148">
        <f t="shared" si="13"/>
        <v>32</v>
      </c>
      <c r="G130" s="148">
        <f t="shared" si="14"/>
        <v>48</v>
      </c>
      <c r="H130" s="195">
        <f t="shared" si="15"/>
        <v>119.57238596594937</v>
      </c>
      <c r="I130" s="148">
        <v>9752</v>
      </c>
      <c r="J130" s="195">
        <f t="shared" si="16"/>
        <v>750.15384615384619</v>
      </c>
      <c r="K130" s="148">
        <v>970</v>
      </c>
      <c r="L130" s="195">
        <f t="shared" si="17"/>
        <v>9.0309075968069248</v>
      </c>
      <c r="M130" s="196">
        <f t="shared" si="18"/>
        <v>52.480000000000004</v>
      </c>
      <c r="N130" s="148">
        <v>5499</v>
      </c>
      <c r="O130" s="195">
        <f t="shared" si="19"/>
        <v>611</v>
      </c>
      <c r="P130" s="148">
        <v>752</v>
      </c>
      <c r="Q130" s="195">
        <f t="shared" si="20"/>
        <v>6.7815100887798039</v>
      </c>
      <c r="R130" s="148">
        <f t="shared" si="21"/>
        <v>26.88</v>
      </c>
      <c r="S130" s="196">
        <v>12890</v>
      </c>
      <c r="T130" s="148">
        <v>1079</v>
      </c>
    </row>
    <row r="131" spans="1:20" x14ac:dyDescent="0.25">
      <c r="A131" s="197" t="str">
        <f t="shared" si="11"/>
        <v>RECF  300*100*6</v>
      </c>
      <c r="B131" s="198">
        <f t="shared" si="12"/>
        <v>35.821842251713434</v>
      </c>
      <c r="C131" s="199">
        <v>300</v>
      </c>
      <c r="D131" s="199">
        <v>100</v>
      </c>
      <c r="E131" s="199">
        <v>6</v>
      </c>
      <c r="F131" s="199">
        <f t="shared" si="13"/>
        <v>6</v>
      </c>
      <c r="G131" s="199">
        <f t="shared" si="14"/>
        <v>12</v>
      </c>
      <c r="H131" s="198">
        <f t="shared" si="15"/>
        <v>45.632920065876981</v>
      </c>
      <c r="I131" s="199">
        <v>4772</v>
      </c>
      <c r="J131" s="198">
        <f t="shared" si="16"/>
        <v>318.13333333333333</v>
      </c>
      <c r="K131" s="199">
        <v>411</v>
      </c>
      <c r="L131" s="198">
        <f t="shared" si="17"/>
        <v>10.226124771150914</v>
      </c>
      <c r="M131" s="200">
        <f t="shared" si="18"/>
        <v>33.119999999999997</v>
      </c>
      <c r="N131" s="199">
        <v>841</v>
      </c>
      <c r="O131" s="198">
        <f t="shared" si="19"/>
        <v>168.2</v>
      </c>
      <c r="P131" s="199">
        <v>188</v>
      </c>
      <c r="Q131" s="198">
        <f t="shared" si="20"/>
        <v>4.2929800250728354</v>
      </c>
      <c r="R131" s="199">
        <f t="shared" si="21"/>
        <v>9.120000000000001</v>
      </c>
      <c r="S131" s="200">
        <v>2403</v>
      </c>
      <c r="T131" s="201">
        <v>306.2</v>
      </c>
    </row>
    <row r="132" spans="1:20" x14ac:dyDescent="0.25">
      <c r="A132" s="202" t="str">
        <f t="shared" si="11"/>
        <v>RECF  300*100*6.3</v>
      </c>
      <c r="B132" s="203">
        <f t="shared" si="12"/>
        <v>37.247930110018743</v>
      </c>
      <c r="C132" s="204">
        <v>300</v>
      </c>
      <c r="D132" s="204">
        <v>100</v>
      </c>
      <c r="E132" s="204">
        <v>6.3</v>
      </c>
      <c r="F132" s="204">
        <f t="shared" si="13"/>
        <v>9.4499999999999993</v>
      </c>
      <c r="G132" s="204">
        <f t="shared" si="14"/>
        <v>15.75</v>
      </c>
      <c r="H132" s="203">
        <f t="shared" si="15"/>
        <v>47.449592496839159</v>
      </c>
      <c r="I132" s="204">
        <v>4898</v>
      </c>
      <c r="J132" s="203">
        <f t="shared" si="16"/>
        <v>326.53333333333336</v>
      </c>
      <c r="K132" s="204">
        <v>425</v>
      </c>
      <c r="L132" s="203">
        <f t="shared" si="17"/>
        <v>10.159986874539943</v>
      </c>
      <c r="M132" s="205">
        <f t="shared" si="18"/>
        <v>33.831000000000003</v>
      </c>
      <c r="N132" s="204">
        <v>865</v>
      </c>
      <c r="O132" s="203">
        <f t="shared" si="19"/>
        <v>173</v>
      </c>
      <c r="P132" s="204">
        <v>194</v>
      </c>
      <c r="Q132" s="203">
        <f t="shared" si="20"/>
        <v>4.2696454242846062</v>
      </c>
      <c r="R132" s="204">
        <f t="shared" si="21"/>
        <v>8.6310000000000002</v>
      </c>
      <c r="S132" s="205">
        <v>2515</v>
      </c>
      <c r="T132" s="206">
        <v>318.3</v>
      </c>
    </row>
    <row r="133" spans="1:20" x14ac:dyDescent="0.25">
      <c r="A133" s="202" t="str">
        <f t="shared" ref="A133:A168" si="22">$B$3&amp;"  "&amp;C133&amp;"*"&amp;D133&amp;"*"&amp;E133</f>
        <v>RECF  300*100*8</v>
      </c>
      <c r="B133" s="203">
        <f t="shared" ref="B133:B196" si="23">H133*0.785</f>
        <v>46.505344596654048</v>
      </c>
      <c r="C133" s="204">
        <v>300</v>
      </c>
      <c r="D133" s="204">
        <v>100</v>
      </c>
      <c r="E133" s="204">
        <v>8</v>
      </c>
      <c r="F133" s="204">
        <f t="shared" ref="F133:F196" si="24">IF(E133&lt;=6,1*E133,IF(E133&lt;=10,1.5*E133,2*E133))</f>
        <v>12</v>
      </c>
      <c r="G133" s="204">
        <f t="shared" ref="G133:G196" si="25">IF(E133&lt;=6,2*E133,IF(E133&lt;=10,2.5*E133,3*E133))</f>
        <v>20</v>
      </c>
      <c r="H133" s="203">
        <f t="shared" ref="H133:H196" si="26">(2*(C133-2*G133)*E133+2*(D133-2*G133)*E133+PI()*(G133^2-F133^2))*0.01</f>
        <v>59.24247719318987</v>
      </c>
      <c r="I133" s="204">
        <v>5960</v>
      </c>
      <c r="J133" s="203">
        <f t="shared" ref="J133:J196" si="27">I133/(0.5*C133*0.1)</f>
        <v>397.33333333333331</v>
      </c>
      <c r="K133" s="204">
        <v>523</v>
      </c>
      <c r="L133" s="203">
        <f t="shared" ref="L133:L196" si="28">SQRT(I133/H133)</f>
        <v>10.030129143906976</v>
      </c>
      <c r="M133" s="205">
        <f t="shared" ref="M133:M196" si="29">2*(C133-2*G133)*E133*0.01</f>
        <v>41.6</v>
      </c>
      <c r="N133" s="204">
        <v>1039</v>
      </c>
      <c r="O133" s="203">
        <f t="shared" ref="O133:O196" si="30">N133/(0.5*D133*0.1)</f>
        <v>207.8</v>
      </c>
      <c r="P133" s="204">
        <v>238</v>
      </c>
      <c r="Q133" s="203">
        <f t="shared" ref="Q133:Q196" si="31">SQRT(N133/H133)</f>
        <v>4.1878504917638715</v>
      </c>
      <c r="R133" s="204">
        <f t="shared" ref="R133:R196" si="32">2*(D133-2*G133)*E133*0.01</f>
        <v>9.6</v>
      </c>
      <c r="S133" s="205">
        <v>3080</v>
      </c>
      <c r="T133" s="206">
        <v>385.2</v>
      </c>
    </row>
    <row r="134" spans="1:20" x14ac:dyDescent="0.25">
      <c r="A134" s="202" t="str">
        <f t="shared" si="22"/>
        <v>RECF  300*100*10</v>
      </c>
      <c r="B134" s="203">
        <f t="shared" si="23"/>
        <v>56.964600932271949</v>
      </c>
      <c r="C134" s="204">
        <v>300</v>
      </c>
      <c r="D134" s="204">
        <v>100</v>
      </c>
      <c r="E134" s="204">
        <v>10</v>
      </c>
      <c r="F134" s="204">
        <f t="shared" si="24"/>
        <v>15</v>
      </c>
      <c r="G134" s="204">
        <f t="shared" si="25"/>
        <v>25</v>
      </c>
      <c r="H134" s="203">
        <f t="shared" si="26"/>
        <v>72.566370614359172</v>
      </c>
      <c r="I134" s="204">
        <v>7071</v>
      </c>
      <c r="J134" s="203">
        <f t="shared" si="27"/>
        <v>471.4</v>
      </c>
      <c r="K134" s="204">
        <v>630</v>
      </c>
      <c r="L134" s="203">
        <f t="shared" si="28"/>
        <v>9.8712628726588072</v>
      </c>
      <c r="M134" s="205">
        <f t="shared" si="29"/>
        <v>50</v>
      </c>
      <c r="N134" s="204">
        <v>1213</v>
      </c>
      <c r="O134" s="203">
        <f t="shared" si="30"/>
        <v>242.6</v>
      </c>
      <c r="P134" s="204">
        <v>284</v>
      </c>
      <c r="Q134" s="203">
        <f t="shared" si="31"/>
        <v>4.0884877342502319</v>
      </c>
      <c r="R134" s="204">
        <f t="shared" si="32"/>
        <v>10</v>
      </c>
      <c r="S134" s="205">
        <v>3681</v>
      </c>
      <c r="T134" s="206">
        <v>454.5</v>
      </c>
    </row>
    <row r="135" spans="1:20" x14ac:dyDescent="0.25">
      <c r="A135" s="202" t="str">
        <f t="shared" si="22"/>
        <v>RECF  300*100*12</v>
      </c>
      <c r="B135" s="203">
        <f t="shared" si="23"/>
        <v>65.986681678089511</v>
      </c>
      <c r="C135" s="204">
        <v>300</v>
      </c>
      <c r="D135" s="204">
        <v>100</v>
      </c>
      <c r="E135" s="204">
        <v>12</v>
      </c>
      <c r="F135" s="204">
        <f t="shared" si="24"/>
        <v>24</v>
      </c>
      <c r="G135" s="204">
        <f t="shared" si="25"/>
        <v>36</v>
      </c>
      <c r="H135" s="203">
        <f t="shared" si="26"/>
        <v>84.059467105846508</v>
      </c>
      <c r="I135" s="204">
        <v>7723</v>
      </c>
      <c r="J135" s="203">
        <f t="shared" si="27"/>
        <v>514.86666666666667</v>
      </c>
      <c r="K135" s="204">
        <v>707</v>
      </c>
      <c r="L135" s="203">
        <f t="shared" si="28"/>
        <v>9.585167381762119</v>
      </c>
      <c r="M135" s="205">
        <f t="shared" si="29"/>
        <v>54.72</v>
      </c>
      <c r="N135" s="204">
        <v>1317</v>
      </c>
      <c r="O135" s="203">
        <f t="shared" si="30"/>
        <v>263.39999999999998</v>
      </c>
      <c r="P135" s="204">
        <v>318</v>
      </c>
      <c r="Q135" s="203">
        <f t="shared" si="31"/>
        <v>3.9582167406223632</v>
      </c>
      <c r="R135" s="204">
        <f t="shared" si="32"/>
        <v>6.72</v>
      </c>
      <c r="S135" s="205">
        <v>4177</v>
      </c>
      <c r="T135" s="206">
        <v>508.5</v>
      </c>
    </row>
    <row r="136" spans="1:20" x14ac:dyDescent="0.25">
      <c r="A136" s="202" t="str">
        <f t="shared" si="22"/>
        <v>RECF  300*100*12.5</v>
      </c>
      <c r="B136" s="203">
        <f t="shared" si="23"/>
        <v>68.329298695843661</v>
      </c>
      <c r="C136" s="204">
        <v>300</v>
      </c>
      <c r="D136" s="204">
        <v>100</v>
      </c>
      <c r="E136" s="204">
        <v>12.5</v>
      </c>
      <c r="F136" s="204">
        <f t="shared" si="24"/>
        <v>25</v>
      </c>
      <c r="G136" s="204">
        <f t="shared" si="25"/>
        <v>37.5</v>
      </c>
      <c r="H136" s="203">
        <f t="shared" si="26"/>
        <v>87.043692606170268</v>
      </c>
      <c r="I136" s="204">
        <v>7913</v>
      </c>
      <c r="J136" s="203">
        <f t="shared" si="27"/>
        <v>527.5333333333333</v>
      </c>
      <c r="K136" s="204">
        <v>728</v>
      </c>
      <c r="L136" s="203">
        <f t="shared" si="28"/>
        <v>9.5345879588982871</v>
      </c>
      <c r="M136" s="205">
        <f t="shared" si="29"/>
        <v>56.25</v>
      </c>
      <c r="N136" s="204">
        <v>1345</v>
      </c>
      <c r="O136" s="203">
        <f t="shared" si="30"/>
        <v>269</v>
      </c>
      <c r="P136" s="204">
        <v>327</v>
      </c>
      <c r="Q136" s="203">
        <f t="shared" si="31"/>
        <v>3.9309044635227406</v>
      </c>
      <c r="R136" s="204">
        <f t="shared" si="32"/>
        <v>6.25</v>
      </c>
      <c r="S136" s="205">
        <v>4292</v>
      </c>
      <c r="T136" s="206">
        <v>521.20000000000005</v>
      </c>
    </row>
    <row r="137" spans="1:20" x14ac:dyDescent="0.25">
      <c r="A137" s="207" t="str">
        <f t="shared" si="22"/>
        <v>RECF  300*100*16</v>
      </c>
      <c r="B137" s="208">
        <f t="shared" si="23"/>
        <v>83.816322983270254</v>
      </c>
      <c r="C137" s="209">
        <v>300</v>
      </c>
      <c r="D137" s="209">
        <v>100</v>
      </c>
      <c r="E137" s="209">
        <v>16</v>
      </c>
      <c r="F137" s="209">
        <f t="shared" si="24"/>
        <v>32</v>
      </c>
      <c r="G137" s="209">
        <f t="shared" si="25"/>
        <v>48</v>
      </c>
      <c r="H137" s="208">
        <f t="shared" si="26"/>
        <v>106.77238596594937</v>
      </c>
      <c r="I137" s="209">
        <v>8958</v>
      </c>
      <c r="J137" s="208">
        <f t="shared" si="27"/>
        <v>597.20000000000005</v>
      </c>
      <c r="K137" s="209">
        <v>858</v>
      </c>
      <c r="L137" s="208">
        <f t="shared" si="28"/>
        <v>9.1595904411554923</v>
      </c>
      <c r="M137" s="210">
        <f t="shared" si="29"/>
        <v>65.28</v>
      </c>
      <c r="N137" s="209">
        <v>1485</v>
      </c>
      <c r="O137" s="208">
        <f t="shared" si="30"/>
        <v>297</v>
      </c>
      <c r="P137" s="209">
        <v>379</v>
      </c>
      <c r="Q137" s="208">
        <f t="shared" si="31"/>
        <v>3.7293552304966537</v>
      </c>
      <c r="R137" s="209">
        <f t="shared" si="32"/>
        <v>1.28</v>
      </c>
      <c r="S137" s="210">
        <v>4939</v>
      </c>
      <c r="T137" s="211">
        <v>592.29999999999995</v>
      </c>
    </row>
    <row r="138" spans="1:20" x14ac:dyDescent="0.25">
      <c r="A138" s="194" t="str">
        <f t="shared" si="22"/>
        <v>RECF  300*150*6</v>
      </c>
      <c r="B138" s="195">
        <f t="shared" si="23"/>
        <v>40.531842251713428</v>
      </c>
      <c r="C138" s="148">
        <v>300</v>
      </c>
      <c r="D138" s="148">
        <v>150</v>
      </c>
      <c r="E138" s="148">
        <v>6</v>
      </c>
      <c r="F138" s="148">
        <f t="shared" si="24"/>
        <v>6</v>
      </c>
      <c r="G138" s="148">
        <f t="shared" si="25"/>
        <v>12</v>
      </c>
      <c r="H138" s="195">
        <f t="shared" si="26"/>
        <v>51.632920065876981</v>
      </c>
      <c r="I138" s="148">
        <v>6069</v>
      </c>
      <c r="J138" s="195">
        <f t="shared" si="27"/>
        <v>404.6</v>
      </c>
      <c r="K138" s="148">
        <v>499</v>
      </c>
      <c r="L138" s="195">
        <f t="shared" si="28"/>
        <v>10.841646065031496</v>
      </c>
      <c r="M138" s="196">
        <f t="shared" si="29"/>
        <v>33.119999999999997</v>
      </c>
      <c r="N138" s="148">
        <v>2077</v>
      </c>
      <c r="O138" s="195">
        <f t="shared" si="30"/>
        <v>276.93333333333334</v>
      </c>
      <c r="P138" s="148">
        <v>309</v>
      </c>
      <c r="Q138" s="195">
        <f t="shared" si="31"/>
        <v>6.3424186391208277</v>
      </c>
      <c r="R138" s="148">
        <f t="shared" si="32"/>
        <v>15.120000000000001</v>
      </c>
      <c r="S138" s="196">
        <v>4988</v>
      </c>
      <c r="T138" s="148">
        <v>478.6</v>
      </c>
    </row>
    <row r="139" spans="1:20" x14ac:dyDescent="0.25">
      <c r="A139" s="194" t="str">
        <f t="shared" si="22"/>
        <v>RECF  300*150*6.3</v>
      </c>
      <c r="B139" s="195">
        <f t="shared" si="23"/>
        <v>42.193430110018745</v>
      </c>
      <c r="C139" s="148">
        <v>300</v>
      </c>
      <c r="D139" s="148">
        <v>150</v>
      </c>
      <c r="E139" s="148">
        <v>6.3</v>
      </c>
      <c r="F139" s="148">
        <f t="shared" si="24"/>
        <v>9.4499999999999993</v>
      </c>
      <c r="G139" s="148">
        <f t="shared" si="25"/>
        <v>15.75</v>
      </c>
      <c r="H139" s="195">
        <f t="shared" si="26"/>
        <v>53.749592496839163</v>
      </c>
      <c r="I139" s="148">
        <v>6257</v>
      </c>
      <c r="J139" s="195">
        <f t="shared" si="27"/>
        <v>417.13333333333333</v>
      </c>
      <c r="K139" s="148">
        <v>517</v>
      </c>
      <c r="L139" s="195">
        <f t="shared" si="28"/>
        <v>10.789355165349841</v>
      </c>
      <c r="M139" s="196">
        <f t="shared" si="29"/>
        <v>33.831000000000003</v>
      </c>
      <c r="N139" s="148">
        <v>2146</v>
      </c>
      <c r="O139" s="195">
        <f t="shared" si="30"/>
        <v>286.13333333333333</v>
      </c>
      <c r="P139" s="148">
        <v>321</v>
      </c>
      <c r="Q139" s="195">
        <f t="shared" si="31"/>
        <v>6.3186932265784739</v>
      </c>
      <c r="R139" s="148">
        <f t="shared" si="32"/>
        <v>14.930999999999999</v>
      </c>
      <c r="S139" s="196">
        <v>5234</v>
      </c>
      <c r="T139" s="148">
        <v>498.9</v>
      </c>
    </row>
    <row r="140" spans="1:20" x14ac:dyDescent="0.25">
      <c r="A140" s="194" t="str">
        <f t="shared" si="22"/>
        <v>RECF  300*150*8</v>
      </c>
      <c r="B140" s="195">
        <f t="shared" si="23"/>
        <v>52.785344596654049</v>
      </c>
      <c r="C140" s="148">
        <v>300</v>
      </c>
      <c r="D140" s="148">
        <v>150</v>
      </c>
      <c r="E140" s="148">
        <v>8</v>
      </c>
      <c r="F140" s="148">
        <f t="shared" si="24"/>
        <v>12</v>
      </c>
      <c r="G140" s="148">
        <f t="shared" si="25"/>
        <v>20</v>
      </c>
      <c r="H140" s="195">
        <f t="shared" si="26"/>
        <v>67.24247719318987</v>
      </c>
      <c r="I140" s="148">
        <v>7666</v>
      </c>
      <c r="J140" s="195">
        <f t="shared" si="27"/>
        <v>511.06666666666666</v>
      </c>
      <c r="K140" s="148">
        <v>640</v>
      </c>
      <c r="L140" s="195">
        <f t="shared" si="28"/>
        <v>10.677327290416073</v>
      </c>
      <c r="M140" s="196">
        <f t="shared" si="29"/>
        <v>41.6</v>
      </c>
      <c r="N140" s="148">
        <v>2614</v>
      </c>
      <c r="O140" s="195">
        <f t="shared" si="30"/>
        <v>348.53333333333336</v>
      </c>
      <c r="P140" s="148">
        <v>396</v>
      </c>
      <c r="Q140" s="195">
        <f t="shared" si="31"/>
        <v>6.2349207754561213</v>
      </c>
      <c r="R140" s="148">
        <f t="shared" si="32"/>
        <v>17.600000000000001</v>
      </c>
      <c r="S140" s="196">
        <v>6491</v>
      </c>
      <c r="T140" s="148">
        <v>611.5</v>
      </c>
    </row>
    <row r="141" spans="1:20" x14ac:dyDescent="0.25">
      <c r="A141" s="194" t="str">
        <f t="shared" si="22"/>
        <v>RECF  300*150*10</v>
      </c>
      <c r="B141" s="195">
        <f t="shared" si="23"/>
        <v>64.814600932271958</v>
      </c>
      <c r="C141" s="148">
        <v>300</v>
      </c>
      <c r="D141" s="148">
        <v>150</v>
      </c>
      <c r="E141" s="148">
        <v>10</v>
      </c>
      <c r="F141" s="148">
        <f t="shared" si="24"/>
        <v>15</v>
      </c>
      <c r="G141" s="148">
        <f t="shared" si="25"/>
        <v>25</v>
      </c>
      <c r="H141" s="195">
        <f t="shared" si="26"/>
        <v>82.566370614359172</v>
      </c>
      <c r="I141" s="148">
        <v>9174</v>
      </c>
      <c r="J141" s="195">
        <f t="shared" si="27"/>
        <v>611.6</v>
      </c>
      <c r="K141" s="148">
        <v>775</v>
      </c>
      <c r="L141" s="195">
        <f t="shared" si="28"/>
        <v>10.540901876425361</v>
      </c>
      <c r="M141" s="196">
        <f t="shared" si="29"/>
        <v>50</v>
      </c>
      <c r="N141" s="148">
        <v>3108</v>
      </c>
      <c r="O141" s="195">
        <f t="shared" si="30"/>
        <v>414.4</v>
      </c>
      <c r="P141" s="148">
        <v>478</v>
      </c>
      <c r="Q141" s="195">
        <f t="shared" si="31"/>
        <v>6.1353438547794807</v>
      </c>
      <c r="R141" s="148">
        <f t="shared" si="32"/>
        <v>20</v>
      </c>
      <c r="S141" s="196">
        <v>7879</v>
      </c>
      <c r="T141" s="148">
        <v>732.8</v>
      </c>
    </row>
    <row r="142" spans="1:20" x14ac:dyDescent="0.25">
      <c r="A142" s="194" t="str">
        <f t="shared" si="22"/>
        <v>RECF  300*150*12</v>
      </c>
      <c r="B142" s="195">
        <f t="shared" si="23"/>
        <v>75.406681678089512</v>
      </c>
      <c r="C142" s="148">
        <v>300</v>
      </c>
      <c r="D142" s="148">
        <v>150</v>
      </c>
      <c r="E142" s="148">
        <v>12</v>
      </c>
      <c r="F142" s="148">
        <f t="shared" si="24"/>
        <v>24</v>
      </c>
      <c r="G142" s="148">
        <f t="shared" si="25"/>
        <v>36</v>
      </c>
      <c r="H142" s="195">
        <f t="shared" si="26"/>
        <v>96.059467105846508</v>
      </c>
      <c r="I142" s="148">
        <v>10213</v>
      </c>
      <c r="J142" s="195">
        <f t="shared" si="27"/>
        <v>680.86666666666667</v>
      </c>
      <c r="K142" s="148">
        <v>880</v>
      </c>
      <c r="L142" s="195">
        <f t="shared" si="28"/>
        <v>10.311137527997696</v>
      </c>
      <c r="M142" s="196">
        <f t="shared" si="29"/>
        <v>54.72</v>
      </c>
      <c r="N142" s="148">
        <v>3457</v>
      </c>
      <c r="O142" s="195">
        <f t="shared" si="30"/>
        <v>460.93333333333334</v>
      </c>
      <c r="P142" s="148">
        <v>543</v>
      </c>
      <c r="Q142" s="195">
        <f t="shared" si="31"/>
        <v>5.9990102399177774</v>
      </c>
      <c r="R142" s="148">
        <f t="shared" si="32"/>
        <v>18.72</v>
      </c>
      <c r="S142" s="196">
        <v>9153</v>
      </c>
      <c r="T142" s="148">
        <v>836.9</v>
      </c>
    </row>
    <row r="143" spans="1:20" x14ac:dyDescent="0.25">
      <c r="A143" s="194" t="str">
        <f t="shared" si="22"/>
        <v>RECF  300*150*12.5</v>
      </c>
      <c r="B143" s="195">
        <f t="shared" si="23"/>
        <v>78.141798695843661</v>
      </c>
      <c r="C143" s="148">
        <v>300</v>
      </c>
      <c r="D143" s="148">
        <v>150</v>
      </c>
      <c r="E143" s="148">
        <v>12.5</v>
      </c>
      <c r="F143" s="148">
        <f t="shared" si="24"/>
        <v>25</v>
      </c>
      <c r="G143" s="148">
        <f t="shared" si="25"/>
        <v>37.5</v>
      </c>
      <c r="H143" s="195">
        <f t="shared" si="26"/>
        <v>99.543692606170268</v>
      </c>
      <c r="I143" s="148">
        <v>10498</v>
      </c>
      <c r="J143" s="195">
        <f t="shared" si="27"/>
        <v>699.86666666666667</v>
      </c>
      <c r="K143" s="148">
        <v>908</v>
      </c>
      <c r="L143" s="195">
        <f t="shared" si="28"/>
        <v>10.269431696941661</v>
      </c>
      <c r="M143" s="196">
        <f t="shared" si="29"/>
        <v>56.25</v>
      </c>
      <c r="N143" s="148">
        <v>3549</v>
      </c>
      <c r="O143" s="195">
        <f t="shared" si="30"/>
        <v>473.2</v>
      </c>
      <c r="P143" s="148">
        <v>560</v>
      </c>
      <c r="Q143" s="195">
        <f t="shared" si="31"/>
        <v>5.9709870073208231</v>
      </c>
      <c r="R143" s="148">
        <f t="shared" si="32"/>
        <v>18.75</v>
      </c>
      <c r="S143" s="196">
        <v>9452</v>
      </c>
      <c r="T143" s="148">
        <v>861.8</v>
      </c>
    </row>
    <row r="144" spans="1:20" x14ac:dyDescent="0.25">
      <c r="A144" s="194" t="str">
        <f t="shared" si="22"/>
        <v>RECF  300*150*16</v>
      </c>
      <c r="B144" s="195">
        <f t="shared" si="23"/>
        <v>96.376322983270256</v>
      </c>
      <c r="C144" s="148">
        <v>300</v>
      </c>
      <c r="D144" s="148">
        <v>150</v>
      </c>
      <c r="E144" s="148">
        <v>16</v>
      </c>
      <c r="F144" s="148">
        <f t="shared" si="24"/>
        <v>32</v>
      </c>
      <c r="G144" s="148">
        <f t="shared" si="25"/>
        <v>48</v>
      </c>
      <c r="H144" s="195">
        <f t="shared" si="26"/>
        <v>122.77238596594937</v>
      </c>
      <c r="I144" s="148">
        <v>12188</v>
      </c>
      <c r="J144" s="195">
        <f t="shared" si="27"/>
        <v>812.5333333333333</v>
      </c>
      <c r="K144" s="148">
        <v>1085</v>
      </c>
      <c r="L144" s="195">
        <f t="shared" si="28"/>
        <v>9.9635906118821946</v>
      </c>
      <c r="M144" s="196">
        <f t="shared" si="29"/>
        <v>65.28</v>
      </c>
      <c r="N144" s="148">
        <v>4081</v>
      </c>
      <c r="O144" s="195">
        <f t="shared" si="30"/>
        <v>544.13333333333333</v>
      </c>
      <c r="P144" s="148">
        <v>666</v>
      </c>
      <c r="Q144" s="195">
        <f t="shared" si="31"/>
        <v>5.7654465382246576</v>
      </c>
      <c r="R144" s="148">
        <f t="shared" si="32"/>
        <v>17.28</v>
      </c>
      <c r="S144" s="196">
        <v>11330</v>
      </c>
      <c r="T144" s="148">
        <v>1015</v>
      </c>
    </row>
    <row r="145" spans="1:20" x14ac:dyDescent="0.25">
      <c r="A145" s="197" t="str">
        <f t="shared" si="22"/>
        <v>RECF  300*200*6</v>
      </c>
      <c r="B145" s="198">
        <f t="shared" si="23"/>
        <v>45.241842251713429</v>
      </c>
      <c r="C145" s="199">
        <v>300</v>
      </c>
      <c r="D145" s="199">
        <v>200</v>
      </c>
      <c r="E145" s="199">
        <v>6</v>
      </c>
      <c r="F145" s="199">
        <f t="shared" si="24"/>
        <v>6</v>
      </c>
      <c r="G145" s="199">
        <f t="shared" si="25"/>
        <v>12</v>
      </c>
      <c r="H145" s="198">
        <f t="shared" si="26"/>
        <v>57.632920065876981</v>
      </c>
      <c r="I145" s="199">
        <v>7365</v>
      </c>
      <c r="J145" s="198">
        <f t="shared" si="27"/>
        <v>491</v>
      </c>
      <c r="K145" s="199">
        <v>588</v>
      </c>
      <c r="L145" s="198">
        <f t="shared" si="28"/>
        <v>11.304492326877625</v>
      </c>
      <c r="M145" s="200">
        <f t="shared" si="29"/>
        <v>33.119999999999997</v>
      </c>
      <c r="N145" s="199">
        <v>3959</v>
      </c>
      <c r="O145" s="198">
        <f t="shared" si="30"/>
        <v>395.9</v>
      </c>
      <c r="P145" s="199">
        <v>446</v>
      </c>
      <c r="Q145" s="198">
        <f t="shared" si="31"/>
        <v>8.2881468758875396</v>
      </c>
      <c r="R145" s="199">
        <f t="shared" si="32"/>
        <v>21.12</v>
      </c>
      <c r="S145" s="200">
        <v>8115</v>
      </c>
      <c r="T145" s="201">
        <v>651.20000000000005</v>
      </c>
    </row>
    <row r="146" spans="1:20" x14ac:dyDescent="0.25">
      <c r="A146" s="202" t="str">
        <f t="shared" si="22"/>
        <v>RECF  300*200*6.3</v>
      </c>
      <c r="B146" s="203">
        <f t="shared" si="23"/>
        <v>47.138930110018741</v>
      </c>
      <c r="C146" s="204">
        <v>300</v>
      </c>
      <c r="D146" s="204">
        <v>200</v>
      </c>
      <c r="E146" s="204">
        <v>6.3</v>
      </c>
      <c r="F146" s="204">
        <f t="shared" si="24"/>
        <v>9.4499999999999993</v>
      </c>
      <c r="G146" s="204">
        <f t="shared" si="25"/>
        <v>15.75</v>
      </c>
      <c r="H146" s="203">
        <f t="shared" si="26"/>
        <v>60.049592496839161</v>
      </c>
      <c r="I146" s="204">
        <v>7616</v>
      </c>
      <c r="J146" s="203">
        <f t="shared" si="27"/>
        <v>507.73333333333335</v>
      </c>
      <c r="K146" s="204">
        <v>610</v>
      </c>
      <c r="L146" s="203">
        <f t="shared" si="28"/>
        <v>11.261816207730106</v>
      </c>
      <c r="M146" s="205">
        <f t="shared" si="29"/>
        <v>33.831000000000003</v>
      </c>
      <c r="N146" s="204">
        <v>4098</v>
      </c>
      <c r="O146" s="203">
        <f t="shared" si="30"/>
        <v>409.8</v>
      </c>
      <c r="P146" s="204">
        <v>463</v>
      </c>
      <c r="Q146" s="203">
        <f t="shared" si="31"/>
        <v>8.2609680927728864</v>
      </c>
      <c r="R146" s="204">
        <f t="shared" si="32"/>
        <v>21.230999999999998</v>
      </c>
      <c r="S146" s="205">
        <v>8524</v>
      </c>
      <c r="T146" s="206">
        <v>679.8</v>
      </c>
    </row>
    <row r="147" spans="1:20" x14ac:dyDescent="0.25">
      <c r="A147" s="202" t="str">
        <f t="shared" si="22"/>
        <v>RECF  300*200*8</v>
      </c>
      <c r="B147" s="203">
        <f t="shared" si="23"/>
        <v>59.06534459665405</v>
      </c>
      <c r="C147" s="204">
        <v>300</v>
      </c>
      <c r="D147" s="204">
        <v>200</v>
      </c>
      <c r="E147" s="204">
        <v>8</v>
      </c>
      <c r="F147" s="204">
        <f t="shared" si="24"/>
        <v>12</v>
      </c>
      <c r="G147" s="204">
        <f t="shared" si="25"/>
        <v>20</v>
      </c>
      <c r="H147" s="203">
        <f t="shared" si="26"/>
        <v>75.24247719318987</v>
      </c>
      <c r="I147" s="204">
        <v>9371</v>
      </c>
      <c r="J147" s="203">
        <f t="shared" si="27"/>
        <v>624.73333333333335</v>
      </c>
      <c r="K147" s="204">
        <v>756</v>
      </c>
      <c r="L147" s="203">
        <f t="shared" si="28"/>
        <v>11.159928863264977</v>
      </c>
      <c r="M147" s="205">
        <f t="shared" si="29"/>
        <v>41.6</v>
      </c>
      <c r="N147" s="204">
        <v>5030</v>
      </c>
      <c r="O147" s="203">
        <f t="shared" si="30"/>
        <v>503</v>
      </c>
      <c r="P147" s="204">
        <v>574</v>
      </c>
      <c r="Q147" s="203">
        <f t="shared" si="31"/>
        <v>8.1762177640952221</v>
      </c>
      <c r="R147" s="204">
        <f t="shared" si="32"/>
        <v>25.6</v>
      </c>
      <c r="S147" s="205">
        <v>10630</v>
      </c>
      <c r="T147" s="206">
        <v>838.4</v>
      </c>
    </row>
    <row r="148" spans="1:20" x14ac:dyDescent="0.25">
      <c r="A148" s="202" t="str">
        <f t="shared" si="22"/>
        <v>RECF  300*200*10</v>
      </c>
      <c r="B148" s="203">
        <f t="shared" si="23"/>
        <v>72.664600932271952</v>
      </c>
      <c r="C148" s="204">
        <v>300</v>
      </c>
      <c r="D148" s="204">
        <v>200</v>
      </c>
      <c r="E148" s="204">
        <v>10</v>
      </c>
      <c r="F148" s="204">
        <f t="shared" si="24"/>
        <v>15</v>
      </c>
      <c r="G148" s="204">
        <f t="shared" si="25"/>
        <v>25</v>
      </c>
      <c r="H148" s="203">
        <f t="shared" si="26"/>
        <v>92.566370614359172</v>
      </c>
      <c r="I148" s="204">
        <v>11278</v>
      </c>
      <c r="J148" s="203">
        <f t="shared" si="27"/>
        <v>751.86666666666667</v>
      </c>
      <c r="K148" s="204">
        <v>920</v>
      </c>
      <c r="L148" s="203">
        <f t="shared" si="28"/>
        <v>11.037975534042998</v>
      </c>
      <c r="M148" s="205">
        <f t="shared" si="29"/>
        <v>50</v>
      </c>
      <c r="N148" s="204">
        <v>6035</v>
      </c>
      <c r="O148" s="203">
        <f t="shared" si="30"/>
        <v>603.5</v>
      </c>
      <c r="P148" s="204">
        <v>697</v>
      </c>
      <c r="Q148" s="203">
        <f t="shared" si="31"/>
        <v>8.0744327024662184</v>
      </c>
      <c r="R148" s="204">
        <f t="shared" si="32"/>
        <v>30</v>
      </c>
      <c r="S148" s="205">
        <v>12990</v>
      </c>
      <c r="T148" s="206">
        <v>1012</v>
      </c>
    </row>
    <row r="149" spans="1:20" x14ac:dyDescent="0.25">
      <c r="A149" s="202" t="str">
        <f t="shared" si="22"/>
        <v>RECF  300*200*12</v>
      </c>
      <c r="B149" s="203">
        <f t="shared" si="23"/>
        <v>84.826681678089514</v>
      </c>
      <c r="C149" s="204">
        <v>300</v>
      </c>
      <c r="D149" s="204">
        <v>200</v>
      </c>
      <c r="E149" s="204">
        <v>12</v>
      </c>
      <c r="F149" s="204">
        <f t="shared" si="24"/>
        <v>24</v>
      </c>
      <c r="G149" s="204">
        <f t="shared" si="25"/>
        <v>36</v>
      </c>
      <c r="H149" s="203">
        <f t="shared" si="26"/>
        <v>108.05946710584651</v>
      </c>
      <c r="I149" s="204">
        <v>12702</v>
      </c>
      <c r="J149" s="203">
        <f t="shared" si="27"/>
        <v>846.8</v>
      </c>
      <c r="K149" s="204">
        <v>1053</v>
      </c>
      <c r="L149" s="203">
        <f t="shared" si="28"/>
        <v>10.841881181808549</v>
      </c>
      <c r="M149" s="205">
        <f t="shared" si="29"/>
        <v>54.72</v>
      </c>
      <c r="N149" s="204">
        <v>6798</v>
      </c>
      <c r="O149" s="203">
        <f t="shared" si="30"/>
        <v>679.8</v>
      </c>
      <c r="P149" s="204">
        <v>798</v>
      </c>
      <c r="Q149" s="203">
        <f t="shared" si="31"/>
        <v>7.9315701448502978</v>
      </c>
      <c r="R149" s="204">
        <f t="shared" si="32"/>
        <v>30.72</v>
      </c>
      <c r="S149" s="205">
        <v>15240</v>
      </c>
      <c r="T149" s="206">
        <v>1167</v>
      </c>
    </row>
    <row r="150" spans="1:20" x14ac:dyDescent="0.25">
      <c r="A150" s="202" t="str">
        <f t="shared" si="22"/>
        <v>RECF  300*200*12.5</v>
      </c>
      <c r="B150" s="203">
        <f t="shared" si="23"/>
        <v>87.954298695843661</v>
      </c>
      <c r="C150" s="204">
        <v>300</v>
      </c>
      <c r="D150" s="204">
        <v>200</v>
      </c>
      <c r="E150" s="204">
        <v>12.5</v>
      </c>
      <c r="F150" s="204">
        <f t="shared" si="24"/>
        <v>25</v>
      </c>
      <c r="G150" s="204">
        <f t="shared" si="25"/>
        <v>37.5</v>
      </c>
      <c r="H150" s="203">
        <f t="shared" si="26"/>
        <v>112.04369260617027</v>
      </c>
      <c r="I150" s="204">
        <v>13082</v>
      </c>
      <c r="J150" s="203">
        <f t="shared" si="27"/>
        <v>872.13333333333333</v>
      </c>
      <c r="K150" s="204">
        <v>1088</v>
      </c>
      <c r="L150" s="203">
        <f t="shared" si="28"/>
        <v>10.805462630448771</v>
      </c>
      <c r="M150" s="205">
        <f t="shared" si="29"/>
        <v>56.25</v>
      </c>
      <c r="N150" s="204">
        <v>6997</v>
      </c>
      <c r="O150" s="203">
        <f t="shared" si="30"/>
        <v>699.7</v>
      </c>
      <c r="P150" s="204">
        <v>825</v>
      </c>
      <c r="Q150" s="203">
        <f t="shared" si="31"/>
        <v>7.9024586176972971</v>
      </c>
      <c r="R150" s="204">
        <f t="shared" si="32"/>
        <v>31.25</v>
      </c>
      <c r="S150" s="205">
        <v>15770</v>
      </c>
      <c r="T150" s="206">
        <v>1204</v>
      </c>
    </row>
    <row r="151" spans="1:20" x14ac:dyDescent="0.25">
      <c r="A151" s="207" t="str">
        <f t="shared" si="22"/>
        <v>RECF  300*200*16</v>
      </c>
      <c r="B151" s="208">
        <f t="shared" si="23"/>
        <v>108.93632298327024</v>
      </c>
      <c r="C151" s="209">
        <v>300</v>
      </c>
      <c r="D151" s="209">
        <v>200</v>
      </c>
      <c r="E151" s="209">
        <v>16</v>
      </c>
      <c r="F151" s="209">
        <f t="shared" si="24"/>
        <v>32</v>
      </c>
      <c r="G151" s="209">
        <f t="shared" si="25"/>
        <v>48</v>
      </c>
      <c r="H151" s="208">
        <f t="shared" si="26"/>
        <v>138.77238596594935</v>
      </c>
      <c r="I151" s="209">
        <v>15417</v>
      </c>
      <c r="J151" s="208">
        <f t="shared" si="27"/>
        <v>1027.8</v>
      </c>
      <c r="K151" s="209">
        <v>1312</v>
      </c>
      <c r="L151" s="208">
        <f t="shared" si="28"/>
        <v>10.540189244901876</v>
      </c>
      <c r="M151" s="210">
        <f t="shared" si="29"/>
        <v>65.28</v>
      </c>
      <c r="N151" s="209">
        <v>8212</v>
      </c>
      <c r="O151" s="208">
        <f t="shared" si="30"/>
        <v>821.2</v>
      </c>
      <c r="P151" s="209">
        <v>993</v>
      </c>
      <c r="Q151" s="208">
        <f t="shared" si="31"/>
        <v>7.6925963176376868</v>
      </c>
      <c r="R151" s="209">
        <f t="shared" si="32"/>
        <v>33.28</v>
      </c>
      <c r="S151" s="210">
        <v>19220</v>
      </c>
      <c r="T151" s="211">
        <v>1442</v>
      </c>
    </row>
    <row r="152" spans="1:20" x14ac:dyDescent="0.25">
      <c r="A152" s="194" t="str">
        <f t="shared" si="22"/>
        <v>RECF  350*250*6</v>
      </c>
      <c r="B152" s="195">
        <f t="shared" si="23"/>
        <v>54.661842251713423</v>
      </c>
      <c r="C152" s="148">
        <v>350</v>
      </c>
      <c r="D152" s="148">
        <v>250</v>
      </c>
      <c r="E152" s="148">
        <v>6</v>
      </c>
      <c r="F152" s="148">
        <f t="shared" si="24"/>
        <v>6</v>
      </c>
      <c r="G152" s="148">
        <f t="shared" si="25"/>
        <v>12</v>
      </c>
      <c r="H152" s="195">
        <f t="shared" si="26"/>
        <v>69.632920065876974</v>
      </c>
      <c r="I152" s="148">
        <v>12452</v>
      </c>
      <c r="J152" s="195">
        <f t="shared" si="27"/>
        <v>711.54285714285709</v>
      </c>
      <c r="K152" s="148">
        <v>842</v>
      </c>
      <c r="L152" s="195">
        <f t="shared" si="28"/>
        <v>13.372489086350054</v>
      </c>
      <c r="M152" s="196">
        <f t="shared" si="29"/>
        <v>39.119999999999997</v>
      </c>
      <c r="N152" s="148">
        <v>7454</v>
      </c>
      <c r="O152" s="195">
        <f t="shared" si="30"/>
        <v>596.32000000000005</v>
      </c>
      <c r="P152" s="148">
        <v>671</v>
      </c>
      <c r="Q152" s="195">
        <f t="shared" si="31"/>
        <v>10.34635534934338</v>
      </c>
      <c r="R152" s="148">
        <f t="shared" si="32"/>
        <v>27.12</v>
      </c>
      <c r="S152" s="196">
        <v>14550</v>
      </c>
      <c r="T152" s="148">
        <v>966.8</v>
      </c>
    </row>
    <row r="153" spans="1:20" x14ac:dyDescent="0.25">
      <c r="A153" s="194" t="str">
        <f t="shared" si="22"/>
        <v>RECF  350*250*6.3</v>
      </c>
      <c r="B153" s="195">
        <f t="shared" si="23"/>
        <v>57.029930110018746</v>
      </c>
      <c r="C153" s="148">
        <v>350</v>
      </c>
      <c r="D153" s="148">
        <v>250</v>
      </c>
      <c r="E153" s="148">
        <v>6.3</v>
      </c>
      <c r="F153" s="148">
        <f t="shared" si="24"/>
        <v>9.4499999999999993</v>
      </c>
      <c r="G153" s="148">
        <f t="shared" si="25"/>
        <v>15.75</v>
      </c>
      <c r="H153" s="195">
        <f t="shared" si="26"/>
        <v>72.649592496839162</v>
      </c>
      <c r="I153" s="148">
        <v>13913</v>
      </c>
      <c r="J153" s="195">
        <f t="shared" si="27"/>
        <v>795.02857142857147</v>
      </c>
      <c r="K153" s="148">
        <v>876</v>
      </c>
      <c r="L153" s="195">
        <f t="shared" si="28"/>
        <v>13.838652413536579</v>
      </c>
      <c r="M153" s="196">
        <f t="shared" si="29"/>
        <v>40.131</v>
      </c>
      <c r="N153" s="148">
        <v>7736</v>
      </c>
      <c r="O153" s="195">
        <f t="shared" si="30"/>
        <v>618.88</v>
      </c>
      <c r="P153" s="148">
        <v>698</v>
      </c>
      <c r="Q153" s="195">
        <f t="shared" si="31"/>
        <v>10.319095678178414</v>
      </c>
      <c r="R153" s="148">
        <f t="shared" si="32"/>
        <v>27.530999999999999</v>
      </c>
      <c r="S153" s="196">
        <v>15290</v>
      </c>
      <c r="T153" s="148">
        <v>1010</v>
      </c>
    </row>
    <row r="154" spans="1:20" x14ac:dyDescent="0.25">
      <c r="A154" s="194" t="str">
        <f t="shared" si="22"/>
        <v>RECF  350*250*8</v>
      </c>
      <c r="B154" s="195">
        <f t="shared" si="23"/>
        <v>71.62534459665406</v>
      </c>
      <c r="C154" s="148">
        <v>350</v>
      </c>
      <c r="D154" s="148">
        <v>250</v>
      </c>
      <c r="E154" s="148">
        <v>8</v>
      </c>
      <c r="F154" s="148">
        <f t="shared" si="24"/>
        <v>12</v>
      </c>
      <c r="G154" s="148">
        <f t="shared" si="25"/>
        <v>20</v>
      </c>
      <c r="H154" s="195">
        <f t="shared" si="26"/>
        <v>91.242477193189885</v>
      </c>
      <c r="I154" s="148">
        <v>15980</v>
      </c>
      <c r="J154" s="195">
        <f t="shared" si="27"/>
        <v>913.14285714285711</v>
      </c>
      <c r="K154" s="148">
        <v>1091</v>
      </c>
      <c r="L154" s="195">
        <f t="shared" si="28"/>
        <v>13.233961097357042</v>
      </c>
      <c r="M154" s="196">
        <f t="shared" si="29"/>
        <v>49.6</v>
      </c>
      <c r="N154" s="148">
        <v>9558</v>
      </c>
      <c r="O154" s="195">
        <f t="shared" si="30"/>
        <v>764.64</v>
      </c>
      <c r="P154" s="148">
        <v>869</v>
      </c>
      <c r="Q154" s="195">
        <f t="shared" si="31"/>
        <v>10.234932416296983</v>
      </c>
      <c r="R154" s="148">
        <f t="shared" si="32"/>
        <v>33.6</v>
      </c>
      <c r="S154" s="196">
        <v>19140</v>
      </c>
      <c r="T154" s="148">
        <v>1253</v>
      </c>
    </row>
    <row r="155" spans="1:20" x14ac:dyDescent="0.25">
      <c r="A155" s="194" t="str">
        <f t="shared" si="22"/>
        <v>RECF  350*250*10</v>
      </c>
      <c r="B155" s="195">
        <f t="shared" si="23"/>
        <v>88.364600932271955</v>
      </c>
      <c r="C155" s="148">
        <v>350</v>
      </c>
      <c r="D155" s="148">
        <v>250</v>
      </c>
      <c r="E155" s="148">
        <v>10</v>
      </c>
      <c r="F155" s="148">
        <f t="shared" si="24"/>
        <v>15</v>
      </c>
      <c r="G155" s="148">
        <f t="shared" si="25"/>
        <v>25</v>
      </c>
      <c r="H155" s="195">
        <f t="shared" si="26"/>
        <v>112.56637061435917</v>
      </c>
      <c r="I155" s="148">
        <v>19367</v>
      </c>
      <c r="J155" s="195">
        <f t="shared" si="27"/>
        <v>1106.6857142857143</v>
      </c>
      <c r="K155" s="148">
        <v>1334</v>
      </c>
      <c r="L155" s="195">
        <f t="shared" si="28"/>
        <v>13.116768220455775</v>
      </c>
      <c r="M155" s="196">
        <f t="shared" si="29"/>
        <v>60</v>
      </c>
      <c r="N155" s="148">
        <v>11559</v>
      </c>
      <c r="O155" s="195">
        <f t="shared" si="30"/>
        <v>924.72</v>
      </c>
      <c r="P155" s="148">
        <v>1061</v>
      </c>
      <c r="Q155" s="195">
        <f t="shared" si="31"/>
        <v>10.133414324849172</v>
      </c>
      <c r="R155" s="148">
        <f t="shared" si="32"/>
        <v>40</v>
      </c>
      <c r="S155" s="196">
        <v>23500</v>
      </c>
      <c r="T155" s="148">
        <v>1522</v>
      </c>
    </row>
    <row r="156" spans="1:20" x14ac:dyDescent="0.25">
      <c r="A156" s="194" t="str">
        <f t="shared" si="22"/>
        <v>RECF  350*250*12</v>
      </c>
      <c r="B156" s="195">
        <f t="shared" si="23"/>
        <v>103.66668167808952</v>
      </c>
      <c r="C156" s="148">
        <v>350</v>
      </c>
      <c r="D156" s="148">
        <v>250</v>
      </c>
      <c r="E156" s="148">
        <v>12</v>
      </c>
      <c r="F156" s="148">
        <f t="shared" si="24"/>
        <v>24</v>
      </c>
      <c r="G156" s="148">
        <f t="shared" si="25"/>
        <v>36</v>
      </c>
      <c r="H156" s="195">
        <f t="shared" si="26"/>
        <v>132.05946710584652</v>
      </c>
      <c r="I156" s="148">
        <v>22096</v>
      </c>
      <c r="J156" s="195">
        <f t="shared" si="27"/>
        <v>1262.6285714285714</v>
      </c>
      <c r="K156" s="148">
        <v>1541</v>
      </c>
      <c r="L156" s="195">
        <f t="shared" si="28"/>
        <v>12.935167605426901</v>
      </c>
      <c r="M156" s="196">
        <f t="shared" si="29"/>
        <v>66.72</v>
      </c>
      <c r="N156" s="148">
        <v>13190</v>
      </c>
      <c r="O156" s="195">
        <f t="shared" si="30"/>
        <v>1055.2</v>
      </c>
      <c r="P156" s="148">
        <v>1226</v>
      </c>
      <c r="Q156" s="195">
        <f t="shared" si="31"/>
        <v>9.993960475565947</v>
      </c>
      <c r="R156" s="148">
        <f t="shared" si="32"/>
        <v>42.72</v>
      </c>
      <c r="S156" s="196">
        <v>27750</v>
      </c>
      <c r="T156" s="148">
        <v>1770</v>
      </c>
    </row>
    <row r="157" spans="1:20" x14ac:dyDescent="0.25">
      <c r="A157" s="194" t="str">
        <f t="shared" si="22"/>
        <v>RECF  350*250*12.5</v>
      </c>
      <c r="B157" s="195">
        <f t="shared" si="23"/>
        <v>107.57929869584365</v>
      </c>
      <c r="C157" s="148">
        <v>350</v>
      </c>
      <c r="D157" s="148">
        <v>250</v>
      </c>
      <c r="E157" s="148">
        <v>12.5</v>
      </c>
      <c r="F157" s="148">
        <f t="shared" si="24"/>
        <v>25</v>
      </c>
      <c r="G157" s="148">
        <f t="shared" si="25"/>
        <v>37.5</v>
      </c>
      <c r="H157" s="195">
        <f t="shared" si="26"/>
        <v>137.04369260617025</v>
      </c>
      <c r="I157" s="148">
        <v>22809</v>
      </c>
      <c r="J157" s="195">
        <f t="shared" si="27"/>
        <v>1303.3714285714286</v>
      </c>
      <c r="K157" s="148">
        <v>1595</v>
      </c>
      <c r="L157" s="195">
        <f t="shared" si="28"/>
        <v>12.901006574965903</v>
      </c>
      <c r="M157" s="196">
        <f t="shared" si="29"/>
        <v>68.75</v>
      </c>
      <c r="N157" s="148">
        <v>13610</v>
      </c>
      <c r="O157" s="195">
        <f t="shared" si="30"/>
        <v>1088.8</v>
      </c>
      <c r="P157" s="148">
        <v>1269</v>
      </c>
      <c r="Q157" s="195">
        <f t="shared" si="31"/>
        <v>9.9655101672514395</v>
      </c>
      <c r="R157" s="148">
        <f t="shared" si="32"/>
        <v>43.75</v>
      </c>
      <c r="S157" s="196">
        <v>28760</v>
      </c>
      <c r="T157" s="148">
        <v>1830</v>
      </c>
    </row>
    <row r="158" spans="1:20" x14ac:dyDescent="0.25">
      <c r="A158" s="194" t="str">
        <f t="shared" si="22"/>
        <v>RECF  350*250*16</v>
      </c>
      <c r="B158" s="195">
        <f t="shared" si="23"/>
        <v>134.05632298327023</v>
      </c>
      <c r="C158" s="148">
        <v>350</v>
      </c>
      <c r="D158" s="148">
        <v>250</v>
      </c>
      <c r="E158" s="148">
        <v>16</v>
      </c>
      <c r="F158" s="148">
        <f t="shared" si="24"/>
        <v>32</v>
      </c>
      <c r="G158" s="148">
        <f t="shared" si="25"/>
        <v>48</v>
      </c>
      <c r="H158" s="195">
        <f t="shared" si="26"/>
        <v>170.77238596594935</v>
      </c>
      <c r="I158" s="148">
        <v>27345</v>
      </c>
      <c r="J158" s="195">
        <f t="shared" si="27"/>
        <v>1562.5714285714287</v>
      </c>
      <c r="K158" s="148">
        <v>1946</v>
      </c>
      <c r="L158" s="195">
        <f t="shared" si="28"/>
        <v>12.654067324015831</v>
      </c>
      <c r="M158" s="196">
        <f t="shared" si="29"/>
        <v>81.28</v>
      </c>
      <c r="N158" s="148">
        <v>16270</v>
      </c>
      <c r="O158" s="195">
        <f t="shared" si="30"/>
        <v>1301.5999999999999</v>
      </c>
      <c r="P158" s="148">
        <v>1547</v>
      </c>
      <c r="Q158" s="195">
        <f t="shared" si="31"/>
        <v>9.760789644010579</v>
      </c>
      <c r="R158" s="148">
        <f t="shared" si="32"/>
        <v>49.28</v>
      </c>
      <c r="S158" s="196">
        <v>35500</v>
      </c>
      <c r="T158" s="148">
        <v>2220</v>
      </c>
    </row>
    <row r="159" spans="1:20" x14ac:dyDescent="0.25">
      <c r="A159" s="197" t="str">
        <f t="shared" si="22"/>
        <v>RECF  400*200*8</v>
      </c>
      <c r="B159" s="198">
        <f t="shared" si="23"/>
        <v>71.62534459665406</v>
      </c>
      <c r="C159" s="199">
        <v>400</v>
      </c>
      <c r="D159" s="199">
        <v>200</v>
      </c>
      <c r="E159" s="199">
        <v>8</v>
      </c>
      <c r="F159" s="199">
        <f t="shared" si="24"/>
        <v>12</v>
      </c>
      <c r="G159" s="199">
        <f t="shared" si="25"/>
        <v>20</v>
      </c>
      <c r="H159" s="198">
        <f t="shared" si="26"/>
        <v>91.242477193189885</v>
      </c>
      <c r="I159" s="199">
        <v>18950</v>
      </c>
      <c r="J159" s="198">
        <f t="shared" si="27"/>
        <v>947.5</v>
      </c>
      <c r="K159" s="199">
        <v>1173</v>
      </c>
      <c r="L159" s="198">
        <f t="shared" si="28"/>
        <v>14.411396707523155</v>
      </c>
      <c r="M159" s="200">
        <f t="shared" si="29"/>
        <v>57.6</v>
      </c>
      <c r="N159" s="199">
        <v>6505</v>
      </c>
      <c r="O159" s="198">
        <f t="shared" si="30"/>
        <v>650.5</v>
      </c>
      <c r="P159" s="199">
        <v>727</v>
      </c>
      <c r="Q159" s="198">
        <f t="shared" si="31"/>
        <v>8.4435507220336525</v>
      </c>
      <c r="R159" s="199">
        <f t="shared" si="32"/>
        <v>25.6</v>
      </c>
      <c r="S159" s="200">
        <v>15820</v>
      </c>
      <c r="T159" s="201">
        <v>1133</v>
      </c>
    </row>
    <row r="160" spans="1:20" x14ac:dyDescent="0.25">
      <c r="A160" s="202" t="str">
        <f t="shared" si="22"/>
        <v>RECF  400*200*10</v>
      </c>
      <c r="B160" s="203">
        <f t="shared" si="23"/>
        <v>88.364600932271955</v>
      </c>
      <c r="C160" s="204">
        <v>400</v>
      </c>
      <c r="D160" s="204">
        <v>200</v>
      </c>
      <c r="E160" s="204">
        <v>10</v>
      </c>
      <c r="F160" s="204">
        <f t="shared" si="24"/>
        <v>15</v>
      </c>
      <c r="G160" s="204">
        <f t="shared" si="25"/>
        <v>25</v>
      </c>
      <c r="H160" s="203">
        <f t="shared" si="26"/>
        <v>112.56637061435917</v>
      </c>
      <c r="I160" s="204">
        <v>22956</v>
      </c>
      <c r="J160" s="203">
        <f t="shared" si="27"/>
        <v>1147.8</v>
      </c>
      <c r="K160" s="204">
        <v>1433</v>
      </c>
      <c r="L160" s="203">
        <f t="shared" si="28"/>
        <v>14.280511923634892</v>
      </c>
      <c r="M160" s="205">
        <f t="shared" si="29"/>
        <v>70</v>
      </c>
      <c r="N160" s="204">
        <v>7841</v>
      </c>
      <c r="O160" s="203">
        <f t="shared" si="30"/>
        <v>784.1</v>
      </c>
      <c r="P160" s="204">
        <v>887</v>
      </c>
      <c r="Q160" s="203">
        <f t="shared" si="31"/>
        <v>8.3460579347520483</v>
      </c>
      <c r="R160" s="204">
        <f t="shared" si="32"/>
        <v>30</v>
      </c>
      <c r="S160" s="205"/>
      <c r="T160" s="206"/>
    </row>
    <row r="161" spans="1:20" x14ac:dyDescent="0.25">
      <c r="A161" s="202" t="str">
        <f t="shared" si="22"/>
        <v>RECF  400*200*12</v>
      </c>
      <c r="B161" s="203">
        <f t="shared" si="23"/>
        <v>103.66668167808952</v>
      </c>
      <c r="C161" s="204">
        <v>400</v>
      </c>
      <c r="D161" s="204">
        <v>200</v>
      </c>
      <c r="E161" s="204">
        <v>12</v>
      </c>
      <c r="F161" s="204">
        <f t="shared" si="24"/>
        <v>24</v>
      </c>
      <c r="G161" s="204">
        <f t="shared" si="25"/>
        <v>36</v>
      </c>
      <c r="H161" s="203">
        <f t="shared" si="26"/>
        <v>132.05946710584652</v>
      </c>
      <c r="I161" s="204">
        <v>26133</v>
      </c>
      <c r="J161" s="203">
        <f t="shared" si="27"/>
        <v>1306.6500000000001</v>
      </c>
      <c r="K161" s="204">
        <v>1653</v>
      </c>
      <c r="L161" s="203">
        <f t="shared" si="28"/>
        <v>14.067271322835404</v>
      </c>
      <c r="M161" s="205">
        <f t="shared" si="29"/>
        <v>78.72</v>
      </c>
      <c r="N161" s="204">
        <v>8922</v>
      </c>
      <c r="O161" s="203">
        <f t="shared" si="30"/>
        <v>892.2</v>
      </c>
      <c r="P161" s="204">
        <v>1024</v>
      </c>
      <c r="Q161" s="203">
        <f t="shared" si="31"/>
        <v>8.2195177797749857</v>
      </c>
      <c r="R161" s="204">
        <f t="shared" si="32"/>
        <v>30.72</v>
      </c>
      <c r="S161" s="205"/>
      <c r="T161" s="206"/>
    </row>
    <row r="162" spans="1:20" x14ac:dyDescent="0.25">
      <c r="A162" s="202" t="str">
        <f t="shared" si="22"/>
        <v>RECF  400*200*12.5</v>
      </c>
      <c r="B162" s="203">
        <f t="shared" si="23"/>
        <v>107.57929869584365</v>
      </c>
      <c r="C162" s="204">
        <v>400</v>
      </c>
      <c r="D162" s="204">
        <v>200</v>
      </c>
      <c r="E162" s="204">
        <v>12.5</v>
      </c>
      <c r="F162" s="204">
        <f t="shared" si="24"/>
        <v>25</v>
      </c>
      <c r="G162" s="204">
        <f t="shared" si="25"/>
        <v>37.5</v>
      </c>
      <c r="H162" s="203">
        <f t="shared" si="26"/>
        <v>137.04369260617025</v>
      </c>
      <c r="I162" s="204">
        <v>26970</v>
      </c>
      <c r="J162" s="203">
        <f t="shared" si="27"/>
        <v>1348.5</v>
      </c>
      <c r="K162" s="204">
        <v>1711</v>
      </c>
      <c r="L162" s="203">
        <f t="shared" si="28"/>
        <v>14.028490655153602</v>
      </c>
      <c r="M162" s="205">
        <f t="shared" si="29"/>
        <v>81.25</v>
      </c>
      <c r="N162" s="204">
        <v>9198</v>
      </c>
      <c r="O162" s="203">
        <f t="shared" si="30"/>
        <v>919.8</v>
      </c>
      <c r="P162" s="204">
        <v>1059</v>
      </c>
      <c r="Q162" s="203">
        <f t="shared" si="31"/>
        <v>8.1925137052567578</v>
      </c>
      <c r="R162" s="204">
        <f t="shared" si="32"/>
        <v>31.25</v>
      </c>
      <c r="S162" s="205">
        <v>23590</v>
      </c>
      <c r="T162" s="206">
        <v>1644</v>
      </c>
    </row>
    <row r="163" spans="1:20" x14ac:dyDescent="0.25">
      <c r="A163" s="207" t="str">
        <f t="shared" si="22"/>
        <v>RECF  400*200*16</v>
      </c>
      <c r="B163" s="208">
        <f t="shared" si="23"/>
        <v>134.05632298327023</v>
      </c>
      <c r="C163" s="209">
        <v>400</v>
      </c>
      <c r="D163" s="209">
        <v>200</v>
      </c>
      <c r="E163" s="209">
        <v>16</v>
      </c>
      <c r="F163" s="209">
        <f t="shared" si="24"/>
        <v>32</v>
      </c>
      <c r="G163" s="209">
        <f t="shared" si="25"/>
        <v>48</v>
      </c>
      <c r="H163" s="208">
        <f t="shared" si="26"/>
        <v>170.77238596594935</v>
      </c>
      <c r="I163" s="209">
        <v>32277</v>
      </c>
      <c r="J163" s="208">
        <f t="shared" si="27"/>
        <v>1613.85</v>
      </c>
      <c r="K163" s="209">
        <v>2086</v>
      </c>
      <c r="L163" s="208">
        <f t="shared" si="28"/>
        <v>13.747944112263401</v>
      </c>
      <c r="M163" s="210">
        <f t="shared" si="29"/>
        <v>97.28</v>
      </c>
      <c r="N163" s="209">
        <v>10927</v>
      </c>
      <c r="O163" s="208">
        <f t="shared" si="30"/>
        <v>1092.7</v>
      </c>
      <c r="P163" s="209">
        <v>1287</v>
      </c>
      <c r="Q163" s="208">
        <f t="shared" si="31"/>
        <v>7.999109619951378</v>
      </c>
      <c r="R163" s="209">
        <f t="shared" si="32"/>
        <v>33.28</v>
      </c>
      <c r="S163" s="210">
        <v>28930</v>
      </c>
      <c r="T163" s="211">
        <v>1984</v>
      </c>
    </row>
    <row r="164" spans="1:20" x14ac:dyDescent="0.25">
      <c r="A164" s="194" t="str">
        <f t="shared" si="22"/>
        <v>RECF  400*300*8</v>
      </c>
      <c r="B164" s="195">
        <f t="shared" si="23"/>
        <v>84.185344596654062</v>
      </c>
      <c r="C164" s="148">
        <v>400</v>
      </c>
      <c r="D164" s="148">
        <v>300</v>
      </c>
      <c r="E164" s="148">
        <v>8</v>
      </c>
      <c r="F164" s="148">
        <f t="shared" si="24"/>
        <v>12</v>
      </c>
      <c r="G164" s="148">
        <f t="shared" si="25"/>
        <v>20</v>
      </c>
      <c r="H164" s="195">
        <f t="shared" si="26"/>
        <v>107.24247719318988</v>
      </c>
      <c r="I164" s="148">
        <v>25098</v>
      </c>
      <c r="J164" s="195">
        <f t="shared" si="27"/>
        <v>1254.9000000000001</v>
      </c>
      <c r="K164" s="148">
        <v>1486</v>
      </c>
      <c r="L164" s="195">
        <f t="shared" si="28"/>
        <v>15.298052214027431</v>
      </c>
      <c r="M164" s="196">
        <f t="shared" si="29"/>
        <v>57.6</v>
      </c>
      <c r="N164" s="148">
        <v>16194</v>
      </c>
      <c r="O164" s="195">
        <f t="shared" si="30"/>
        <v>1079.5999999999999</v>
      </c>
      <c r="P164" s="148">
        <v>1224</v>
      </c>
      <c r="Q164" s="195">
        <f t="shared" si="31"/>
        <v>12.288352159516069</v>
      </c>
      <c r="R164" s="148">
        <f t="shared" si="32"/>
        <v>41.6</v>
      </c>
      <c r="S164" s="196">
        <v>31180</v>
      </c>
      <c r="T164" s="148">
        <v>1747</v>
      </c>
    </row>
    <row r="165" spans="1:20" x14ac:dyDescent="0.25">
      <c r="A165" s="194" t="str">
        <f t="shared" si="22"/>
        <v>RECF  400*300*10</v>
      </c>
      <c r="B165" s="195">
        <f t="shared" si="23"/>
        <v>104.06460093227194</v>
      </c>
      <c r="C165" s="148">
        <v>400</v>
      </c>
      <c r="D165" s="148">
        <v>300</v>
      </c>
      <c r="E165" s="148">
        <v>10</v>
      </c>
      <c r="F165" s="148">
        <f t="shared" si="24"/>
        <v>15</v>
      </c>
      <c r="G165" s="148">
        <f t="shared" si="25"/>
        <v>25</v>
      </c>
      <c r="H165" s="195">
        <f t="shared" si="26"/>
        <v>132.56637061435916</v>
      </c>
      <c r="I165" s="148">
        <v>30562</v>
      </c>
      <c r="J165" s="195">
        <f t="shared" si="27"/>
        <v>1528.1</v>
      </c>
      <c r="K165" s="148">
        <v>1823</v>
      </c>
      <c r="L165" s="195">
        <f t="shared" si="28"/>
        <v>15.183580715727263</v>
      </c>
      <c r="M165" s="196">
        <f t="shared" si="29"/>
        <v>70</v>
      </c>
      <c r="N165" s="148">
        <v>19691</v>
      </c>
      <c r="O165" s="195">
        <f t="shared" si="30"/>
        <v>1312.7333333333333</v>
      </c>
      <c r="P165" s="148">
        <v>1500</v>
      </c>
      <c r="Q165" s="195">
        <f t="shared" si="31"/>
        <v>12.187572239107253</v>
      </c>
      <c r="R165" s="148">
        <f t="shared" si="32"/>
        <v>50</v>
      </c>
      <c r="S165" s="196">
        <v>38410</v>
      </c>
      <c r="T165" s="148">
        <v>2132</v>
      </c>
    </row>
    <row r="166" spans="1:20" x14ac:dyDescent="0.25">
      <c r="A166" s="194" t="str">
        <f t="shared" si="22"/>
        <v>RECF  400*300*12</v>
      </c>
      <c r="B166" s="195">
        <f t="shared" si="23"/>
        <v>122.50668167808952</v>
      </c>
      <c r="C166" s="148">
        <v>400</v>
      </c>
      <c r="D166" s="148">
        <v>300</v>
      </c>
      <c r="E166" s="148">
        <v>12</v>
      </c>
      <c r="F166" s="148">
        <f t="shared" si="24"/>
        <v>24</v>
      </c>
      <c r="G166" s="148">
        <f t="shared" si="25"/>
        <v>36</v>
      </c>
      <c r="H166" s="195">
        <f t="shared" si="26"/>
        <v>156.05946710584652</v>
      </c>
      <c r="I166" s="148">
        <v>35169</v>
      </c>
      <c r="J166" s="195">
        <f t="shared" si="27"/>
        <v>1758.45</v>
      </c>
      <c r="K166" s="148">
        <v>2119</v>
      </c>
      <c r="L166" s="195">
        <f t="shared" si="28"/>
        <v>15.011875364786736</v>
      </c>
      <c r="M166" s="196">
        <f t="shared" si="29"/>
        <v>78.72</v>
      </c>
      <c r="N166" s="148">
        <v>22661</v>
      </c>
      <c r="O166" s="195">
        <f t="shared" si="30"/>
        <v>1510.7333333333333</v>
      </c>
      <c r="P166" s="148">
        <v>1744</v>
      </c>
      <c r="Q166" s="195">
        <f t="shared" si="31"/>
        <v>12.050206119143519</v>
      </c>
      <c r="R166" s="148">
        <f t="shared" si="32"/>
        <v>54.72</v>
      </c>
      <c r="S166" s="196">
        <v>45530</v>
      </c>
      <c r="T166" s="148">
        <v>2492</v>
      </c>
    </row>
    <row r="167" spans="1:20" x14ac:dyDescent="0.25">
      <c r="A167" s="194" t="str">
        <f t="shared" si="22"/>
        <v>RECF  400*300*12.5</v>
      </c>
      <c r="B167" s="195">
        <f t="shared" si="23"/>
        <v>127.20429869584365</v>
      </c>
      <c r="C167" s="148">
        <v>400</v>
      </c>
      <c r="D167" s="148">
        <v>300</v>
      </c>
      <c r="E167" s="148">
        <v>12.5</v>
      </c>
      <c r="F167" s="148">
        <f t="shared" si="24"/>
        <v>25</v>
      </c>
      <c r="G167" s="148">
        <f t="shared" si="25"/>
        <v>37.5</v>
      </c>
      <c r="H167" s="195">
        <f t="shared" si="26"/>
        <v>162.04369260617025</v>
      </c>
      <c r="I167" s="148">
        <v>36358</v>
      </c>
      <c r="J167" s="195">
        <f t="shared" si="27"/>
        <v>1817.9</v>
      </c>
      <c r="K167" s="148">
        <v>2195</v>
      </c>
      <c r="L167" s="195">
        <f t="shared" si="28"/>
        <v>14.979038155991475</v>
      </c>
      <c r="M167" s="196">
        <f t="shared" si="29"/>
        <v>81.25</v>
      </c>
      <c r="N167" s="148">
        <v>23421</v>
      </c>
      <c r="O167" s="195">
        <f t="shared" si="30"/>
        <v>1561.4</v>
      </c>
      <c r="P167" s="148">
        <v>1807</v>
      </c>
      <c r="Q167" s="195">
        <f t="shared" si="31"/>
        <v>12.022274821499369</v>
      </c>
      <c r="R167" s="148">
        <f t="shared" si="32"/>
        <v>56.25</v>
      </c>
      <c r="S167" s="196">
        <v>47240</v>
      </c>
      <c r="T167" s="148">
        <v>2580</v>
      </c>
    </row>
    <row r="168" spans="1:20" ht="15.75" thickBot="1" x14ac:dyDescent="0.3">
      <c r="A168" s="194" t="str">
        <f t="shared" si="22"/>
        <v>RECF  400*300*16</v>
      </c>
      <c r="B168" s="195">
        <f t="shared" si="23"/>
        <v>159.17632298327024</v>
      </c>
      <c r="C168" s="148">
        <v>400</v>
      </c>
      <c r="D168" s="148">
        <v>300</v>
      </c>
      <c r="E168" s="148">
        <v>16</v>
      </c>
      <c r="F168" s="148">
        <f t="shared" si="24"/>
        <v>32</v>
      </c>
      <c r="G168" s="148">
        <f t="shared" si="25"/>
        <v>48</v>
      </c>
      <c r="H168" s="195">
        <f t="shared" si="26"/>
        <v>202.77238596594935</v>
      </c>
      <c r="I168" s="148">
        <v>44080</v>
      </c>
      <c r="J168" s="195">
        <f t="shared" si="27"/>
        <v>2204</v>
      </c>
      <c r="K168" s="148">
        <v>2701</v>
      </c>
      <c r="L168" s="195">
        <f t="shared" si="28"/>
        <v>14.744036156179449</v>
      </c>
      <c r="M168" s="196">
        <f t="shared" si="29"/>
        <v>97.28</v>
      </c>
      <c r="N168" s="148">
        <v>28336</v>
      </c>
      <c r="O168" s="195">
        <f t="shared" si="30"/>
        <v>1889.0666666666666</v>
      </c>
      <c r="P168" s="148">
        <v>2221</v>
      </c>
      <c r="Q168" s="195">
        <f t="shared" si="31"/>
        <v>11.821289853978517</v>
      </c>
      <c r="R168" s="148">
        <f t="shared" si="32"/>
        <v>65.28</v>
      </c>
      <c r="S168" s="196">
        <v>58730</v>
      </c>
      <c r="T168" s="148">
        <v>3159</v>
      </c>
    </row>
    <row r="169" spans="1:20" ht="16.5" thickBot="1" x14ac:dyDescent="0.3">
      <c r="A169" s="157"/>
      <c r="B169" s="212" t="s">
        <v>419</v>
      </c>
      <c r="C169" s="213"/>
      <c r="D169" s="213"/>
      <c r="E169" s="213"/>
      <c r="F169" s="213"/>
      <c r="G169" s="213"/>
      <c r="H169" s="213"/>
      <c r="I169" s="213"/>
      <c r="J169" s="213"/>
      <c r="K169" s="213"/>
      <c r="L169" s="213"/>
      <c r="M169" s="213"/>
      <c r="N169" s="213"/>
      <c r="O169" s="213"/>
      <c r="P169" s="213"/>
      <c r="Q169" s="213"/>
      <c r="R169" s="213"/>
      <c r="S169" s="213"/>
      <c r="T169" s="214"/>
    </row>
    <row r="170" spans="1:20" x14ac:dyDescent="0.25">
      <c r="A170" s="172" t="str">
        <f>$B$169&amp;"  "&amp;C170&amp;"*"&amp;D170&amp;"*"&amp;E170</f>
        <v>RECC  50*30*2.6</v>
      </c>
      <c r="B170" s="174">
        <f t="shared" si="23"/>
        <v>2.9166792672661885</v>
      </c>
      <c r="C170" s="173">
        <v>50</v>
      </c>
      <c r="D170" s="173">
        <v>30</v>
      </c>
      <c r="E170" s="173">
        <v>2.6</v>
      </c>
      <c r="F170" s="173">
        <f t="shared" si="24"/>
        <v>2.6</v>
      </c>
      <c r="G170" s="173">
        <f t="shared" si="25"/>
        <v>5.2</v>
      </c>
      <c r="H170" s="174">
        <f t="shared" si="26"/>
        <v>3.7155149901480105</v>
      </c>
      <c r="I170" s="173">
        <v>12.2</v>
      </c>
      <c r="J170" s="174">
        <f t="shared" si="27"/>
        <v>4.88</v>
      </c>
      <c r="K170" s="173">
        <v>6.12</v>
      </c>
      <c r="L170" s="175">
        <f t="shared" si="28"/>
        <v>1.8120509572371482</v>
      </c>
      <c r="M170" s="176">
        <f t="shared" si="29"/>
        <v>2.0592000000000001</v>
      </c>
      <c r="N170" s="173">
        <v>5.38</v>
      </c>
      <c r="O170" s="174">
        <f t="shared" si="30"/>
        <v>3.5866666666666664</v>
      </c>
      <c r="P170" s="173">
        <v>4.25</v>
      </c>
      <c r="Q170" s="174">
        <f t="shared" si="31"/>
        <v>1.2033213684828064</v>
      </c>
      <c r="R170" s="190">
        <f t="shared" si="32"/>
        <v>1.0192000000000001</v>
      </c>
      <c r="S170" s="176">
        <v>12.1</v>
      </c>
      <c r="T170" s="177">
        <v>5.9</v>
      </c>
    </row>
    <row r="171" spans="1:20" x14ac:dyDescent="0.25">
      <c r="A171" s="172" t="str">
        <f t="shared" ref="A171:A234" si="33">$B$169&amp;"  "&amp;C171&amp;"*"&amp;D171&amp;"*"&amp;E171</f>
        <v>RECC  50*30*3.2</v>
      </c>
      <c r="B171" s="174">
        <f t="shared" si="23"/>
        <v>3.4906573515984864</v>
      </c>
      <c r="C171" s="173">
        <v>50</v>
      </c>
      <c r="D171" s="173">
        <v>30</v>
      </c>
      <c r="E171" s="173">
        <v>3.2</v>
      </c>
      <c r="F171" s="173">
        <f t="shared" si="24"/>
        <v>3.2</v>
      </c>
      <c r="G171" s="173">
        <f t="shared" si="25"/>
        <v>6.4</v>
      </c>
      <c r="H171" s="174">
        <f t="shared" si="26"/>
        <v>4.4466972631827852</v>
      </c>
      <c r="I171" s="173">
        <v>14.2</v>
      </c>
      <c r="J171" s="174">
        <f t="shared" si="27"/>
        <v>5.68</v>
      </c>
      <c r="K171" s="173">
        <v>7.25</v>
      </c>
      <c r="L171" s="175">
        <f t="shared" si="28"/>
        <v>1.7870034486284787</v>
      </c>
      <c r="M171" s="176">
        <f t="shared" si="29"/>
        <v>2.3808000000000002</v>
      </c>
      <c r="N171" s="173">
        <v>6.2</v>
      </c>
      <c r="O171" s="174">
        <f t="shared" si="30"/>
        <v>4.1333333333333337</v>
      </c>
      <c r="P171" s="173">
        <v>5</v>
      </c>
      <c r="Q171" s="174">
        <f t="shared" si="31"/>
        <v>1.1808019540788846</v>
      </c>
      <c r="R171" s="190">
        <f t="shared" si="32"/>
        <v>1.1008</v>
      </c>
      <c r="S171" s="176">
        <v>14.2</v>
      </c>
      <c r="T171" s="177">
        <v>6.8</v>
      </c>
    </row>
    <row r="172" spans="1:20" x14ac:dyDescent="0.25">
      <c r="A172" s="172" t="str">
        <f t="shared" si="33"/>
        <v>RECC  50*30*4</v>
      </c>
      <c r="B172" s="174">
        <f t="shared" si="23"/>
        <v>4.1981521118726333</v>
      </c>
      <c r="C172" s="173">
        <v>50</v>
      </c>
      <c r="D172" s="173">
        <v>30</v>
      </c>
      <c r="E172" s="173">
        <v>4</v>
      </c>
      <c r="F172" s="173">
        <f t="shared" si="24"/>
        <v>4</v>
      </c>
      <c r="G172" s="173">
        <f t="shared" si="25"/>
        <v>8</v>
      </c>
      <c r="H172" s="174">
        <f t="shared" si="26"/>
        <v>5.3479644737231</v>
      </c>
      <c r="I172" s="173">
        <v>16.5</v>
      </c>
      <c r="J172" s="174">
        <f t="shared" si="27"/>
        <v>6.6</v>
      </c>
      <c r="K172" s="173">
        <v>8.59</v>
      </c>
      <c r="L172" s="175">
        <f t="shared" si="28"/>
        <v>1.7564982251896759</v>
      </c>
      <c r="M172" s="176">
        <f t="shared" si="29"/>
        <v>2.72</v>
      </c>
      <c r="N172" s="173">
        <v>7.08</v>
      </c>
      <c r="O172" s="174">
        <f t="shared" si="30"/>
        <v>4.72</v>
      </c>
      <c r="P172" s="173">
        <v>5.88</v>
      </c>
      <c r="Q172" s="174">
        <f t="shared" si="31"/>
        <v>1.1505947075414347</v>
      </c>
      <c r="R172" s="190">
        <f t="shared" si="32"/>
        <v>1.1200000000000001</v>
      </c>
      <c r="S172" s="176">
        <v>16.600000000000001</v>
      </c>
      <c r="T172" s="177">
        <v>7.77</v>
      </c>
    </row>
    <row r="173" spans="1:20" x14ac:dyDescent="0.25">
      <c r="A173" s="178" t="str">
        <f t="shared" si="33"/>
        <v>RECC  50*30*5</v>
      </c>
      <c r="B173" s="180">
        <f t="shared" si="23"/>
        <v>4.9896126748009912</v>
      </c>
      <c r="C173" s="179">
        <v>50</v>
      </c>
      <c r="D173" s="179">
        <v>30</v>
      </c>
      <c r="E173" s="179">
        <v>5</v>
      </c>
      <c r="F173" s="179">
        <f t="shared" si="24"/>
        <v>5</v>
      </c>
      <c r="G173" s="179">
        <f t="shared" si="25"/>
        <v>10</v>
      </c>
      <c r="H173" s="180">
        <f t="shared" si="26"/>
        <v>6.3561944901923448</v>
      </c>
      <c r="I173" s="179">
        <v>18.7</v>
      </c>
      <c r="J173" s="180">
        <f t="shared" si="27"/>
        <v>7.4799999999999995</v>
      </c>
      <c r="K173" s="179">
        <v>10</v>
      </c>
      <c r="L173" s="181">
        <f t="shared" si="28"/>
        <v>1.7152294094157978</v>
      </c>
      <c r="M173" s="182">
        <f t="shared" si="29"/>
        <v>3</v>
      </c>
      <c r="N173" s="179">
        <v>7.89</v>
      </c>
      <c r="O173" s="180">
        <f t="shared" si="30"/>
        <v>5.26</v>
      </c>
      <c r="P173" s="179">
        <v>6.8</v>
      </c>
      <c r="Q173" s="180">
        <f t="shared" si="31"/>
        <v>1.1141403751704166</v>
      </c>
      <c r="R173" s="191">
        <f t="shared" si="32"/>
        <v>1</v>
      </c>
      <c r="S173" s="182">
        <v>19</v>
      </c>
      <c r="T173" s="183">
        <v>8.67</v>
      </c>
    </row>
    <row r="174" spans="1:20" x14ac:dyDescent="0.25">
      <c r="A174" s="162" t="str">
        <f t="shared" si="33"/>
        <v>RECC  60*40*2.6</v>
      </c>
      <c r="B174" s="163">
        <f t="shared" si="23"/>
        <v>3.7330792672661883</v>
      </c>
      <c r="C174" s="64">
        <v>60</v>
      </c>
      <c r="D174" s="64">
        <v>40</v>
      </c>
      <c r="E174" s="64">
        <v>2.6</v>
      </c>
      <c r="F174" s="64">
        <f t="shared" si="24"/>
        <v>2.6</v>
      </c>
      <c r="G174" s="64">
        <f t="shared" si="25"/>
        <v>5.2</v>
      </c>
      <c r="H174" s="163">
        <f t="shared" si="26"/>
        <v>4.7555149901480105</v>
      </c>
      <c r="I174" s="64">
        <v>23.6</v>
      </c>
      <c r="J174" s="163">
        <f t="shared" si="27"/>
        <v>7.8666666666666671</v>
      </c>
      <c r="K174" s="64">
        <v>9.65</v>
      </c>
      <c r="L174" s="164">
        <f t="shared" si="28"/>
        <v>2.2277026629363577</v>
      </c>
      <c r="M174" s="165">
        <f t="shared" si="29"/>
        <v>2.5792000000000002</v>
      </c>
      <c r="N174" s="64">
        <v>12.4</v>
      </c>
      <c r="O174" s="163">
        <f t="shared" si="30"/>
        <v>6.2</v>
      </c>
      <c r="P174" s="64">
        <v>7.26</v>
      </c>
      <c r="Q174" s="163">
        <f t="shared" si="31"/>
        <v>1.614775178705639</v>
      </c>
      <c r="R174" s="188">
        <f t="shared" si="32"/>
        <v>1.5392000000000001</v>
      </c>
      <c r="S174" s="165">
        <v>25.9</v>
      </c>
      <c r="T174" s="64">
        <v>10</v>
      </c>
    </row>
    <row r="175" spans="1:20" x14ac:dyDescent="0.25">
      <c r="A175" s="162" t="str">
        <f t="shared" si="33"/>
        <v>RECC  60*40*3.2</v>
      </c>
      <c r="B175" s="163">
        <f t="shared" si="23"/>
        <v>4.4954573515984864</v>
      </c>
      <c r="C175" s="64">
        <v>60</v>
      </c>
      <c r="D175" s="64">
        <v>40</v>
      </c>
      <c r="E175" s="64">
        <v>3.2</v>
      </c>
      <c r="F175" s="64">
        <f t="shared" si="24"/>
        <v>3.2</v>
      </c>
      <c r="G175" s="64">
        <f t="shared" si="25"/>
        <v>6.4</v>
      </c>
      <c r="H175" s="163">
        <f t="shared" si="26"/>
        <v>5.7266972631827855</v>
      </c>
      <c r="I175" s="64">
        <v>27.8</v>
      </c>
      <c r="J175" s="163">
        <f t="shared" si="27"/>
        <v>9.2666666666666675</v>
      </c>
      <c r="K175" s="64">
        <v>11.5</v>
      </c>
      <c r="L175" s="164">
        <f t="shared" si="28"/>
        <v>2.2032830093535076</v>
      </c>
      <c r="M175" s="165">
        <f t="shared" si="29"/>
        <v>3.0208000000000004</v>
      </c>
      <c r="N175" s="64">
        <v>14.6</v>
      </c>
      <c r="O175" s="163">
        <f t="shared" si="30"/>
        <v>7.3</v>
      </c>
      <c r="P175" s="64">
        <v>8.64</v>
      </c>
      <c r="Q175" s="163">
        <f t="shared" si="31"/>
        <v>1.5967036399207477</v>
      </c>
      <c r="R175" s="188">
        <f t="shared" si="32"/>
        <v>1.7408000000000001</v>
      </c>
      <c r="S175" s="165">
        <v>30.8</v>
      </c>
      <c r="T175" s="64">
        <v>11.7</v>
      </c>
    </row>
    <row r="176" spans="1:20" x14ac:dyDescent="0.25">
      <c r="A176" s="162" t="str">
        <f t="shared" si="33"/>
        <v>RECC  60*40*4</v>
      </c>
      <c r="B176" s="163">
        <f t="shared" si="23"/>
        <v>5.4541521118726344</v>
      </c>
      <c r="C176" s="64">
        <v>60</v>
      </c>
      <c r="D176" s="64">
        <v>40</v>
      </c>
      <c r="E176" s="64">
        <v>4</v>
      </c>
      <c r="F176" s="64">
        <f t="shared" si="24"/>
        <v>4</v>
      </c>
      <c r="G176" s="64">
        <f t="shared" si="25"/>
        <v>8</v>
      </c>
      <c r="H176" s="163">
        <f t="shared" si="26"/>
        <v>6.9479644737231006</v>
      </c>
      <c r="I176" s="64">
        <v>32.799999999999997</v>
      </c>
      <c r="J176" s="163">
        <f t="shared" si="27"/>
        <v>10.933333333333332</v>
      </c>
      <c r="K176" s="64">
        <v>13.8</v>
      </c>
      <c r="L176" s="164">
        <f t="shared" si="28"/>
        <v>2.1727418386441939</v>
      </c>
      <c r="M176" s="165">
        <f t="shared" si="29"/>
        <v>3.52</v>
      </c>
      <c r="N176" s="64">
        <v>17</v>
      </c>
      <c r="O176" s="163">
        <f t="shared" si="30"/>
        <v>8.5</v>
      </c>
      <c r="P176" s="64">
        <v>10.3</v>
      </c>
      <c r="Q176" s="163">
        <f t="shared" si="31"/>
        <v>1.5642121902378998</v>
      </c>
      <c r="R176" s="188">
        <f t="shared" si="32"/>
        <v>1.92</v>
      </c>
      <c r="S176" s="165">
        <v>36.700000000000003</v>
      </c>
      <c r="T176" s="64">
        <v>13.7</v>
      </c>
    </row>
    <row r="177" spans="1:20" x14ac:dyDescent="0.25">
      <c r="A177" s="162" t="str">
        <f t="shared" si="33"/>
        <v>RECC  60*40*5</v>
      </c>
      <c r="B177" s="163">
        <f t="shared" si="23"/>
        <v>6.5596126748009915</v>
      </c>
      <c r="C177" s="64">
        <v>60</v>
      </c>
      <c r="D177" s="64">
        <v>40</v>
      </c>
      <c r="E177" s="64">
        <v>5</v>
      </c>
      <c r="F177" s="64">
        <f t="shared" si="24"/>
        <v>5</v>
      </c>
      <c r="G177" s="64">
        <f t="shared" si="25"/>
        <v>10</v>
      </c>
      <c r="H177" s="163">
        <f t="shared" si="26"/>
        <v>8.3561944901923457</v>
      </c>
      <c r="I177" s="64">
        <v>38.1</v>
      </c>
      <c r="J177" s="163">
        <f t="shared" si="27"/>
        <v>12.700000000000001</v>
      </c>
      <c r="K177" s="64">
        <v>16.399999999999999</v>
      </c>
      <c r="L177" s="164">
        <f t="shared" si="28"/>
        <v>2.135296646654977</v>
      </c>
      <c r="M177" s="165">
        <f t="shared" si="29"/>
        <v>4</v>
      </c>
      <c r="N177" s="64">
        <v>19.5</v>
      </c>
      <c r="O177" s="163">
        <f t="shared" si="30"/>
        <v>9.75</v>
      </c>
      <c r="P177" s="64">
        <v>12.2</v>
      </c>
      <c r="Q177" s="163">
        <f t="shared" si="31"/>
        <v>1.5276119106627621</v>
      </c>
      <c r="R177" s="188">
        <f t="shared" si="32"/>
        <v>2</v>
      </c>
      <c r="S177" s="165">
        <v>43</v>
      </c>
      <c r="T177" s="64">
        <v>15.7</v>
      </c>
    </row>
    <row r="178" spans="1:20" x14ac:dyDescent="0.25">
      <c r="A178" s="162" t="str">
        <f t="shared" si="33"/>
        <v>RECC  60*40*6.3</v>
      </c>
      <c r="B178" s="163">
        <f t="shared" si="23"/>
        <v>7.5749301100187383</v>
      </c>
      <c r="C178" s="64">
        <v>60</v>
      </c>
      <c r="D178" s="64">
        <v>40</v>
      </c>
      <c r="E178" s="64">
        <v>6.3</v>
      </c>
      <c r="F178" s="64">
        <f t="shared" si="24"/>
        <v>9.4499999999999993</v>
      </c>
      <c r="G178" s="64">
        <f t="shared" si="25"/>
        <v>15.75</v>
      </c>
      <c r="H178" s="163">
        <f t="shared" si="26"/>
        <v>9.6495924968391567</v>
      </c>
      <c r="I178" s="64">
        <v>43.4</v>
      </c>
      <c r="J178" s="163">
        <f t="shared" si="27"/>
        <v>14.466666666666667</v>
      </c>
      <c r="K178" s="64">
        <v>19.2</v>
      </c>
      <c r="L178" s="164">
        <f t="shared" si="28"/>
        <v>2.1207544064379706</v>
      </c>
      <c r="M178" s="165">
        <f t="shared" si="29"/>
        <v>3.5909999999999997</v>
      </c>
      <c r="N178" s="64">
        <v>21.9</v>
      </c>
      <c r="O178" s="163">
        <f t="shared" si="30"/>
        <v>10.95</v>
      </c>
      <c r="P178" s="64">
        <v>14.2</v>
      </c>
      <c r="Q178" s="163">
        <f t="shared" si="31"/>
        <v>1.5064945702023289</v>
      </c>
      <c r="R178" s="188">
        <f t="shared" si="32"/>
        <v>1.071</v>
      </c>
      <c r="S178" s="165">
        <v>49.5</v>
      </c>
      <c r="T178" s="64">
        <v>17.600000000000001</v>
      </c>
    </row>
    <row r="179" spans="1:20" x14ac:dyDescent="0.25">
      <c r="A179" s="166" t="str">
        <f t="shared" si="33"/>
        <v>RECC  80*40*3.2</v>
      </c>
      <c r="B179" s="168">
        <f t="shared" si="23"/>
        <v>5.5002573515984867</v>
      </c>
      <c r="C179" s="167">
        <v>80</v>
      </c>
      <c r="D179" s="167">
        <v>40</v>
      </c>
      <c r="E179" s="167">
        <v>3.2</v>
      </c>
      <c r="F179" s="167">
        <f t="shared" si="24"/>
        <v>3.2</v>
      </c>
      <c r="G179" s="167">
        <f t="shared" si="25"/>
        <v>6.4</v>
      </c>
      <c r="H179" s="168">
        <f t="shared" si="26"/>
        <v>7.0066972631827857</v>
      </c>
      <c r="I179" s="167">
        <v>57.2</v>
      </c>
      <c r="J179" s="168">
        <f t="shared" si="27"/>
        <v>14.3</v>
      </c>
      <c r="K179" s="167">
        <v>18</v>
      </c>
      <c r="L179" s="169">
        <f t="shared" si="28"/>
        <v>2.8572045804455457</v>
      </c>
      <c r="M179" s="170">
        <f t="shared" si="29"/>
        <v>4.3008000000000006</v>
      </c>
      <c r="N179" s="167">
        <v>18.899999999999999</v>
      </c>
      <c r="O179" s="168">
        <f t="shared" si="30"/>
        <v>9.4499999999999993</v>
      </c>
      <c r="P179" s="167">
        <v>11</v>
      </c>
      <c r="Q179" s="168">
        <f t="shared" si="31"/>
        <v>1.64238218422604</v>
      </c>
      <c r="R179" s="189">
        <f t="shared" si="32"/>
        <v>1.7408000000000001</v>
      </c>
      <c r="S179" s="170">
        <v>46.2</v>
      </c>
      <c r="T179" s="171">
        <v>16.100000000000001</v>
      </c>
    </row>
    <row r="180" spans="1:20" x14ac:dyDescent="0.25">
      <c r="A180" s="172" t="str">
        <f t="shared" si="33"/>
        <v>RECC  80*40*4</v>
      </c>
      <c r="B180" s="174">
        <f t="shared" si="23"/>
        <v>6.7101521118726337</v>
      </c>
      <c r="C180" s="173">
        <v>80</v>
      </c>
      <c r="D180" s="173">
        <v>40</v>
      </c>
      <c r="E180" s="173">
        <v>4</v>
      </c>
      <c r="F180" s="173">
        <f t="shared" si="24"/>
        <v>4</v>
      </c>
      <c r="G180" s="173">
        <f t="shared" si="25"/>
        <v>8</v>
      </c>
      <c r="H180" s="174">
        <f t="shared" si="26"/>
        <v>8.5479644737231002</v>
      </c>
      <c r="I180" s="173">
        <v>68.2</v>
      </c>
      <c r="J180" s="174">
        <f t="shared" si="27"/>
        <v>17.05</v>
      </c>
      <c r="K180" s="173">
        <v>21.8</v>
      </c>
      <c r="L180" s="175">
        <f t="shared" si="28"/>
        <v>2.8246252240558416</v>
      </c>
      <c r="M180" s="176">
        <f t="shared" si="29"/>
        <v>5.12</v>
      </c>
      <c r="N180" s="173">
        <v>22.2</v>
      </c>
      <c r="O180" s="174">
        <f t="shared" si="30"/>
        <v>11.1</v>
      </c>
      <c r="P180" s="173">
        <v>13.2</v>
      </c>
      <c r="Q180" s="174">
        <f t="shared" si="31"/>
        <v>1.6115550038312243</v>
      </c>
      <c r="R180" s="190">
        <f t="shared" si="32"/>
        <v>1.92</v>
      </c>
      <c r="S180" s="176">
        <v>55.2</v>
      </c>
      <c r="T180" s="177">
        <v>18.899999999999999</v>
      </c>
    </row>
    <row r="181" spans="1:20" x14ac:dyDescent="0.25">
      <c r="A181" s="172" t="str">
        <f t="shared" si="33"/>
        <v>RECC  80*40*5</v>
      </c>
      <c r="B181" s="174">
        <f t="shared" si="23"/>
        <v>8.1296126748009918</v>
      </c>
      <c r="C181" s="173">
        <v>80</v>
      </c>
      <c r="D181" s="173">
        <v>40</v>
      </c>
      <c r="E181" s="173">
        <v>5</v>
      </c>
      <c r="F181" s="173">
        <f t="shared" si="24"/>
        <v>5</v>
      </c>
      <c r="G181" s="173">
        <f t="shared" si="25"/>
        <v>10</v>
      </c>
      <c r="H181" s="174">
        <f t="shared" si="26"/>
        <v>10.356194490192346</v>
      </c>
      <c r="I181" s="173">
        <v>80.3</v>
      </c>
      <c r="J181" s="174">
        <f t="shared" si="27"/>
        <v>20.074999999999999</v>
      </c>
      <c r="K181" s="173">
        <v>26.1</v>
      </c>
      <c r="L181" s="175">
        <f t="shared" si="28"/>
        <v>2.7845670107857536</v>
      </c>
      <c r="M181" s="176">
        <f t="shared" si="29"/>
        <v>6</v>
      </c>
      <c r="N181" s="173">
        <v>25.7</v>
      </c>
      <c r="O181" s="174">
        <f t="shared" si="30"/>
        <v>12.85</v>
      </c>
      <c r="P181" s="173">
        <v>15.7</v>
      </c>
      <c r="Q181" s="174">
        <f t="shared" si="31"/>
        <v>1.5753115699065403</v>
      </c>
      <c r="R181" s="190">
        <f t="shared" si="32"/>
        <v>2</v>
      </c>
      <c r="S181" s="173">
        <v>65.099999999999994</v>
      </c>
      <c r="T181" s="177">
        <v>21.9</v>
      </c>
    </row>
    <row r="182" spans="1:20" x14ac:dyDescent="0.25">
      <c r="A182" s="172" t="str">
        <f t="shared" si="33"/>
        <v>RECC  80*40*6.3</v>
      </c>
      <c r="B182" s="174">
        <f t="shared" si="23"/>
        <v>9.5531301100187402</v>
      </c>
      <c r="C182" s="173">
        <v>80</v>
      </c>
      <c r="D182" s="173">
        <v>40</v>
      </c>
      <c r="E182" s="173">
        <v>6.3</v>
      </c>
      <c r="F182" s="173">
        <f t="shared" si="24"/>
        <v>9.4499999999999993</v>
      </c>
      <c r="G182" s="173">
        <f t="shared" si="25"/>
        <v>15.75</v>
      </c>
      <c r="H182" s="174">
        <f t="shared" si="26"/>
        <v>12.169592496839158</v>
      </c>
      <c r="I182" s="173">
        <v>93.3</v>
      </c>
      <c r="J182" s="174">
        <f t="shared" si="27"/>
        <v>23.324999999999999</v>
      </c>
      <c r="K182" s="173">
        <v>31.1</v>
      </c>
      <c r="L182" s="175">
        <f t="shared" si="28"/>
        <v>2.7688715176061169</v>
      </c>
      <c r="M182" s="176">
        <f t="shared" si="29"/>
        <v>6.1110000000000007</v>
      </c>
      <c r="N182" s="173">
        <v>29.2</v>
      </c>
      <c r="O182" s="174">
        <f t="shared" si="30"/>
        <v>14.6</v>
      </c>
      <c r="P182" s="173">
        <v>18.399999999999999</v>
      </c>
      <c r="Q182" s="174">
        <f t="shared" si="31"/>
        <v>1.549007097691224</v>
      </c>
      <c r="R182" s="190">
        <f t="shared" si="32"/>
        <v>1.071</v>
      </c>
      <c r="S182" s="173">
        <v>75.599999999999994</v>
      </c>
      <c r="T182" s="177">
        <v>24.8</v>
      </c>
    </row>
    <row r="183" spans="1:20" x14ac:dyDescent="0.25">
      <c r="A183" s="178" t="str">
        <f t="shared" si="33"/>
        <v>RECC  80*40*8</v>
      </c>
      <c r="B183" s="180">
        <f t="shared" si="23"/>
        <v>11.337344596654049</v>
      </c>
      <c r="C183" s="179">
        <v>80</v>
      </c>
      <c r="D183" s="179">
        <v>40</v>
      </c>
      <c r="E183" s="179">
        <v>8</v>
      </c>
      <c r="F183" s="179">
        <f t="shared" si="24"/>
        <v>12</v>
      </c>
      <c r="G183" s="179">
        <f t="shared" si="25"/>
        <v>20</v>
      </c>
      <c r="H183" s="180">
        <f t="shared" si="26"/>
        <v>14.442477193189871</v>
      </c>
      <c r="I183" s="179">
        <v>106</v>
      </c>
      <c r="J183" s="180">
        <f t="shared" si="27"/>
        <v>26.5</v>
      </c>
      <c r="K183" s="179">
        <v>36.5</v>
      </c>
      <c r="L183" s="181">
        <f t="shared" si="28"/>
        <v>2.7091439849816132</v>
      </c>
      <c r="M183" s="182">
        <f t="shared" si="29"/>
        <v>6.4</v>
      </c>
      <c r="N183" s="179">
        <v>32.1</v>
      </c>
      <c r="O183" s="180">
        <f t="shared" si="30"/>
        <v>16.05</v>
      </c>
      <c r="P183" s="179">
        <v>21.2</v>
      </c>
      <c r="Q183" s="180">
        <f t="shared" si="31"/>
        <v>1.490842177835856</v>
      </c>
      <c r="R183" s="191">
        <f t="shared" si="32"/>
        <v>0</v>
      </c>
      <c r="S183" s="179">
        <v>85.5</v>
      </c>
      <c r="T183" s="183">
        <v>27.4</v>
      </c>
    </row>
    <row r="184" spans="1:20" x14ac:dyDescent="0.25">
      <c r="A184" s="162" t="str">
        <f t="shared" si="33"/>
        <v>RECC  90*50*3.2</v>
      </c>
      <c r="B184" s="163">
        <f t="shared" si="23"/>
        <v>6.5050573515984871</v>
      </c>
      <c r="C184" s="64">
        <v>90</v>
      </c>
      <c r="D184" s="64">
        <v>50</v>
      </c>
      <c r="E184" s="64">
        <v>3.2</v>
      </c>
      <c r="F184" s="64">
        <f t="shared" si="24"/>
        <v>3.2</v>
      </c>
      <c r="G184" s="64">
        <f t="shared" si="25"/>
        <v>6.4</v>
      </c>
      <c r="H184" s="163">
        <f t="shared" si="26"/>
        <v>8.286697263182786</v>
      </c>
      <c r="I184" s="64">
        <v>89.1</v>
      </c>
      <c r="J184" s="163">
        <f t="shared" si="27"/>
        <v>19.799999999999997</v>
      </c>
      <c r="K184" s="64">
        <v>24.6</v>
      </c>
      <c r="L184" s="164">
        <f t="shared" si="28"/>
        <v>3.2790505774657759</v>
      </c>
      <c r="M184" s="165">
        <f t="shared" si="29"/>
        <v>4.9408000000000003</v>
      </c>
      <c r="N184" s="64">
        <v>35.299999999999997</v>
      </c>
      <c r="O184" s="163">
        <f t="shared" si="30"/>
        <v>14.12</v>
      </c>
      <c r="P184" s="64">
        <v>16.2</v>
      </c>
      <c r="Q184" s="163">
        <f t="shared" si="31"/>
        <v>2.0639378528991421</v>
      </c>
      <c r="R184" s="188">
        <f t="shared" si="32"/>
        <v>2.3808000000000002</v>
      </c>
      <c r="S184" s="64">
        <v>80.900000000000006</v>
      </c>
      <c r="T184" s="64">
        <v>23.6</v>
      </c>
    </row>
    <row r="185" spans="1:20" x14ac:dyDescent="0.25">
      <c r="A185" s="162" t="str">
        <f t="shared" si="33"/>
        <v>RECC  90*50*4</v>
      </c>
      <c r="B185" s="163">
        <f t="shared" si="23"/>
        <v>7.9661521118726339</v>
      </c>
      <c r="C185" s="64">
        <v>90</v>
      </c>
      <c r="D185" s="64">
        <v>50</v>
      </c>
      <c r="E185" s="64">
        <v>4</v>
      </c>
      <c r="F185" s="64">
        <f t="shared" si="24"/>
        <v>4</v>
      </c>
      <c r="G185" s="64">
        <f t="shared" si="25"/>
        <v>8</v>
      </c>
      <c r="H185" s="163">
        <f t="shared" si="26"/>
        <v>10.1479644737231</v>
      </c>
      <c r="I185" s="64">
        <v>107</v>
      </c>
      <c r="J185" s="163">
        <f t="shared" si="27"/>
        <v>23.777777777777779</v>
      </c>
      <c r="K185" s="64">
        <v>29.8</v>
      </c>
      <c r="L185" s="164">
        <f t="shared" si="28"/>
        <v>3.2471505137983967</v>
      </c>
      <c r="M185" s="165">
        <f t="shared" si="29"/>
        <v>5.92</v>
      </c>
      <c r="N185" s="64">
        <v>41.9</v>
      </c>
      <c r="O185" s="163">
        <f t="shared" si="30"/>
        <v>16.759999999999998</v>
      </c>
      <c r="P185" s="64">
        <v>19.600000000000001</v>
      </c>
      <c r="Q185" s="163">
        <f t="shared" si="31"/>
        <v>2.0319711728100995</v>
      </c>
      <c r="R185" s="188">
        <f t="shared" si="32"/>
        <v>2.72</v>
      </c>
      <c r="S185" s="64">
        <v>97.5</v>
      </c>
      <c r="T185" s="64">
        <v>28</v>
      </c>
    </row>
    <row r="186" spans="1:20" x14ac:dyDescent="0.25">
      <c r="A186" s="162" t="str">
        <f t="shared" si="33"/>
        <v>RECC  90*50*5</v>
      </c>
      <c r="B186" s="163">
        <f t="shared" si="23"/>
        <v>9.6996126748009921</v>
      </c>
      <c r="C186" s="64">
        <v>90</v>
      </c>
      <c r="D186" s="64">
        <v>50</v>
      </c>
      <c r="E186" s="64">
        <v>5</v>
      </c>
      <c r="F186" s="64">
        <f t="shared" si="24"/>
        <v>5</v>
      </c>
      <c r="G186" s="64">
        <f t="shared" si="25"/>
        <v>10</v>
      </c>
      <c r="H186" s="163">
        <f t="shared" si="26"/>
        <v>12.356194490192346</v>
      </c>
      <c r="I186" s="64">
        <v>127</v>
      </c>
      <c r="J186" s="163">
        <f t="shared" si="27"/>
        <v>28.222222222222221</v>
      </c>
      <c r="K186" s="64">
        <v>36</v>
      </c>
      <c r="L186" s="164">
        <f t="shared" si="28"/>
        <v>3.2059702846934166</v>
      </c>
      <c r="M186" s="165">
        <f t="shared" si="29"/>
        <v>7</v>
      </c>
      <c r="N186" s="64">
        <v>49.2</v>
      </c>
      <c r="O186" s="163">
        <f t="shared" si="30"/>
        <v>19.68</v>
      </c>
      <c r="P186" s="64">
        <v>23.5</v>
      </c>
      <c r="Q186" s="163">
        <f t="shared" si="31"/>
        <v>1.9954469373732691</v>
      </c>
      <c r="R186" s="188">
        <f t="shared" si="32"/>
        <v>3</v>
      </c>
      <c r="S186" s="64">
        <v>116</v>
      </c>
      <c r="T186" s="64">
        <v>32.9</v>
      </c>
    </row>
    <row r="187" spans="1:20" x14ac:dyDescent="0.25">
      <c r="A187" s="162" t="str">
        <f t="shared" si="33"/>
        <v>RECC  90*50*6.3</v>
      </c>
      <c r="B187" s="163">
        <f t="shared" si="23"/>
        <v>11.53133011001874</v>
      </c>
      <c r="C187" s="64">
        <v>90</v>
      </c>
      <c r="D187" s="64">
        <v>50</v>
      </c>
      <c r="E187" s="64">
        <v>6.3</v>
      </c>
      <c r="F187" s="64">
        <f t="shared" si="24"/>
        <v>9.4499999999999993</v>
      </c>
      <c r="G187" s="64">
        <f t="shared" si="25"/>
        <v>15.75</v>
      </c>
      <c r="H187" s="163">
        <f t="shared" si="26"/>
        <v>14.689592496839158</v>
      </c>
      <c r="I187" s="64">
        <v>150</v>
      </c>
      <c r="J187" s="163">
        <f t="shared" si="27"/>
        <v>33.333333333333336</v>
      </c>
      <c r="K187" s="64">
        <v>43.2</v>
      </c>
      <c r="L187" s="164">
        <f t="shared" si="28"/>
        <v>3.1955142268021599</v>
      </c>
      <c r="M187" s="165">
        <f t="shared" si="29"/>
        <v>7.3710000000000004</v>
      </c>
      <c r="N187" s="64">
        <v>57</v>
      </c>
      <c r="O187" s="163">
        <f t="shared" si="30"/>
        <v>22.8</v>
      </c>
      <c r="P187" s="64">
        <v>28</v>
      </c>
      <c r="Q187" s="163">
        <f t="shared" si="31"/>
        <v>1.9698472646385816</v>
      </c>
      <c r="R187" s="188">
        <f t="shared" si="32"/>
        <v>2.331</v>
      </c>
      <c r="S187" s="64">
        <v>138</v>
      </c>
      <c r="T187" s="64">
        <v>38.1</v>
      </c>
    </row>
    <row r="188" spans="1:20" x14ac:dyDescent="0.25">
      <c r="A188" s="162" t="str">
        <f t="shared" si="33"/>
        <v>RECC  90*50*8</v>
      </c>
      <c r="B188" s="163">
        <f t="shared" si="23"/>
        <v>13.849344596654051</v>
      </c>
      <c r="C188" s="64">
        <v>90</v>
      </c>
      <c r="D188" s="64">
        <v>50</v>
      </c>
      <c r="E188" s="64">
        <v>8</v>
      </c>
      <c r="F188" s="64">
        <f t="shared" si="24"/>
        <v>12</v>
      </c>
      <c r="G188" s="64">
        <f t="shared" si="25"/>
        <v>20</v>
      </c>
      <c r="H188" s="163">
        <f t="shared" si="26"/>
        <v>17.642477193189873</v>
      </c>
      <c r="I188" s="64">
        <v>174</v>
      </c>
      <c r="J188" s="163">
        <f t="shared" si="27"/>
        <v>38.666666666666664</v>
      </c>
      <c r="K188" s="64">
        <v>51.4</v>
      </c>
      <c r="L188" s="164">
        <f t="shared" si="28"/>
        <v>3.1404713936577546</v>
      </c>
      <c r="M188" s="165">
        <f t="shared" si="29"/>
        <v>8</v>
      </c>
      <c r="N188" s="64">
        <v>64.599999999999994</v>
      </c>
      <c r="O188" s="163">
        <f t="shared" si="30"/>
        <v>25.839999999999996</v>
      </c>
      <c r="P188" s="64">
        <v>32.9</v>
      </c>
      <c r="Q188" s="163">
        <f t="shared" si="31"/>
        <v>1.9135352927751548</v>
      </c>
      <c r="R188" s="188">
        <f t="shared" si="32"/>
        <v>1.6</v>
      </c>
      <c r="S188" s="64">
        <v>160</v>
      </c>
      <c r="T188" s="64">
        <v>43.2</v>
      </c>
    </row>
    <row r="189" spans="1:20" x14ac:dyDescent="0.25">
      <c r="A189" s="166" t="str">
        <f t="shared" si="33"/>
        <v>RECC  100*50*3.2</v>
      </c>
      <c r="B189" s="168">
        <f t="shared" si="23"/>
        <v>7.0074573515984877</v>
      </c>
      <c r="C189" s="167">
        <v>100</v>
      </c>
      <c r="D189" s="167">
        <v>50</v>
      </c>
      <c r="E189" s="167">
        <v>3.2</v>
      </c>
      <c r="F189" s="167">
        <f t="shared" si="24"/>
        <v>3.2</v>
      </c>
      <c r="G189" s="167">
        <f t="shared" si="25"/>
        <v>6.4</v>
      </c>
      <c r="H189" s="168">
        <f t="shared" si="26"/>
        <v>8.9266972631827866</v>
      </c>
      <c r="I189" s="167">
        <v>116</v>
      </c>
      <c r="J189" s="168">
        <f t="shared" si="27"/>
        <v>23.2</v>
      </c>
      <c r="K189" s="167">
        <v>28.9</v>
      </c>
      <c r="L189" s="169">
        <f t="shared" si="28"/>
        <v>3.6048200618215471</v>
      </c>
      <c r="M189" s="170">
        <f t="shared" si="29"/>
        <v>5.5808000000000009</v>
      </c>
      <c r="N189" s="167">
        <v>38.799999999999997</v>
      </c>
      <c r="O189" s="168">
        <f t="shared" si="30"/>
        <v>15.52</v>
      </c>
      <c r="P189" s="167">
        <v>17.7</v>
      </c>
      <c r="Q189" s="168">
        <f t="shared" si="31"/>
        <v>2.0848290964247478</v>
      </c>
      <c r="R189" s="189">
        <f t="shared" si="32"/>
        <v>2.3808000000000002</v>
      </c>
      <c r="S189" s="167">
        <v>93.4</v>
      </c>
      <c r="T189" s="171">
        <v>26.4</v>
      </c>
    </row>
    <row r="190" spans="1:20" x14ac:dyDescent="0.25">
      <c r="A190" s="172" t="str">
        <f t="shared" si="33"/>
        <v>RECC  100*50*4</v>
      </c>
      <c r="B190" s="174">
        <f t="shared" si="23"/>
        <v>8.5941521118726349</v>
      </c>
      <c r="C190" s="173">
        <v>100</v>
      </c>
      <c r="D190" s="173">
        <v>50</v>
      </c>
      <c r="E190" s="173">
        <v>4</v>
      </c>
      <c r="F190" s="173">
        <f t="shared" si="24"/>
        <v>4</v>
      </c>
      <c r="G190" s="173">
        <f t="shared" si="25"/>
        <v>8</v>
      </c>
      <c r="H190" s="174">
        <f t="shared" si="26"/>
        <v>10.947964473723101</v>
      </c>
      <c r="I190" s="173">
        <v>140</v>
      </c>
      <c r="J190" s="174">
        <f t="shared" si="27"/>
        <v>28</v>
      </c>
      <c r="K190" s="173">
        <v>35.200000000000003</v>
      </c>
      <c r="L190" s="175">
        <f t="shared" si="28"/>
        <v>3.5759985013257931</v>
      </c>
      <c r="M190" s="176">
        <f t="shared" si="29"/>
        <v>6.72</v>
      </c>
      <c r="N190" s="173">
        <v>46.2</v>
      </c>
      <c r="O190" s="174">
        <f t="shared" si="30"/>
        <v>18.48</v>
      </c>
      <c r="P190" s="173">
        <v>21.5</v>
      </c>
      <c r="Q190" s="174">
        <f t="shared" si="31"/>
        <v>2.0542547414792125</v>
      </c>
      <c r="R190" s="190">
        <f t="shared" si="32"/>
        <v>2.72</v>
      </c>
      <c r="S190" s="173">
        <v>113</v>
      </c>
      <c r="T190" s="177">
        <v>31.4</v>
      </c>
    </row>
    <row r="191" spans="1:20" x14ac:dyDescent="0.25">
      <c r="A191" s="172" t="str">
        <f t="shared" si="33"/>
        <v>RECC  100*50*5</v>
      </c>
      <c r="B191" s="174">
        <f t="shared" si="23"/>
        <v>10.484612674800992</v>
      </c>
      <c r="C191" s="173">
        <v>100</v>
      </c>
      <c r="D191" s="173">
        <v>50</v>
      </c>
      <c r="E191" s="173">
        <v>5</v>
      </c>
      <c r="F191" s="173">
        <f t="shared" si="24"/>
        <v>5</v>
      </c>
      <c r="G191" s="173">
        <f t="shared" si="25"/>
        <v>10</v>
      </c>
      <c r="H191" s="174">
        <f t="shared" si="26"/>
        <v>13.356194490192346</v>
      </c>
      <c r="I191" s="173">
        <v>167</v>
      </c>
      <c r="J191" s="174">
        <f t="shared" si="27"/>
        <v>33.4</v>
      </c>
      <c r="K191" s="173">
        <v>42.6</v>
      </c>
      <c r="L191" s="175">
        <f t="shared" si="28"/>
        <v>3.5360375505419936</v>
      </c>
      <c r="M191" s="176">
        <f t="shared" si="29"/>
        <v>8</v>
      </c>
      <c r="N191" s="173">
        <v>54.3</v>
      </c>
      <c r="O191" s="174">
        <f t="shared" si="30"/>
        <v>21.72</v>
      </c>
      <c r="P191" s="173">
        <v>25.8</v>
      </c>
      <c r="Q191" s="174">
        <f t="shared" si="31"/>
        <v>2.0163157732053043</v>
      </c>
      <c r="R191" s="190">
        <f t="shared" si="32"/>
        <v>3</v>
      </c>
      <c r="S191" s="173">
        <v>135</v>
      </c>
      <c r="T191" s="177">
        <v>36.9</v>
      </c>
    </row>
    <row r="192" spans="1:20" x14ac:dyDescent="0.25">
      <c r="A192" s="172" t="str">
        <f t="shared" si="33"/>
        <v>RECC  100*50*6.3</v>
      </c>
      <c r="B192" s="174">
        <f t="shared" si="23"/>
        <v>12.520430110018738</v>
      </c>
      <c r="C192" s="173">
        <v>100</v>
      </c>
      <c r="D192" s="173">
        <v>50</v>
      </c>
      <c r="E192" s="173">
        <v>6.3</v>
      </c>
      <c r="F192" s="173">
        <f t="shared" si="24"/>
        <v>9.4499999999999993</v>
      </c>
      <c r="G192" s="173">
        <f t="shared" si="25"/>
        <v>15.75</v>
      </c>
      <c r="H192" s="174">
        <f t="shared" si="26"/>
        <v>15.949592496839157</v>
      </c>
      <c r="I192" s="173">
        <v>197</v>
      </c>
      <c r="J192" s="174">
        <f t="shared" si="27"/>
        <v>39.4</v>
      </c>
      <c r="K192" s="173">
        <v>51.3</v>
      </c>
      <c r="L192" s="175">
        <f t="shared" si="28"/>
        <v>3.5144576739950977</v>
      </c>
      <c r="M192" s="176">
        <f t="shared" si="29"/>
        <v>8.6310000000000002</v>
      </c>
      <c r="N192" s="173">
        <v>63</v>
      </c>
      <c r="O192" s="174">
        <f t="shared" si="30"/>
        <v>25.2</v>
      </c>
      <c r="P192" s="173">
        <v>30.8</v>
      </c>
      <c r="Q192" s="174">
        <f t="shared" si="31"/>
        <v>1.9874466474530941</v>
      </c>
      <c r="R192" s="190">
        <f t="shared" si="32"/>
        <v>2.331</v>
      </c>
      <c r="S192" s="173">
        <v>160</v>
      </c>
      <c r="T192" s="177">
        <v>42.9</v>
      </c>
    </row>
    <row r="193" spans="1:20" x14ac:dyDescent="0.25">
      <c r="A193" s="178" t="str">
        <f t="shared" si="33"/>
        <v>RECC  100*50*8</v>
      </c>
      <c r="B193" s="180">
        <f t="shared" si="23"/>
        <v>15.105344596654049</v>
      </c>
      <c r="C193" s="179">
        <v>100</v>
      </c>
      <c r="D193" s="179">
        <v>50</v>
      </c>
      <c r="E193" s="179">
        <v>8</v>
      </c>
      <c r="F193" s="179">
        <f t="shared" si="24"/>
        <v>12</v>
      </c>
      <c r="G193" s="179">
        <f t="shared" si="25"/>
        <v>20</v>
      </c>
      <c r="H193" s="180">
        <f t="shared" si="26"/>
        <v>19.24247719318987</v>
      </c>
      <c r="I193" s="179">
        <v>230</v>
      </c>
      <c r="J193" s="180">
        <f t="shared" si="27"/>
        <v>46</v>
      </c>
      <c r="K193" s="179">
        <v>61.4</v>
      </c>
      <c r="L193" s="181">
        <f t="shared" si="28"/>
        <v>3.4572710357075618</v>
      </c>
      <c r="M193" s="182">
        <f t="shared" si="29"/>
        <v>9.6</v>
      </c>
      <c r="N193" s="179">
        <v>71.7</v>
      </c>
      <c r="O193" s="180">
        <f t="shared" si="30"/>
        <v>28.68</v>
      </c>
      <c r="P193" s="179">
        <v>36.299999999999997</v>
      </c>
      <c r="Q193" s="180">
        <f t="shared" si="31"/>
        <v>1.930319009598912</v>
      </c>
      <c r="R193" s="191">
        <f t="shared" si="32"/>
        <v>1.6</v>
      </c>
      <c r="S193" s="179">
        <v>186</v>
      </c>
      <c r="T193" s="183">
        <v>48.9</v>
      </c>
    </row>
    <row r="194" spans="1:20" x14ac:dyDescent="0.25">
      <c r="A194" s="162" t="str">
        <f t="shared" si="33"/>
        <v>RECC  100*60*3.2</v>
      </c>
      <c r="B194" s="163">
        <f t="shared" si="23"/>
        <v>7.5098573515984866</v>
      </c>
      <c r="C194" s="64">
        <v>100</v>
      </c>
      <c r="D194" s="64">
        <v>60</v>
      </c>
      <c r="E194" s="64">
        <v>3.2</v>
      </c>
      <c r="F194" s="64">
        <f t="shared" si="24"/>
        <v>3.2</v>
      </c>
      <c r="G194" s="64">
        <f t="shared" si="25"/>
        <v>6.4</v>
      </c>
      <c r="H194" s="163">
        <f t="shared" si="26"/>
        <v>9.5666972631827853</v>
      </c>
      <c r="I194" s="64">
        <v>131</v>
      </c>
      <c r="J194" s="163">
        <f t="shared" si="27"/>
        <v>26.2</v>
      </c>
      <c r="K194" s="64">
        <v>32</v>
      </c>
      <c r="L194" s="164">
        <f t="shared" si="28"/>
        <v>3.7004507828556581</v>
      </c>
      <c r="M194" s="165">
        <f t="shared" si="29"/>
        <v>5.5808000000000009</v>
      </c>
      <c r="N194" s="64">
        <v>58.8</v>
      </c>
      <c r="O194" s="163">
        <f t="shared" si="30"/>
        <v>19.599999999999998</v>
      </c>
      <c r="P194" s="64">
        <v>22.4</v>
      </c>
      <c r="Q194" s="163">
        <f t="shared" si="31"/>
        <v>2.4791776471220159</v>
      </c>
      <c r="R194" s="188">
        <f t="shared" si="32"/>
        <v>3.0208000000000004</v>
      </c>
      <c r="S194" s="64">
        <v>129</v>
      </c>
      <c r="T194" s="64">
        <v>32.4</v>
      </c>
    </row>
    <row r="195" spans="1:20" x14ac:dyDescent="0.25">
      <c r="A195" s="162" t="str">
        <f t="shared" si="33"/>
        <v>RECC  100*60*4</v>
      </c>
      <c r="B195" s="163">
        <f t="shared" si="23"/>
        <v>9.2221521118726333</v>
      </c>
      <c r="C195" s="64">
        <v>100</v>
      </c>
      <c r="D195" s="64">
        <v>60</v>
      </c>
      <c r="E195" s="64">
        <v>4</v>
      </c>
      <c r="F195" s="64">
        <f t="shared" si="24"/>
        <v>4</v>
      </c>
      <c r="G195" s="64">
        <f t="shared" si="25"/>
        <v>8</v>
      </c>
      <c r="H195" s="163">
        <f t="shared" si="26"/>
        <v>11.747964473723099</v>
      </c>
      <c r="I195" s="64">
        <v>158</v>
      </c>
      <c r="J195" s="163">
        <f t="shared" si="27"/>
        <v>31.6</v>
      </c>
      <c r="K195" s="64">
        <v>39.1</v>
      </c>
      <c r="L195" s="164">
        <f t="shared" si="28"/>
        <v>3.6673066942004016</v>
      </c>
      <c r="M195" s="165">
        <f t="shared" si="29"/>
        <v>6.72</v>
      </c>
      <c r="N195" s="64">
        <v>70.5</v>
      </c>
      <c r="O195" s="163">
        <f t="shared" si="30"/>
        <v>23.5</v>
      </c>
      <c r="P195" s="64">
        <v>27.3</v>
      </c>
      <c r="Q195" s="163">
        <f t="shared" si="31"/>
        <v>2.4497019405979494</v>
      </c>
      <c r="R195" s="188">
        <f t="shared" si="32"/>
        <v>3.52</v>
      </c>
      <c r="S195" s="64">
        <v>156</v>
      </c>
      <c r="T195" s="64">
        <v>38.700000000000003</v>
      </c>
    </row>
    <row r="196" spans="1:20" x14ac:dyDescent="0.25">
      <c r="A196" s="162" t="str">
        <f t="shared" si="33"/>
        <v>RECC  100*60*5</v>
      </c>
      <c r="B196" s="163">
        <f t="shared" si="23"/>
        <v>11.269612674800992</v>
      </c>
      <c r="C196" s="64">
        <v>100</v>
      </c>
      <c r="D196" s="64">
        <v>60</v>
      </c>
      <c r="E196" s="64">
        <v>5</v>
      </c>
      <c r="F196" s="64">
        <f t="shared" si="24"/>
        <v>5</v>
      </c>
      <c r="G196" s="64">
        <f t="shared" si="25"/>
        <v>10</v>
      </c>
      <c r="H196" s="163">
        <f t="shared" si="26"/>
        <v>14.356194490192346</v>
      </c>
      <c r="I196" s="64">
        <v>189</v>
      </c>
      <c r="J196" s="163">
        <f t="shared" si="27"/>
        <v>37.799999999999997</v>
      </c>
      <c r="K196" s="64">
        <v>47.4</v>
      </c>
      <c r="L196" s="164">
        <f t="shared" si="28"/>
        <v>3.6283672260621884</v>
      </c>
      <c r="M196" s="165">
        <f t="shared" si="29"/>
        <v>8</v>
      </c>
      <c r="N196" s="64">
        <v>83.6</v>
      </c>
      <c r="O196" s="163">
        <f t="shared" si="30"/>
        <v>27.866666666666664</v>
      </c>
      <c r="P196" s="64">
        <v>32.9</v>
      </c>
      <c r="Q196" s="163">
        <f t="shared" si="31"/>
        <v>2.4131452982858179</v>
      </c>
      <c r="R196" s="188">
        <f t="shared" si="32"/>
        <v>4</v>
      </c>
      <c r="S196" s="64">
        <v>188</v>
      </c>
      <c r="T196" s="64">
        <v>45.9</v>
      </c>
    </row>
    <row r="197" spans="1:20" x14ac:dyDescent="0.25">
      <c r="A197" s="162" t="str">
        <f t="shared" si="33"/>
        <v>RECC  100*60*6.3</v>
      </c>
      <c r="B197" s="163">
        <f t="shared" ref="B197:B260" si="34">H197*0.785</f>
        <v>13.509530110018739</v>
      </c>
      <c r="C197" s="64">
        <v>100</v>
      </c>
      <c r="D197" s="64">
        <v>60</v>
      </c>
      <c r="E197" s="64">
        <v>6.3</v>
      </c>
      <c r="F197" s="64">
        <f t="shared" ref="F197:F260" si="35">IF(E197&lt;=6,1*E197,IF(E197&lt;=10,1.5*E197,2*E197))</f>
        <v>9.4499999999999993</v>
      </c>
      <c r="G197" s="64">
        <f t="shared" ref="G197:G260" si="36">IF(E197&lt;=6,2*E197,IF(E197&lt;=10,2.5*E197,3*E197))</f>
        <v>15.75</v>
      </c>
      <c r="H197" s="163">
        <f t="shared" ref="H197:H260" si="37">(2*(C197-2*G197)*E197+2*(D197-2*G197)*E197+PI()*(G197^2-F197^2))*0.01</f>
        <v>17.209592496839157</v>
      </c>
      <c r="I197" s="64">
        <v>225</v>
      </c>
      <c r="J197" s="163">
        <f t="shared" ref="J197:J260" si="38">I197/(0.5*C197*0.1)</f>
        <v>45</v>
      </c>
      <c r="K197" s="64">
        <v>57.3</v>
      </c>
      <c r="L197" s="164">
        <f t="shared" ref="L197:L260" si="39">SQRT(I197/H197)</f>
        <v>3.6158130313803274</v>
      </c>
      <c r="M197" s="165">
        <f t="shared" ref="M197:M260" si="40">2*(C197-2*G197)*E197*0.01</f>
        <v>8.6310000000000002</v>
      </c>
      <c r="N197" s="64">
        <v>98.1</v>
      </c>
      <c r="O197" s="163">
        <f t="shared" ref="O197:O260" si="41">N197/(0.5*D197*0.1)</f>
        <v>32.699999999999996</v>
      </c>
      <c r="P197" s="64">
        <v>39.5</v>
      </c>
      <c r="Q197" s="163">
        <f t="shared" ref="Q197:Q260" si="42">SQRT(N197/H197)</f>
        <v>2.3875320502067212</v>
      </c>
      <c r="R197" s="188">
        <f t="shared" ref="R197:R260" si="43">2*(D197-2*G197)*E197*0.01</f>
        <v>3.5909999999999997</v>
      </c>
      <c r="S197" s="64">
        <v>224</v>
      </c>
      <c r="T197" s="64">
        <v>53.8</v>
      </c>
    </row>
    <row r="198" spans="1:20" x14ac:dyDescent="0.25">
      <c r="A198" s="162" t="str">
        <f t="shared" si="33"/>
        <v>RECC  100*60*8</v>
      </c>
      <c r="B198" s="163">
        <f t="shared" si="34"/>
        <v>16.36134459665405</v>
      </c>
      <c r="C198" s="64">
        <v>100</v>
      </c>
      <c r="D198" s="64">
        <v>60</v>
      </c>
      <c r="E198" s="64">
        <v>8</v>
      </c>
      <c r="F198" s="64">
        <f t="shared" si="35"/>
        <v>12</v>
      </c>
      <c r="G198" s="64">
        <f t="shared" si="36"/>
        <v>20</v>
      </c>
      <c r="H198" s="163">
        <f t="shared" si="37"/>
        <v>20.842477193189872</v>
      </c>
      <c r="I198" s="64">
        <v>264</v>
      </c>
      <c r="J198" s="163">
        <f t="shared" si="38"/>
        <v>52.8</v>
      </c>
      <c r="K198" s="64">
        <v>68.7</v>
      </c>
      <c r="L198" s="164">
        <f t="shared" si="39"/>
        <v>3.5589943287977923</v>
      </c>
      <c r="M198" s="165">
        <f t="shared" si="40"/>
        <v>9.6</v>
      </c>
      <c r="N198" s="64">
        <v>113</v>
      </c>
      <c r="O198" s="163">
        <f t="shared" si="41"/>
        <v>37.666666666666664</v>
      </c>
      <c r="P198" s="64">
        <v>47.1</v>
      </c>
      <c r="Q198" s="163">
        <f t="shared" si="42"/>
        <v>2.3284373348251979</v>
      </c>
      <c r="R198" s="188">
        <f t="shared" si="43"/>
        <v>3.2</v>
      </c>
      <c r="S198" s="64">
        <v>265</v>
      </c>
      <c r="T198" s="64">
        <v>62.2</v>
      </c>
    </row>
    <row r="199" spans="1:20" x14ac:dyDescent="0.25">
      <c r="A199" s="166" t="str">
        <f t="shared" si="33"/>
        <v>RECC  120*60*4</v>
      </c>
      <c r="B199" s="168">
        <f t="shared" si="34"/>
        <v>10.478152111872635</v>
      </c>
      <c r="C199" s="167">
        <v>120</v>
      </c>
      <c r="D199" s="167">
        <v>60</v>
      </c>
      <c r="E199" s="167">
        <v>4</v>
      </c>
      <c r="F199" s="167">
        <f t="shared" si="35"/>
        <v>4</v>
      </c>
      <c r="G199" s="167">
        <f t="shared" si="36"/>
        <v>8</v>
      </c>
      <c r="H199" s="168">
        <f t="shared" si="37"/>
        <v>13.347964473723101</v>
      </c>
      <c r="I199" s="167">
        <v>249</v>
      </c>
      <c r="J199" s="168">
        <f t="shared" si="38"/>
        <v>41.5</v>
      </c>
      <c r="K199" s="167">
        <v>51.9</v>
      </c>
      <c r="L199" s="169">
        <f t="shared" si="39"/>
        <v>4.3190889921087745</v>
      </c>
      <c r="M199" s="170">
        <f t="shared" si="40"/>
        <v>8.32</v>
      </c>
      <c r="N199" s="167">
        <v>83.1</v>
      </c>
      <c r="O199" s="168">
        <f t="shared" si="41"/>
        <v>27.7</v>
      </c>
      <c r="P199" s="167">
        <v>31.7</v>
      </c>
      <c r="Q199" s="168">
        <f t="shared" si="42"/>
        <v>2.495128925110508</v>
      </c>
      <c r="R199" s="189">
        <f t="shared" si="43"/>
        <v>3.52</v>
      </c>
      <c r="S199" s="167">
        <v>2007</v>
      </c>
      <c r="T199" s="171">
        <v>47.1</v>
      </c>
    </row>
    <row r="200" spans="1:20" x14ac:dyDescent="0.25">
      <c r="A200" s="172" t="str">
        <f t="shared" si="33"/>
        <v>RECC  120*60*5</v>
      </c>
      <c r="B200" s="174">
        <f t="shared" si="34"/>
        <v>12.839612674800991</v>
      </c>
      <c r="C200" s="173">
        <v>120</v>
      </c>
      <c r="D200" s="173">
        <v>60</v>
      </c>
      <c r="E200" s="173">
        <v>5</v>
      </c>
      <c r="F200" s="173">
        <f t="shared" si="35"/>
        <v>5</v>
      </c>
      <c r="G200" s="173">
        <f t="shared" si="36"/>
        <v>10</v>
      </c>
      <c r="H200" s="174">
        <f t="shared" si="37"/>
        <v>16.356194490192344</v>
      </c>
      <c r="I200" s="173">
        <v>299</v>
      </c>
      <c r="J200" s="174">
        <f t="shared" si="38"/>
        <v>49.833333333333336</v>
      </c>
      <c r="K200" s="173">
        <v>63.1</v>
      </c>
      <c r="L200" s="175">
        <f t="shared" si="39"/>
        <v>4.275574331646629</v>
      </c>
      <c r="M200" s="176">
        <f t="shared" si="40"/>
        <v>10</v>
      </c>
      <c r="N200" s="173">
        <v>98.8</v>
      </c>
      <c r="O200" s="174">
        <f t="shared" si="41"/>
        <v>32.93333333333333</v>
      </c>
      <c r="P200" s="173">
        <v>38.4</v>
      </c>
      <c r="Q200" s="174">
        <f t="shared" si="42"/>
        <v>2.4577479314741879</v>
      </c>
      <c r="R200" s="190">
        <f t="shared" si="43"/>
        <v>4</v>
      </c>
      <c r="S200" s="173">
        <v>2418</v>
      </c>
      <c r="T200" s="177">
        <v>55.95</v>
      </c>
    </row>
    <row r="201" spans="1:20" x14ac:dyDescent="0.25">
      <c r="A201" s="172" t="str">
        <f t="shared" si="33"/>
        <v>RECC  120*60*6.3</v>
      </c>
      <c r="B201" s="174">
        <f t="shared" si="34"/>
        <v>15.487730110018738</v>
      </c>
      <c r="C201" s="173">
        <v>120</v>
      </c>
      <c r="D201" s="173">
        <v>60</v>
      </c>
      <c r="E201" s="173">
        <v>6.3</v>
      </c>
      <c r="F201" s="173">
        <f t="shared" si="35"/>
        <v>9.4499999999999993</v>
      </c>
      <c r="G201" s="173">
        <f t="shared" si="36"/>
        <v>15.75</v>
      </c>
      <c r="H201" s="174">
        <f t="shared" si="37"/>
        <v>19.729592496839157</v>
      </c>
      <c r="I201" s="173">
        <v>358</v>
      </c>
      <c r="J201" s="174">
        <f t="shared" si="38"/>
        <v>59.666666666666664</v>
      </c>
      <c r="K201" s="173">
        <v>76.7</v>
      </c>
      <c r="L201" s="175">
        <f t="shared" si="39"/>
        <v>4.2597337583281893</v>
      </c>
      <c r="M201" s="176">
        <f t="shared" si="40"/>
        <v>11.151</v>
      </c>
      <c r="N201" s="173">
        <v>116</v>
      </c>
      <c r="O201" s="174">
        <f t="shared" si="41"/>
        <v>38.666666666666664</v>
      </c>
      <c r="P201" s="173">
        <v>46.3</v>
      </c>
      <c r="Q201" s="174">
        <f t="shared" si="42"/>
        <v>2.4247665764829534</v>
      </c>
      <c r="R201" s="190">
        <f t="shared" si="43"/>
        <v>3.5909999999999997</v>
      </c>
      <c r="S201" s="173">
        <v>2900</v>
      </c>
      <c r="T201" s="177">
        <v>65.94</v>
      </c>
    </row>
    <row r="202" spans="1:20" x14ac:dyDescent="0.25">
      <c r="A202" s="172" t="str">
        <f t="shared" si="33"/>
        <v>RECC  120*60*8</v>
      </c>
      <c r="B202" s="174">
        <f t="shared" si="34"/>
        <v>18.87334459665405</v>
      </c>
      <c r="C202" s="173">
        <v>120</v>
      </c>
      <c r="D202" s="173">
        <v>60</v>
      </c>
      <c r="E202" s="173">
        <v>8</v>
      </c>
      <c r="F202" s="173">
        <f t="shared" si="35"/>
        <v>12</v>
      </c>
      <c r="G202" s="173">
        <f t="shared" si="36"/>
        <v>20</v>
      </c>
      <c r="H202" s="174">
        <f t="shared" si="37"/>
        <v>24.042477193189871</v>
      </c>
      <c r="I202" s="173">
        <v>425</v>
      </c>
      <c r="J202" s="174">
        <f t="shared" si="38"/>
        <v>70.833333333333329</v>
      </c>
      <c r="K202" s="173">
        <v>92.7</v>
      </c>
      <c r="L202" s="175">
        <f t="shared" si="39"/>
        <v>4.2044080472086538</v>
      </c>
      <c r="M202" s="176">
        <f t="shared" si="40"/>
        <v>12.8</v>
      </c>
      <c r="N202" s="173">
        <v>135</v>
      </c>
      <c r="O202" s="174">
        <f t="shared" si="41"/>
        <v>45</v>
      </c>
      <c r="P202" s="173">
        <v>55.4</v>
      </c>
      <c r="Q202" s="174">
        <f t="shared" si="42"/>
        <v>2.3696122039163434</v>
      </c>
      <c r="R202" s="190">
        <f t="shared" si="43"/>
        <v>3.2</v>
      </c>
      <c r="S202" s="173">
        <v>3443</v>
      </c>
      <c r="T202" s="177">
        <v>76.64</v>
      </c>
    </row>
    <row r="203" spans="1:20" x14ac:dyDescent="0.25">
      <c r="A203" s="178" t="str">
        <f t="shared" si="33"/>
        <v>RECC  120*60*10</v>
      </c>
      <c r="B203" s="180">
        <f t="shared" si="34"/>
        <v>22.424600932271954</v>
      </c>
      <c r="C203" s="179">
        <v>120</v>
      </c>
      <c r="D203" s="179">
        <v>60</v>
      </c>
      <c r="E203" s="179">
        <v>10</v>
      </c>
      <c r="F203" s="179">
        <f t="shared" si="35"/>
        <v>15</v>
      </c>
      <c r="G203" s="179">
        <f t="shared" si="36"/>
        <v>25</v>
      </c>
      <c r="H203" s="180">
        <f t="shared" si="37"/>
        <v>28.566370614359176</v>
      </c>
      <c r="I203" s="179">
        <v>488</v>
      </c>
      <c r="J203" s="180">
        <f t="shared" si="38"/>
        <v>81.333333333333329</v>
      </c>
      <c r="K203" s="179">
        <v>109</v>
      </c>
      <c r="L203" s="181">
        <f t="shared" si="39"/>
        <v>4.1331615238340857</v>
      </c>
      <c r="M203" s="182">
        <f t="shared" si="40"/>
        <v>14</v>
      </c>
      <c r="N203" s="179">
        <v>152</v>
      </c>
      <c r="O203" s="180">
        <f t="shared" si="41"/>
        <v>50.666666666666664</v>
      </c>
      <c r="P203" s="179">
        <v>64.400000000000006</v>
      </c>
      <c r="Q203" s="180">
        <f t="shared" si="42"/>
        <v>2.3067167052674229</v>
      </c>
      <c r="R203" s="191">
        <f t="shared" si="43"/>
        <v>2</v>
      </c>
      <c r="S203" s="179">
        <v>3957</v>
      </c>
      <c r="T203" s="183">
        <v>86.13</v>
      </c>
    </row>
    <row r="204" spans="1:20" x14ac:dyDescent="0.25">
      <c r="A204" s="162" t="str">
        <f t="shared" si="33"/>
        <v>RECC  120*80*4</v>
      </c>
      <c r="B204" s="163">
        <f t="shared" si="34"/>
        <v>11.734152111872634</v>
      </c>
      <c r="C204" s="64">
        <v>120</v>
      </c>
      <c r="D204" s="64">
        <v>80</v>
      </c>
      <c r="E204" s="64">
        <v>4</v>
      </c>
      <c r="F204" s="64">
        <f t="shared" si="35"/>
        <v>4</v>
      </c>
      <c r="G204" s="64">
        <f t="shared" si="36"/>
        <v>8</v>
      </c>
      <c r="H204" s="163">
        <f t="shared" si="37"/>
        <v>14.947964473723101</v>
      </c>
      <c r="I204" s="64">
        <v>303</v>
      </c>
      <c r="J204" s="163">
        <f t="shared" si="38"/>
        <v>50.5</v>
      </c>
      <c r="K204" s="64">
        <v>61.2</v>
      </c>
      <c r="L204" s="164">
        <f t="shared" si="39"/>
        <v>4.5022570390722283</v>
      </c>
      <c r="M204" s="165">
        <f t="shared" si="40"/>
        <v>8.32</v>
      </c>
      <c r="N204" s="64">
        <v>161</v>
      </c>
      <c r="O204" s="163">
        <f t="shared" si="41"/>
        <v>40.25</v>
      </c>
      <c r="P204" s="64">
        <v>46.1</v>
      </c>
      <c r="Q204" s="163">
        <f t="shared" si="42"/>
        <v>3.2818740469462897</v>
      </c>
      <c r="R204" s="188">
        <f t="shared" si="43"/>
        <v>5.12</v>
      </c>
      <c r="S204" s="64">
        <v>3304</v>
      </c>
      <c r="T204" s="64">
        <v>64.98</v>
      </c>
    </row>
    <row r="205" spans="1:20" x14ac:dyDescent="0.25">
      <c r="A205" s="162" t="str">
        <f t="shared" si="33"/>
        <v>RECC  120*80*5</v>
      </c>
      <c r="B205" s="163">
        <f t="shared" si="34"/>
        <v>14.409612674800991</v>
      </c>
      <c r="C205" s="64">
        <v>120</v>
      </c>
      <c r="D205" s="64">
        <v>80</v>
      </c>
      <c r="E205" s="64">
        <v>5</v>
      </c>
      <c r="F205" s="64">
        <f t="shared" si="35"/>
        <v>5</v>
      </c>
      <c r="G205" s="64">
        <f t="shared" si="36"/>
        <v>10</v>
      </c>
      <c r="H205" s="163">
        <f t="shared" si="37"/>
        <v>18.356194490192344</v>
      </c>
      <c r="I205" s="64">
        <v>365</v>
      </c>
      <c r="J205" s="163">
        <f t="shared" si="38"/>
        <v>60.833333333333336</v>
      </c>
      <c r="K205" s="64">
        <v>74.599999999999994</v>
      </c>
      <c r="L205" s="164">
        <f t="shared" si="39"/>
        <v>4.4591810621719485</v>
      </c>
      <c r="M205" s="165">
        <f t="shared" si="40"/>
        <v>10</v>
      </c>
      <c r="N205" s="64">
        <v>193</v>
      </c>
      <c r="O205" s="163">
        <f t="shared" si="41"/>
        <v>48.25</v>
      </c>
      <c r="P205" s="64">
        <v>56.1</v>
      </c>
      <c r="Q205" s="163">
        <f t="shared" si="42"/>
        <v>3.2425548352816032</v>
      </c>
      <c r="R205" s="188">
        <f t="shared" si="43"/>
        <v>6</v>
      </c>
      <c r="S205" s="64">
        <v>4013</v>
      </c>
      <c r="T205" s="64">
        <v>77.88</v>
      </c>
    </row>
    <row r="206" spans="1:20" x14ac:dyDescent="0.25">
      <c r="A206" s="162" t="str">
        <f t="shared" si="33"/>
        <v>RECC  120*80*6.3</v>
      </c>
      <c r="B206" s="163">
        <f t="shared" si="34"/>
        <v>17.465930110018739</v>
      </c>
      <c r="C206" s="64">
        <v>120</v>
      </c>
      <c r="D206" s="64">
        <v>80</v>
      </c>
      <c r="E206" s="64">
        <v>6.3</v>
      </c>
      <c r="F206" s="64">
        <f t="shared" si="35"/>
        <v>9.4499999999999993</v>
      </c>
      <c r="G206" s="64">
        <f t="shared" si="36"/>
        <v>15.75</v>
      </c>
      <c r="H206" s="163">
        <f t="shared" si="37"/>
        <v>22.249592496839156</v>
      </c>
      <c r="I206" s="64">
        <v>440</v>
      </c>
      <c r="J206" s="163">
        <f t="shared" si="38"/>
        <v>73.333333333333329</v>
      </c>
      <c r="K206" s="64">
        <v>91</v>
      </c>
      <c r="L206" s="164">
        <f t="shared" si="39"/>
        <v>4.4469813452286822</v>
      </c>
      <c r="M206" s="165">
        <f t="shared" si="40"/>
        <v>11.151</v>
      </c>
      <c r="N206" s="64">
        <v>230</v>
      </c>
      <c r="O206" s="163">
        <f t="shared" si="41"/>
        <v>57.5</v>
      </c>
      <c r="P206" s="64">
        <v>68.2</v>
      </c>
      <c r="Q206" s="163">
        <f t="shared" si="42"/>
        <v>3.2151622005976113</v>
      </c>
      <c r="R206" s="188">
        <f t="shared" si="43"/>
        <v>6.1110000000000007</v>
      </c>
      <c r="S206" s="64">
        <v>4866</v>
      </c>
      <c r="T206" s="64">
        <v>92.87</v>
      </c>
    </row>
    <row r="207" spans="1:20" x14ac:dyDescent="0.25">
      <c r="A207" s="162" t="str">
        <f t="shared" si="33"/>
        <v>RECC  120*80*8</v>
      </c>
      <c r="B207" s="163">
        <f t="shared" si="34"/>
        <v>21.385344596654051</v>
      </c>
      <c r="C207" s="64">
        <v>120</v>
      </c>
      <c r="D207" s="64">
        <v>80</v>
      </c>
      <c r="E207" s="64">
        <v>8</v>
      </c>
      <c r="F207" s="64">
        <f t="shared" si="35"/>
        <v>12</v>
      </c>
      <c r="G207" s="64">
        <f t="shared" si="36"/>
        <v>20</v>
      </c>
      <c r="H207" s="163">
        <f t="shared" si="37"/>
        <v>27.24247719318987</v>
      </c>
      <c r="I207" s="64">
        <v>525</v>
      </c>
      <c r="J207" s="163">
        <f t="shared" si="38"/>
        <v>87.5</v>
      </c>
      <c r="K207" s="64">
        <v>111</v>
      </c>
      <c r="L207" s="164">
        <f t="shared" si="39"/>
        <v>4.3899174506157754</v>
      </c>
      <c r="M207" s="165">
        <f t="shared" si="40"/>
        <v>12.8</v>
      </c>
      <c r="N207" s="64">
        <v>273</v>
      </c>
      <c r="O207" s="163">
        <f t="shared" si="41"/>
        <v>68.25</v>
      </c>
      <c r="P207" s="64">
        <v>82.6</v>
      </c>
      <c r="Q207" s="163">
        <f t="shared" si="42"/>
        <v>3.1656144926498668</v>
      </c>
      <c r="R207" s="188">
        <f t="shared" si="43"/>
        <v>6.4</v>
      </c>
      <c r="S207" s="64">
        <v>5866</v>
      </c>
      <c r="T207" s="64">
        <v>109.7</v>
      </c>
    </row>
    <row r="208" spans="1:20" x14ac:dyDescent="0.25">
      <c r="A208" s="162" t="str">
        <f t="shared" si="33"/>
        <v>RECC  120*80*10</v>
      </c>
      <c r="B208" s="163">
        <f t="shared" si="34"/>
        <v>25.564600932271951</v>
      </c>
      <c r="C208" s="64">
        <v>120</v>
      </c>
      <c r="D208" s="64">
        <v>80</v>
      </c>
      <c r="E208" s="64">
        <v>10</v>
      </c>
      <c r="F208" s="64">
        <f t="shared" si="35"/>
        <v>15</v>
      </c>
      <c r="G208" s="64">
        <f t="shared" si="36"/>
        <v>25</v>
      </c>
      <c r="H208" s="163">
        <f t="shared" si="37"/>
        <v>32.566370614359172</v>
      </c>
      <c r="I208" s="64">
        <v>609</v>
      </c>
      <c r="J208" s="163">
        <f t="shared" si="38"/>
        <v>101.5</v>
      </c>
      <c r="K208" s="64">
        <v>131</v>
      </c>
      <c r="L208" s="164">
        <f t="shared" si="39"/>
        <v>4.324381152472121</v>
      </c>
      <c r="M208" s="165">
        <f t="shared" si="40"/>
        <v>14</v>
      </c>
      <c r="N208" s="64">
        <v>313</v>
      </c>
      <c r="O208" s="163">
        <f t="shared" si="41"/>
        <v>78.25</v>
      </c>
      <c r="P208" s="64">
        <v>97.3</v>
      </c>
      <c r="Q208" s="163">
        <f t="shared" si="42"/>
        <v>3.1001841266709729</v>
      </c>
      <c r="R208" s="188">
        <f t="shared" si="43"/>
        <v>6</v>
      </c>
      <c r="S208" s="64">
        <v>6876</v>
      </c>
      <c r="T208" s="64">
        <v>125.7</v>
      </c>
    </row>
    <row r="209" spans="1:20" x14ac:dyDescent="0.25">
      <c r="A209" s="166" t="str">
        <f t="shared" si="33"/>
        <v>RECC  140*80*4</v>
      </c>
      <c r="B209" s="168">
        <f t="shared" si="34"/>
        <v>12.990152111872636</v>
      </c>
      <c r="C209" s="167">
        <v>140</v>
      </c>
      <c r="D209" s="167">
        <v>80</v>
      </c>
      <c r="E209" s="167">
        <v>4</v>
      </c>
      <c r="F209" s="167">
        <f t="shared" si="35"/>
        <v>4</v>
      </c>
      <c r="G209" s="167">
        <f t="shared" si="36"/>
        <v>8</v>
      </c>
      <c r="H209" s="168">
        <f t="shared" si="37"/>
        <v>16.547964473723102</v>
      </c>
      <c r="I209" s="167">
        <v>441</v>
      </c>
      <c r="J209" s="168">
        <f t="shared" si="38"/>
        <v>63</v>
      </c>
      <c r="K209" s="167">
        <v>77.099999999999994</v>
      </c>
      <c r="L209" s="169">
        <f t="shared" si="39"/>
        <v>5.1623447585715274</v>
      </c>
      <c r="M209" s="170">
        <f t="shared" si="40"/>
        <v>9.92</v>
      </c>
      <c r="N209" s="167">
        <v>184</v>
      </c>
      <c r="O209" s="168">
        <f t="shared" si="41"/>
        <v>46</v>
      </c>
      <c r="P209" s="167">
        <v>52.2</v>
      </c>
      <c r="Q209" s="168">
        <f t="shared" si="42"/>
        <v>3.3345452989799282</v>
      </c>
      <c r="R209" s="189">
        <f t="shared" si="43"/>
        <v>5.12</v>
      </c>
      <c r="S209" s="167">
        <v>4107</v>
      </c>
      <c r="T209" s="171">
        <v>76.53</v>
      </c>
    </row>
    <row r="210" spans="1:20" x14ac:dyDescent="0.25">
      <c r="A210" s="172" t="str">
        <f t="shared" si="33"/>
        <v>RECC  140*80*5</v>
      </c>
      <c r="B210" s="174">
        <f t="shared" si="34"/>
        <v>15.979612674800991</v>
      </c>
      <c r="C210" s="173">
        <v>140</v>
      </c>
      <c r="D210" s="173">
        <v>80</v>
      </c>
      <c r="E210" s="173">
        <v>5</v>
      </c>
      <c r="F210" s="173">
        <f t="shared" si="35"/>
        <v>5</v>
      </c>
      <c r="G210" s="173">
        <f t="shared" si="36"/>
        <v>10</v>
      </c>
      <c r="H210" s="174">
        <f t="shared" si="37"/>
        <v>20.356194490192344</v>
      </c>
      <c r="I210" s="173">
        <v>534</v>
      </c>
      <c r="J210" s="174">
        <f t="shared" si="38"/>
        <v>76.285714285714292</v>
      </c>
      <c r="K210" s="173">
        <v>94.3</v>
      </c>
      <c r="L210" s="175">
        <f t="shared" si="39"/>
        <v>5.1217966613636339</v>
      </c>
      <c r="M210" s="176">
        <f t="shared" si="40"/>
        <v>12</v>
      </c>
      <c r="N210" s="173">
        <v>221</v>
      </c>
      <c r="O210" s="174">
        <f t="shared" si="41"/>
        <v>55.25</v>
      </c>
      <c r="P210" s="173">
        <v>63.6</v>
      </c>
      <c r="Q210" s="174">
        <f t="shared" si="42"/>
        <v>3.2949425068494103</v>
      </c>
      <c r="R210" s="190">
        <f t="shared" si="43"/>
        <v>6</v>
      </c>
      <c r="S210" s="173">
        <v>4994</v>
      </c>
      <c r="T210" s="177">
        <v>91.94</v>
      </c>
    </row>
    <row r="211" spans="1:20" x14ac:dyDescent="0.25">
      <c r="A211" s="172" t="str">
        <f t="shared" si="33"/>
        <v>RECC  140*80*6.3</v>
      </c>
      <c r="B211" s="174">
        <f t="shared" si="34"/>
        <v>19.444130110018737</v>
      </c>
      <c r="C211" s="173">
        <v>140</v>
      </c>
      <c r="D211" s="173">
        <v>80</v>
      </c>
      <c r="E211" s="173">
        <v>6.3</v>
      </c>
      <c r="F211" s="173">
        <f t="shared" si="35"/>
        <v>9.4499999999999993</v>
      </c>
      <c r="G211" s="173">
        <f t="shared" si="36"/>
        <v>15.75</v>
      </c>
      <c r="H211" s="174">
        <f t="shared" si="37"/>
        <v>24.769592496839156</v>
      </c>
      <c r="I211" s="173">
        <v>646</v>
      </c>
      <c r="J211" s="174">
        <f t="shared" si="38"/>
        <v>92.285714285714292</v>
      </c>
      <c r="K211" s="173">
        <v>115</v>
      </c>
      <c r="L211" s="175">
        <f t="shared" si="39"/>
        <v>5.1068938178043668</v>
      </c>
      <c r="M211" s="176">
        <f t="shared" si="40"/>
        <v>13.670999999999999</v>
      </c>
      <c r="N211" s="173">
        <v>265</v>
      </c>
      <c r="O211" s="174">
        <f t="shared" si="41"/>
        <v>66.25</v>
      </c>
      <c r="P211" s="173">
        <v>77.5</v>
      </c>
      <c r="Q211" s="174">
        <f t="shared" si="42"/>
        <v>3.2708716762607914</v>
      </c>
      <c r="R211" s="190">
        <f t="shared" si="43"/>
        <v>6.1110000000000007</v>
      </c>
      <c r="S211" s="173">
        <v>6065</v>
      </c>
      <c r="T211" s="177">
        <v>110</v>
      </c>
    </row>
    <row r="212" spans="1:20" x14ac:dyDescent="0.25">
      <c r="A212" s="172" t="str">
        <f t="shared" si="33"/>
        <v>RECC  140*80*8</v>
      </c>
      <c r="B212" s="174">
        <f t="shared" si="34"/>
        <v>23.897344596654047</v>
      </c>
      <c r="C212" s="173">
        <v>140</v>
      </c>
      <c r="D212" s="173">
        <v>80</v>
      </c>
      <c r="E212" s="173">
        <v>8</v>
      </c>
      <c r="F212" s="173">
        <f t="shared" si="35"/>
        <v>12</v>
      </c>
      <c r="G212" s="173">
        <f t="shared" si="36"/>
        <v>20</v>
      </c>
      <c r="H212" s="174">
        <f t="shared" si="37"/>
        <v>30.44247719318987</v>
      </c>
      <c r="I212" s="173">
        <v>776</v>
      </c>
      <c r="J212" s="174">
        <f t="shared" si="38"/>
        <v>110.85714285714286</v>
      </c>
      <c r="K212" s="173">
        <v>141</v>
      </c>
      <c r="L212" s="175">
        <f t="shared" si="39"/>
        <v>5.0488313743134281</v>
      </c>
      <c r="M212" s="176">
        <f t="shared" si="40"/>
        <v>16</v>
      </c>
      <c r="N212" s="173">
        <v>314</v>
      </c>
      <c r="O212" s="174">
        <f t="shared" si="41"/>
        <v>78.5</v>
      </c>
      <c r="P212" s="173">
        <v>94.1</v>
      </c>
      <c r="Q212" s="174">
        <f t="shared" si="42"/>
        <v>3.2116249960272403</v>
      </c>
      <c r="R212" s="190">
        <f t="shared" si="43"/>
        <v>6.4</v>
      </c>
      <c r="S212" s="173">
        <v>7329</v>
      </c>
      <c r="T212" s="177">
        <v>130.4</v>
      </c>
    </row>
    <row r="213" spans="1:20" x14ac:dyDescent="0.25">
      <c r="A213" s="178" t="str">
        <f t="shared" si="33"/>
        <v>RECC  140*80*10</v>
      </c>
      <c r="B213" s="180">
        <f t="shared" si="34"/>
        <v>28.704600932271958</v>
      </c>
      <c r="C213" s="179">
        <v>140</v>
      </c>
      <c r="D213" s="179">
        <v>80</v>
      </c>
      <c r="E213" s="179">
        <v>10</v>
      </c>
      <c r="F213" s="179">
        <f t="shared" si="35"/>
        <v>15</v>
      </c>
      <c r="G213" s="179">
        <f t="shared" si="36"/>
        <v>25</v>
      </c>
      <c r="H213" s="180">
        <f t="shared" si="37"/>
        <v>36.56637061435918</v>
      </c>
      <c r="I213" s="179">
        <v>908</v>
      </c>
      <c r="J213" s="180">
        <f t="shared" si="38"/>
        <v>129.71428571428572</v>
      </c>
      <c r="K213" s="179">
        <v>168</v>
      </c>
      <c r="L213" s="181">
        <f t="shared" si="39"/>
        <v>4.9831274609324048</v>
      </c>
      <c r="M213" s="182">
        <f t="shared" si="40"/>
        <v>18</v>
      </c>
      <c r="N213" s="179">
        <v>362</v>
      </c>
      <c r="O213" s="180">
        <f t="shared" si="41"/>
        <v>90.5</v>
      </c>
      <c r="P213" s="179">
        <v>111</v>
      </c>
      <c r="Q213" s="180">
        <f t="shared" si="42"/>
        <v>3.1463958234856109</v>
      </c>
      <c r="R213" s="191">
        <f t="shared" si="43"/>
        <v>6</v>
      </c>
      <c r="S213" s="179">
        <v>8621</v>
      </c>
      <c r="T213" s="183">
        <v>150.30000000000001</v>
      </c>
    </row>
    <row r="214" spans="1:20" x14ac:dyDescent="0.25">
      <c r="A214" s="162" t="str">
        <f t="shared" si="33"/>
        <v>RECC  150*100*4</v>
      </c>
      <c r="B214" s="163">
        <f t="shared" si="34"/>
        <v>14.874152111872634</v>
      </c>
      <c r="C214" s="64">
        <v>150</v>
      </c>
      <c r="D214" s="64">
        <v>100</v>
      </c>
      <c r="E214" s="64">
        <v>4</v>
      </c>
      <c r="F214" s="64">
        <f t="shared" si="35"/>
        <v>4</v>
      </c>
      <c r="G214" s="64">
        <f t="shared" si="36"/>
        <v>8</v>
      </c>
      <c r="H214" s="163">
        <f t="shared" si="37"/>
        <v>18.947964473723101</v>
      </c>
      <c r="I214" s="64">
        <v>607</v>
      </c>
      <c r="J214" s="163">
        <f t="shared" si="38"/>
        <v>80.933333333333337</v>
      </c>
      <c r="K214" s="64">
        <v>97.4</v>
      </c>
      <c r="L214" s="164">
        <f t="shared" si="39"/>
        <v>5.6599561252792512</v>
      </c>
      <c r="M214" s="165">
        <f t="shared" si="40"/>
        <v>10.72</v>
      </c>
      <c r="N214" s="64">
        <v>324</v>
      </c>
      <c r="O214" s="163">
        <f t="shared" si="41"/>
        <v>64.8</v>
      </c>
      <c r="P214" s="64">
        <v>73.599999999999994</v>
      </c>
      <c r="Q214" s="163">
        <f t="shared" si="42"/>
        <v>4.1351495836773537</v>
      </c>
      <c r="R214" s="188">
        <f t="shared" si="43"/>
        <v>6.72</v>
      </c>
      <c r="S214" s="64">
        <v>6601</v>
      </c>
      <c r="T214" s="64">
        <v>105</v>
      </c>
    </row>
    <row r="215" spans="1:20" x14ac:dyDescent="0.25">
      <c r="A215" s="162" t="str">
        <f t="shared" si="33"/>
        <v>RECC  150*100*5</v>
      </c>
      <c r="B215" s="163">
        <f t="shared" si="34"/>
        <v>18.334612674800994</v>
      </c>
      <c r="C215" s="64">
        <v>150</v>
      </c>
      <c r="D215" s="64">
        <v>100</v>
      </c>
      <c r="E215" s="64">
        <v>5</v>
      </c>
      <c r="F215" s="64">
        <f t="shared" si="35"/>
        <v>5</v>
      </c>
      <c r="G215" s="64">
        <f t="shared" si="36"/>
        <v>10</v>
      </c>
      <c r="H215" s="163">
        <f t="shared" si="37"/>
        <v>23.356194490192348</v>
      </c>
      <c r="I215" s="64">
        <v>739</v>
      </c>
      <c r="J215" s="163">
        <f t="shared" si="38"/>
        <v>98.533333333333331</v>
      </c>
      <c r="K215" s="64">
        <v>119</v>
      </c>
      <c r="L215" s="164">
        <f t="shared" si="39"/>
        <v>5.6249825264594735</v>
      </c>
      <c r="M215" s="165">
        <f t="shared" si="40"/>
        <v>13</v>
      </c>
      <c r="N215" s="64">
        <v>392</v>
      </c>
      <c r="O215" s="163">
        <f t="shared" si="41"/>
        <v>78.400000000000006</v>
      </c>
      <c r="P215" s="64">
        <v>90.1</v>
      </c>
      <c r="Q215" s="163">
        <f t="shared" si="42"/>
        <v>4.0967738622264562</v>
      </c>
      <c r="R215" s="188">
        <f t="shared" si="43"/>
        <v>8</v>
      </c>
      <c r="S215" s="64">
        <v>8067</v>
      </c>
      <c r="T215" s="64">
        <v>126.9</v>
      </c>
    </row>
    <row r="216" spans="1:20" x14ac:dyDescent="0.25">
      <c r="A216" s="162" t="str">
        <f t="shared" si="33"/>
        <v>RECC  150*100*6.3</v>
      </c>
      <c r="B216" s="163">
        <f t="shared" si="34"/>
        <v>22.411430110018735</v>
      </c>
      <c r="C216" s="64">
        <v>150</v>
      </c>
      <c r="D216" s="64">
        <v>100</v>
      </c>
      <c r="E216" s="64">
        <v>6.3</v>
      </c>
      <c r="F216" s="64">
        <f t="shared" si="35"/>
        <v>9.4499999999999993</v>
      </c>
      <c r="G216" s="64">
        <f t="shared" si="36"/>
        <v>15.75</v>
      </c>
      <c r="H216" s="163">
        <f t="shared" si="37"/>
        <v>28.549592496839153</v>
      </c>
      <c r="I216" s="64">
        <v>898</v>
      </c>
      <c r="J216" s="163">
        <f t="shared" si="38"/>
        <v>119.73333333333333</v>
      </c>
      <c r="K216" s="64">
        <v>147</v>
      </c>
      <c r="L216" s="164">
        <f t="shared" si="39"/>
        <v>5.6083900672182763</v>
      </c>
      <c r="M216" s="165">
        <f t="shared" si="40"/>
        <v>14.930999999999999</v>
      </c>
      <c r="N216" s="64">
        <v>474</v>
      </c>
      <c r="O216" s="163">
        <f t="shared" si="41"/>
        <v>94.8</v>
      </c>
      <c r="P216" s="64">
        <v>110</v>
      </c>
      <c r="Q216" s="163">
        <f t="shared" si="42"/>
        <v>4.0746397158885941</v>
      </c>
      <c r="R216" s="188">
        <f t="shared" si="43"/>
        <v>8.6310000000000002</v>
      </c>
      <c r="S216" s="64">
        <v>9865</v>
      </c>
      <c r="T216" s="64">
        <v>153.1</v>
      </c>
    </row>
    <row r="217" spans="1:20" x14ac:dyDescent="0.25">
      <c r="A217" s="162" t="str">
        <f t="shared" si="33"/>
        <v>RECC  150*100*8</v>
      </c>
      <c r="B217" s="163">
        <f t="shared" si="34"/>
        <v>27.665344596654048</v>
      </c>
      <c r="C217" s="64">
        <v>150</v>
      </c>
      <c r="D217" s="64">
        <v>100</v>
      </c>
      <c r="E217" s="64">
        <v>8</v>
      </c>
      <c r="F217" s="64">
        <f t="shared" si="35"/>
        <v>12</v>
      </c>
      <c r="G217" s="64">
        <f t="shared" si="36"/>
        <v>20</v>
      </c>
      <c r="H217" s="163">
        <f t="shared" si="37"/>
        <v>35.24247719318987</v>
      </c>
      <c r="I217" s="64">
        <v>1087</v>
      </c>
      <c r="J217" s="163">
        <f t="shared" si="38"/>
        <v>144.93333333333334</v>
      </c>
      <c r="K217" s="64">
        <v>180</v>
      </c>
      <c r="L217" s="164">
        <f t="shared" si="39"/>
        <v>5.5536890286622231</v>
      </c>
      <c r="M217" s="165">
        <f t="shared" si="40"/>
        <v>17.600000000000001</v>
      </c>
      <c r="N217" s="64">
        <v>569</v>
      </c>
      <c r="O217" s="163">
        <f t="shared" si="41"/>
        <v>113.8</v>
      </c>
      <c r="P217" s="64">
        <v>135</v>
      </c>
      <c r="Q217" s="163">
        <f t="shared" si="42"/>
        <v>4.0181201557019239</v>
      </c>
      <c r="R217" s="188">
        <f t="shared" si="43"/>
        <v>9.6</v>
      </c>
      <c r="S217" s="64">
        <v>12030</v>
      </c>
      <c r="T217" s="64">
        <v>183.5</v>
      </c>
    </row>
    <row r="218" spans="1:20" x14ac:dyDescent="0.25">
      <c r="A218" s="162" t="str">
        <f t="shared" si="33"/>
        <v>RECC  150*100*10</v>
      </c>
      <c r="B218" s="163">
        <f t="shared" si="34"/>
        <v>33.414600932271959</v>
      </c>
      <c r="C218" s="64">
        <v>150</v>
      </c>
      <c r="D218" s="64">
        <v>100</v>
      </c>
      <c r="E218" s="64">
        <v>10</v>
      </c>
      <c r="F218" s="64">
        <f t="shared" si="35"/>
        <v>15</v>
      </c>
      <c r="G218" s="64">
        <f t="shared" si="36"/>
        <v>25</v>
      </c>
      <c r="H218" s="163">
        <f t="shared" si="37"/>
        <v>42.56637061435918</v>
      </c>
      <c r="I218" s="64">
        <v>1282</v>
      </c>
      <c r="J218" s="163">
        <f t="shared" si="38"/>
        <v>170.93333333333334</v>
      </c>
      <c r="K218" s="64">
        <v>216</v>
      </c>
      <c r="L218" s="164">
        <f t="shared" si="39"/>
        <v>5.4879570217580431</v>
      </c>
      <c r="M218" s="165">
        <f t="shared" si="40"/>
        <v>20</v>
      </c>
      <c r="N218" s="64">
        <v>665</v>
      </c>
      <c r="O218" s="163">
        <f t="shared" si="41"/>
        <v>133</v>
      </c>
      <c r="P218" s="64">
        <v>161</v>
      </c>
      <c r="Q218" s="163">
        <f t="shared" si="42"/>
        <v>3.9525512664975113</v>
      </c>
      <c r="R218" s="188">
        <f t="shared" si="43"/>
        <v>10</v>
      </c>
      <c r="S218" s="64">
        <v>14320</v>
      </c>
      <c r="T218" s="64">
        <v>214.2</v>
      </c>
    </row>
    <row r="219" spans="1:20" x14ac:dyDescent="0.25">
      <c r="A219" s="162" t="str">
        <f t="shared" si="33"/>
        <v>RECC  150*100*12.5</v>
      </c>
      <c r="B219" s="163">
        <f t="shared" si="34"/>
        <v>38.891798695843654</v>
      </c>
      <c r="C219" s="64">
        <v>150</v>
      </c>
      <c r="D219" s="64">
        <v>100</v>
      </c>
      <c r="E219" s="64">
        <v>12.5</v>
      </c>
      <c r="F219" s="64">
        <f t="shared" si="35"/>
        <v>25</v>
      </c>
      <c r="G219" s="64">
        <f t="shared" si="36"/>
        <v>37.5</v>
      </c>
      <c r="H219" s="163">
        <f t="shared" si="37"/>
        <v>49.543692606170261</v>
      </c>
      <c r="I219" s="64">
        <v>1488</v>
      </c>
      <c r="J219" s="163">
        <f t="shared" si="38"/>
        <v>198.4</v>
      </c>
      <c r="K219" s="64">
        <v>256</v>
      </c>
      <c r="L219" s="164">
        <f t="shared" si="39"/>
        <v>5.4803371792039393</v>
      </c>
      <c r="M219" s="165">
        <f t="shared" si="40"/>
        <v>18.75</v>
      </c>
      <c r="N219" s="64">
        <v>763</v>
      </c>
      <c r="O219" s="163">
        <f t="shared" si="41"/>
        <v>152.6</v>
      </c>
      <c r="P219" s="64">
        <v>190</v>
      </c>
      <c r="Q219" s="163">
        <f t="shared" si="42"/>
        <v>3.9243531537651983</v>
      </c>
      <c r="R219" s="188">
        <f t="shared" si="43"/>
        <v>6.25</v>
      </c>
      <c r="S219" s="64">
        <v>16790</v>
      </c>
      <c r="T219" s="64">
        <v>245.5</v>
      </c>
    </row>
    <row r="220" spans="1:20" x14ac:dyDescent="0.25">
      <c r="A220" s="166" t="str">
        <f t="shared" si="33"/>
        <v>RECC  160*80*4</v>
      </c>
      <c r="B220" s="168">
        <f t="shared" si="34"/>
        <v>14.246152111872634</v>
      </c>
      <c r="C220" s="167">
        <v>160</v>
      </c>
      <c r="D220" s="167">
        <v>80</v>
      </c>
      <c r="E220" s="167">
        <v>4</v>
      </c>
      <c r="F220" s="167">
        <f t="shared" si="35"/>
        <v>4</v>
      </c>
      <c r="G220" s="167">
        <f t="shared" si="36"/>
        <v>8</v>
      </c>
      <c r="H220" s="168">
        <f t="shared" si="37"/>
        <v>18.1479644737231</v>
      </c>
      <c r="I220" s="167">
        <v>612</v>
      </c>
      <c r="J220" s="168">
        <f t="shared" si="38"/>
        <v>76.5</v>
      </c>
      <c r="K220" s="167">
        <v>94.7</v>
      </c>
      <c r="L220" s="169">
        <f t="shared" si="39"/>
        <v>5.8071327074908901</v>
      </c>
      <c r="M220" s="170">
        <f t="shared" si="40"/>
        <v>11.52</v>
      </c>
      <c r="N220" s="167">
        <v>207</v>
      </c>
      <c r="O220" s="168">
        <f t="shared" si="41"/>
        <v>51.75</v>
      </c>
      <c r="P220" s="167">
        <v>58.3</v>
      </c>
      <c r="Q220" s="168">
        <f t="shared" si="42"/>
        <v>3.3773122286277943</v>
      </c>
      <c r="R220" s="189">
        <f t="shared" si="43"/>
        <v>5.12</v>
      </c>
      <c r="S220" s="167">
        <v>4930</v>
      </c>
      <c r="T220" s="171">
        <v>88.08</v>
      </c>
    </row>
    <row r="221" spans="1:20" x14ac:dyDescent="0.25">
      <c r="A221" s="172" t="str">
        <f t="shared" si="33"/>
        <v>RECC  160*80*5</v>
      </c>
      <c r="B221" s="174">
        <f t="shared" si="34"/>
        <v>17.549612674800994</v>
      </c>
      <c r="C221" s="173">
        <v>160</v>
      </c>
      <c r="D221" s="173">
        <v>80</v>
      </c>
      <c r="E221" s="173">
        <v>5</v>
      </c>
      <c r="F221" s="173">
        <f t="shared" si="35"/>
        <v>5</v>
      </c>
      <c r="G221" s="173">
        <f t="shared" si="36"/>
        <v>10</v>
      </c>
      <c r="H221" s="174">
        <f t="shared" si="37"/>
        <v>22.356194490192348</v>
      </c>
      <c r="I221" s="173">
        <v>744</v>
      </c>
      <c r="J221" s="174">
        <f t="shared" si="38"/>
        <v>93</v>
      </c>
      <c r="K221" s="173">
        <v>116</v>
      </c>
      <c r="L221" s="175">
        <f t="shared" si="39"/>
        <v>5.7688271726583631</v>
      </c>
      <c r="M221" s="176">
        <f t="shared" si="40"/>
        <v>14</v>
      </c>
      <c r="N221" s="173">
        <v>249</v>
      </c>
      <c r="O221" s="174">
        <f t="shared" si="41"/>
        <v>62.25</v>
      </c>
      <c r="P221" s="173">
        <v>71.099999999999994</v>
      </c>
      <c r="Q221" s="174">
        <f t="shared" si="42"/>
        <v>3.3373421532590646</v>
      </c>
      <c r="R221" s="190">
        <f t="shared" si="43"/>
        <v>6</v>
      </c>
      <c r="S221" s="173">
        <v>6000</v>
      </c>
      <c r="T221" s="177">
        <v>106</v>
      </c>
    </row>
    <row r="222" spans="1:20" x14ac:dyDescent="0.25">
      <c r="A222" s="172" t="str">
        <f t="shared" si="33"/>
        <v>RECC  160*80*6.3</v>
      </c>
      <c r="B222" s="174">
        <f t="shared" si="34"/>
        <v>21.422330110018738</v>
      </c>
      <c r="C222" s="173">
        <v>160</v>
      </c>
      <c r="D222" s="173">
        <v>80</v>
      </c>
      <c r="E222" s="173">
        <v>6.3</v>
      </c>
      <c r="F222" s="173">
        <f t="shared" si="35"/>
        <v>9.4499999999999993</v>
      </c>
      <c r="G222" s="173">
        <f t="shared" si="36"/>
        <v>15.75</v>
      </c>
      <c r="H222" s="174">
        <f t="shared" si="37"/>
        <v>27.289592496839155</v>
      </c>
      <c r="I222" s="173">
        <v>903</v>
      </c>
      <c r="J222" s="174">
        <f t="shared" si="38"/>
        <v>112.875</v>
      </c>
      <c r="K222" s="173">
        <v>142</v>
      </c>
      <c r="L222" s="175">
        <f t="shared" si="39"/>
        <v>5.7523506246978391</v>
      </c>
      <c r="M222" s="176">
        <f t="shared" si="40"/>
        <v>16.190999999999999</v>
      </c>
      <c r="N222" s="173">
        <v>299</v>
      </c>
      <c r="O222" s="174">
        <f t="shared" si="41"/>
        <v>74.75</v>
      </c>
      <c r="P222" s="173">
        <v>86.8</v>
      </c>
      <c r="Q222" s="174">
        <f t="shared" si="42"/>
        <v>3.3100691670278328</v>
      </c>
      <c r="R222" s="190">
        <f t="shared" si="43"/>
        <v>6.1110000000000007</v>
      </c>
      <c r="S222" s="173">
        <v>7296</v>
      </c>
      <c r="T222" s="177">
        <v>127.1</v>
      </c>
    </row>
    <row r="223" spans="1:20" x14ac:dyDescent="0.25">
      <c r="A223" s="172" t="str">
        <f t="shared" si="33"/>
        <v>RECC  160*80*8</v>
      </c>
      <c r="B223" s="174">
        <f t="shared" si="34"/>
        <v>26.409344596654048</v>
      </c>
      <c r="C223" s="173">
        <v>160</v>
      </c>
      <c r="D223" s="173">
        <v>80</v>
      </c>
      <c r="E223" s="173">
        <v>8</v>
      </c>
      <c r="F223" s="173">
        <f t="shared" si="35"/>
        <v>12</v>
      </c>
      <c r="G223" s="173">
        <f t="shared" si="36"/>
        <v>20</v>
      </c>
      <c r="H223" s="174">
        <f t="shared" si="37"/>
        <v>33.642477193189869</v>
      </c>
      <c r="I223" s="173">
        <v>1091</v>
      </c>
      <c r="J223" s="174">
        <f t="shared" si="38"/>
        <v>136.375</v>
      </c>
      <c r="K223" s="173">
        <v>175</v>
      </c>
      <c r="L223" s="175">
        <f t="shared" si="39"/>
        <v>5.6946677671444421</v>
      </c>
      <c r="M223" s="176">
        <f t="shared" si="40"/>
        <v>19.2</v>
      </c>
      <c r="N223" s="173">
        <v>356</v>
      </c>
      <c r="O223" s="174">
        <f t="shared" si="41"/>
        <v>89</v>
      </c>
      <c r="P223" s="173">
        <v>106</v>
      </c>
      <c r="Q223" s="174">
        <f t="shared" si="42"/>
        <v>3.2529771724012861</v>
      </c>
      <c r="R223" s="190">
        <f t="shared" si="43"/>
        <v>6.4</v>
      </c>
      <c r="S223" s="173">
        <v>8831</v>
      </c>
      <c r="T223" s="177">
        <v>151.19999999999999</v>
      </c>
    </row>
    <row r="224" spans="1:20" x14ac:dyDescent="0.25">
      <c r="A224" s="172" t="str">
        <f t="shared" si="33"/>
        <v>RECC  160*80*10</v>
      </c>
      <c r="B224" s="174">
        <f t="shared" si="34"/>
        <v>31.844600932271959</v>
      </c>
      <c r="C224" s="173">
        <v>160</v>
      </c>
      <c r="D224" s="173">
        <v>80</v>
      </c>
      <c r="E224" s="173">
        <v>10</v>
      </c>
      <c r="F224" s="173">
        <f t="shared" si="35"/>
        <v>15</v>
      </c>
      <c r="G224" s="173">
        <f t="shared" si="36"/>
        <v>25</v>
      </c>
      <c r="H224" s="174">
        <f t="shared" si="37"/>
        <v>40.56637061435918</v>
      </c>
      <c r="I224" s="173">
        <v>1284</v>
      </c>
      <c r="J224" s="174">
        <f t="shared" si="38"/>
        <v>160.5</v>
      </c>
      <c r="K224" s="173">
        <v>209</v>
      </c>
      <c r="L224" s="175">
        <f t="shared" si="39"/>
        <v>5.6259962045225338</v>
      </c>
      <c r="M224" s="176">
        <f t="shared" si="40"/>
        <v>22</v>
      </c>
      <c r="N224" s="173">
        <v>411</v>
      </c>
      <c r="O224" s="174">
        <f t="shared" si="41"/>
        <v>102.75</v>
      </c>
      <c r="P224" s="173">
        <v>125</v>
      </c>
      <c r="Q224" s="174">
        <f t="shared" si="42"/>
        <v>3.1830087604525503</v>
      </c>
      <c r="R224" s="190">
        <f t="shared" si="43"/>
        <v>6</v>
      </c>
      <c r="S224" s="173">
        <v>10410</v>
      </c>
      <c r="T224" s="177">
        <v>174.8</v>
      </c>
    </row>
    <row r="225" spans="1:20" x14ac:dyDescent="0.25">
      <c r="A225" s="178" t="str">
        <f t="shared" si="33"/>
        <v>RECC  160*80*12.5</v>
      </c>
      <c r="B225" s="180">
        <f t="shared" si="34"/>
        <v>36.929298695843656</v>
      </c>
      <c r="C225" s="179">
        <v>160</v>
      </c>
      <c r="D225" s="179">
        <v>80</v>
      </c>
      <c r="E225" s="179">
        <v>12.5</v>
      </c>
      <c r="F225" s="179">
        <f t="shared" si="35"/>
        <v>25</v>
      </c>
      <c r="G225" s="179">
        <f t="shared" si="36"/>
        <v>37.5</v>
      </c>
      <c r="H225" s="180">
        <f t="shared" si="37"/>
        <v>47.043692606170261</v>
      </c>
      <c r="I225" s="179">
        <v>1485</v>
      </c>
      <c r="J225" s="180">
        <f t="shared" si="38"/>
        <v>185.625</v>
      </c>
      <c r="K225" s="179">
        <v>247</v>
      </c>
      <c r="L225" s="181">
        <f t="shared" si="39"/>
        <v>5.6183983136969307</v>
      </c>
      <c r="M225" s="182">
        <f t="shared" si="40"/>
        <v>21.25</v>
      </c>
      <c r="N225" s="179">
        <v>465</v>
      </c>
      <c r="O225" s="180">
        <f t="shared" si="41"/>
        <v>116.25</v>
      </c>
      <c r="P225" s="179">
        <v>146</v>
      </c>
      <c r="Q225" s="180">
        <f t="shared" si="42"/>
        <v>3.1439510430556301</v>
      </c>
      <c r="R225" s="191">
        <f t="shared" si="43"/>
        <v>1.25</v>
      </c>
      <c r="S225" s="179">
        <v>12040</v>
      </c>
      <c r="T225" s="183">
        <v>197.9</v>
      </c>
    </row>
    <row r="226" spans="1:20" x14ac:dyDescent="0.25">
      <c r="A226" s="162" t="str">
        <f t="shared" si="33"/>
        <v>RECC  180*100*4</v>
      </c>
      <c r="B226" s="163">
        <f t="shared" si="34"/>
        <v>16.758152111872633</v>
      </c>
      <c r="C226" s="64">
        <v>180</v>
      </c>
      <c r="D226" s="64">
        <v>100</v>
      </c>
      <c r="E226" s="64">
        <v>4</v>
      </c>
      <c r="F226" s="64">
        <f t="shared" si="35"/>
        <v>4</v>
      </c>
      <c r="G226" s="64">
        <f t="shared" si="36"/>
        <v>8</v>
      </c>
      <c r="H226" s="163">
        <f t="shared" si="37"/>
        <v>21.347964473723099</v>
      </c>
      <c r="I226" s="64">
        <v>945</v>
      </c>
      <c r="J226" s="163">
        <f t="shared" si="38"/>
        <v>105</v>
      </c>
      <c r="K226" s="64">
        <v>128</v>
      </c>
      <c r="L226" s="164">
        <f t="shared" si="39"/>
        <v>6.6533086120647704</v>
      </c>
      <c r="M226" s="165">
        <f t="shared" si="40"/>
        <v>13.120000000000001</v>
      </c>
      <c r="N226" s="64">
        <v>379</v>
      </c>
      <c r="O226" s="163">
        <f t="shared" si="41"/>
        <v>75.8</v>
      </c>
      <c r="P226" s="64">
        <v>85.2</v>
      </c>
      <c r="Q226" s="163">
        <f t="shared" si="42"/>
        <v>4.2134841958267399</v>
      </c>
      <c r="R226" s="188">
        <f t="shared" si="43"/>
        <v>6.72</v>
      </c>
      <c r="S226" s="64">
        <v>8521</v>
      </c>
      <c r="T226" s="64">
        <v>127.1</v>
      </c>
    </row>
    <row r="227" spans="1:20" x14ac:dyDescent="0.25">
      <c r="A227" s="162" t="str">
        <f t="shared" si="33"/>
        <v>RECC  180*100*5</v>
      </c>
      <c r="B227" s="163">
        <f t="shared" si="34"/>
        <v>20.689612674800994</v>
      </c>
      <c r="C227" s="64">
        <v>180</v>
      </c>
      <c r="D227" s="64">
        <v>100</v>
      </c>
      <c r="E227" s="64">
        <v>5</v>
      </c>
      <c r="F227" s="64">
        <f t="shared" si="35"/>
        <v>5</v>
      </c>
      <c r="G227" s="64">
        <f t="shared" si="36"/>
        <v>10</v>
      </c>
      <c r="H227" s="163">
        <f t="shared" si="37"/>
        <v>26.356194490192348</v>
      </c>
      <c r="I227" s="64">
        <v>1152</v>
      </c>
      <c r="J227" s="163">
        <f t="shared" si="38"/>
        <v>128</v>
      </c>
      <c r="K227" s="64">
        <v>157</v>
      </c>
      <c r="L227" s="164">
        <f t="shared" si="39"/>
        <v>6.6112699067804845</v>
      </c>
      <c r="M227" s="165">
        <f t="shared" si="40"/>
        <v>16</v>
      </c>
      <c r="N227" s="64">
        <v>460</v>
      </c>
      <c r="O227" s="163">
        <f t="shared" si="41"/>
        <v>92</v>
      </c>
      <c r="P227" s="64">
        <v>104</v>
      </c>
      <c r="Q227" s="163">
        <f t="shared" si="42"/>
        <v>4.1777030191768931</v>
      </c>
      <c r="R227" s="188">
        <f t="shared" si="43"/>
        <v>8</v>
      </c>
      <c r="S227" s="64">
        <v>10420</v>
      </c>
      <c r="T227" s="64">
        <v>154</v>
      </c>
    </row>
    <row r="228" spans="1:20" x14ac:dyDescent="0.25">
      <c r="A228" s="162" t="str">
        <f t="shared" si="33"/>
        <v>RECC  180*100*6.3</v>
      </c>
      <c r="B228" s="163">
        <f t="shared" si="34"/>
        <v>25.378730110018736</v>
      </c>
      <c r="C228" s="64">
        <v>180</v>
      </c>
      <c r="D228" s="64">
        <v>100</v>
      </c>
      <c r="E228" s="64">
        <v>6.3</v>
      </c>
      <c r="F228" s="64">
        <f t="shared" si="35"/>
        <v>9.4499999999999993</v>
      </c>
      <c r="G228" s="64">
        <f t="shared" si="36"/>
        <v>15.75</v>
      </c>
      <c r="H228" s="163">
        <f t="shared" si="37"/>
        <v>32.329592496839155</v>
      </c>
      <c r="I228" s="64">
        <v>1407</v>
      </c>
      <c r="J228" s="163">
        <f t="shared" si="38"/>
        <v>156.33333333333334</v>
      </c>
      <c r="K228" s="64">
        <v>194</v>
      </c>
      <c r="L228" s="164">
        <f t="shared" si="39"/>
        <v>6.5970068261338026</v>
      </c>
      <c r="M228" s="165">
        <f t="shared" si="40"/>
        <v>18.710999999999999</v>
      </c>
      <c r="N228" s="64">
        <v>557</v>
      </c>
      <c r="O228" s="163">
        <f t="shared" si="41"/>
        <v>111.4</v>
      </c>
      <c r="P228" s="64">
        <v>128</v>
      </c>
      <c r="Q228" s="163">
        <f t="shared" si="42"/>
        <v>4.1507586567049666</v>
      </c>
      <c r="R228" s="188">
        <f t="shared" si="43"/>
        <v>8.6310000000000002</v>
      </c>
      <c r="S228" s="64">
        <v>12770</v>
      </c>
      <c r="T228" s="64">
        <v>186.2</v>
      </c>
    </row>
    <row r="229" spans="1:20" x14ac:dyDescent="0.25">
      <c r="A229" s="162" t="str">
        <f t="shared" si="33"/>
        <v>RECC  180*100*8</v>
      </c>
      <c r="B229" s="163">
        <f t="shared" si="34"/>
        <v>31.433344596654052</v>
      </c>
      <c r="C229" s="64">
        <v>180</v>
      </c>
      <c r="D229" s="64">
        <v>100</v>
      </c>
      <c r="E229" s="64">
        <v>8</v>
      </c>
      <c r="F229" s="64">
        <f t="shared" si="35"/>
        <v>12</v>
      </c>
      <c r="G229" s="64">
        <f t="shared" si="36"/>
        <v>20</v>
      </c>
      <c r="H229" s="163">
        <f t="shared" si="37"/>
        <v>40.042477193189875</v>
      </c>
      <c r="I229" s="64">
        <v>1713</v>
      </c>
      <c r="J229" s="163">
        <f t="shared" si="38"/>
        <v>190.33333333333334</v>
      </c>
      <c r="K229" s="64">
        <v>239</v>
      </c>
      <c r="L229" s="164">
        <f t="shared" si="39"/>
        <v>6.5406093827217617</v>
      </c>
      <c r="M229" s="165">
        <f t="shared" si="40"/>
        <v>22.400000000000002</v>
      </c>
      <c r="N229" s="64">
        <v>671</v>
      </c>
      <c r="O229" s="163">
        <f t="shared" si="41"/>
        <v>134.19999999999999</v>
      </c>
      <c r="P229" s="64">
        <v>157</v>
      </c>
      <c r="Q229" s="163">
        <f t="shared" si="42"/>
        <v>4.093556525091806</v>
      </c>
      <c r="R229" s="188">
        <f t="shared" si="43"/>
        <v>9.6</v>
      </c>
      <c r="S229" s="64">
        <v>15600</v>
      </c>
      <c r="T229" s="64">
        <v>224.1</v>
      </c>
    </row>
    <row r="230" spans="1:20" x14ac:dyDescent="0.25">
      <c r="A230" s="162" t="str">
        <f t="shared" si="33"/>
        <v>RECC  180*100*10</v>
      </c>
      <c r="B230" s="163">
        <f t="shared" si="34"/>
        <v>38.12460093227196</v>
      </c>
      <c r="C230" s="64">
        <v>180</v>
      </c>
      <c r="D230" s="64">
        <v>100</v>
      </c>
      <c r="E230" s="64">
        <v>10</v>
      </c>
      <c r="F230" s="64">
        <f t="shared" si="35"/>
        <v>15</v>
      </c>
      <c r="G230" s="64">
        <f t="shared" si="36"/>
        <v>25</v>
      </c>
      <c r="H230" s="163">
        <f t="shared" si="37"/>
        <v>48.56637061435918</v>
      </c>
      <c r="I230" s="64">
        <v>2036</v>
      </c>
      <c r="J230" s="163">
        <f t="shared" si="38"/>
        <v>226.22222222222223</v>
      </c>
      <c r="K230" s="64">
        <v>288</v>
      </c>
      <c r="L230" s="164">
        <f t="shared" si="39"/>
        <v>6.4747210428620345</v>
      </c>
      <c r="M230" s="165">
        <f t="shared" si="40"/>
        <v>26</v>
      </c>
      <c r="N230" s="64">
        <v>787</v>
      </c>
      <c r="O230" s="163">
        <f t="shared" si="41"/>
        <v>157.4</v>
      </c>
      <c r="P230" s="64">
        <v>188</v>
      </c>
      <c r="Q230" s="163">
        <f t="shared" si="42"/>
        <v>4.0254973153533395</v>
      </c>
      <c r="R230" s="188">
        <f t="shared" si="43"/>
        <v>10</v>
      </c>
      <c r="S230" s="64">
        <v>18620</v>
      </c>
      <c r="T230" s="64">
        <v>262.8</v>
      </c>
    </row>
    <row r="231" spans="1:20" x14ac:dyDescent="0.25">
      <c r="A231" s="162" t="str">
        <f t="shared" si="33"/>
        <v>RECC  180*100*12.5</v>
      </c>
      <c r="B231" s="163">
        <f t="shared" si="34"/>
        <v>44.779298695843657</v>
      </c>
      <c r="C231" s="64">
        <v>180</v>
      </c>
      <c r="D231" s="64">
        <v>100</v>
      </c>
      <c r="E231" s="64">
        <v>12.5</v>
      </c>
      <c r="F231" s="64">
        <f t="shared" si="35"/>
        <v>25</v>
      </c>
      <c r="G231" s="64">
        <f t="shared" si="36"/>
        <v>37.5</v>
      </c>
      <c r="H231" s="163">
        <f t="shared" si="37"/>
        <v>57.043692606170261</v>
      </c>
      <c r="I231" s="64">
        <v>2385</v>
      </c>
      <c r="J231" s="163">
        <f t="shared" si="38"/>
        <v>265</v>
      </c>
      <c r="K231" s="64">
        <v>344</v>
      </c>
      <c r="L231" s="164">
        <f t="shared" si="39"/>
        <v>6.4660696184080608</v>
      </c>
      <c r="M231" s="165">
        <f t="shared" si="40"/>
        <v>26.25</v>
      </c>
      <c r="N231" s="64">
        <v>908</v>
      </c>
      <c r="O231" s="163">
        <f t="shared" si="41"/>
        <v>181.6</v>
      </c>
      <c r="P231" s="64">
        <v>223</v>
      </c>
      <c r="Q231" s="163">
        <f t="shared" si="42"/>
        <v>3.9896896013504528</v>
      </c>
      <c r="R231" s="188">
        <f t="shared" si="43"/>
        <v>6.25</v>
      </c>
      <c r="S231" s="64">
        <v>21910</v>
      </c>
      <c r="T231" s="64">
        <v>303.10000000000002</v>
      </c>
    </row>
    <row r="232" spans="1:20" x14ac:dyDescent="0.25">
      <c r="A232" s="166" t="str">
        <f t="shared" si="33"/>
        <v>RECC  200*100*4</v>
      </c>
      <c r="B232" s="168">
        <f t="shared" si="34"/>
        <v>18.014152111872633</v>
      </c>
      <c r="C232" s="167">
        <v>200</v>
      </c>
      <c r="D232" s="167">
        <v>100</v>
      </c>
      <c r="E232" s="167">
        <v>4</v>
      </c>
      <c r="F232" s="167">
        <f t="shared" si="35"/>
        <v>4</v>
      </c>
      <c r="G232" s="167">
        <f t="shared" si="36"/>
        <v>8</v>
      </c>
      <c r="H232" s="168">
        <f t="shared" si="37"/>
        <v>22.947964473723101</v>
      </c>
      <c r="I232" s="167">
        <v>1223</v>
      </c>
      <c r="J232" s="168">
        <f t="shared" si="38"/>
        <v>122.3</v>
      </c>
      <c r="K232" s="167">
        <v>150</v>
      </c>
      <c r="L232" s="169">
        <f t="shared" si="39"/>
        <v>7.3003073392467499</v>
      </c>
      <c r="M232" s="170">
        <f t="shared" si="40"/>
        <v>14.72</v>
      </c>
      <c r="N232" s="167">
        <v>416</v>
      </c>
      <c r="O232" s="168">
        <f t="shared" si="41"/>
        <v>83.2</v>
      </c>
      <c r="P232" s="167">
        <v>93</v>
      </c>
      <c r="Q232" s="168">
        <f t="shared" si="42"/>
        <v>4.2576953269453011</v>
      </c>
      <c r="R232" s="189">
        <f t="shared" si="43"/>
        <v>6.72</v>
      </c>
      <c r="S232" s="167">
        <v>9834</v>
      </c>
      <c r="T232" s="171">
        <v>141.9</v>
      </c>
    </row>
    <row r="233" spans="1:20" x14ac:dyDescent="0.25">
      <c r="A233" s="172" t="str">
        <f t="shared" si="33"/>
        <v>RECC  200*100*5</v>
      </c>
      <c r="B233" s="174">
        <f t="shared" si="34"/>
        <v>22.259612674800994</v>
      </c>
      <c r="C233" s="173">
        <v>200</v>
      </c>
      <c r="D233" s="173">
        <v>100</v>
      </c>
      <c r="E233" s="173">
        <v>5</v>
      </c>
      <c r="F233" s="173">
        <f t="shared" si="35"/>
        <v>5</v>
      </c>
      <c r="G233" s="173">
        <f t="shared" si="36"/>
        <v>10</v>
      </c>
      <c r="H233" s="174">
        <f t="shared" si="37"/>
        <v>28.356194490192348</v>
      </c>
      <c r="I233" s="173">
        <v>1495</v>
      </c>
      <c r="J233" s="174">
        <f t="shared" si="38"/>
        <v>149.5</v>
      </c>
      <c r="K233" s="173">
        <v>185</v>
      </c>
      <c r="L233" s="175">
        <f t="shared" si="39"/>
        <v>7.2610031156474335</v>
      </c>
      <c r="M233" s="176">
        <f t="shared" si="40"/>
        <v>18</v>
      </c>
      <c r="N233" s="173">
        <v>505</v>
      </c>
      <c r="O233" s="174">
        <f t="shared" si="41"/>
        <v>101</v>
      </c>
      <c r="P233" s="173">
        <v>114</v>
      </c>
      <c r="Q233" s="174">
        <f t="shared" si="42"/>
        <v>4.2200900269326924</v>
      </c>
      <c r="R233" s="190">
        <f t="shared" si="43"/>
        <v>8</v>
      </c>
      <c r="S233" s="173">
        <v>12040</v>
      </c>
      <c r="T233" s="177">
        <v>172</v>
      </c>
    </row>
    <row r="234" spans="1:20" x14ac:dyDescent="0.25">
      <c r="A234" s="172" t="str">
        <f t="shared" si="33"/>
        <v>RECC  200*100*6.3</v>
      </c>
      <c r="B234" s="174">
        <f t="shared" si="34"/>
        <v>27.356930110018741</v>
      </c>
      <c r="C234" s="173">
        <v>200</v>
      </c>
      <c r="D234" s="173">
        <v>100</v>
      </c>
      <c r="E234" s="173">
        <v>6.3</v>
      </c>
      <c r="F234" s="173">
        <f t="shared" si="35"/>
        <v>9.4499999999999993</v>
      </c>
      <c r="G234" s="173">
        <f t="shared" si="36"/>
        <v>15.75</v>
      </c>
      <c r="H234" s="174">
        <f t="shared" si="37"/>
        <v>34.849592496839158</v>
      </c>
      <c r="I234" s="173">
        <v>1829</v>
      </c>
      <c r="J234" s="174">
        <f t="shared" si="38"/>
        <v>182.9</v>
      </c>
      <c r="K234" s="173">
        <v>228</v>
      </c>
      <c r="L234" s="175">
        <f t="shared" si="39"/>
        <v>7.2444930588884482</v>
      </c>
      <c r="M234" s="176">
        <f t="shared" si="40"/>
        <v>21.230999999999998</v>
      </c>
      <c r="N234" s="173">
        <v>613</v>
      </c>
      <c r="O234" s="174">
        <f t="shared" si="41"/>
        <v>122.6</v>
      </c>
      <c r="P234" s="173">
        <v>140</v>
      </c>
      <c r="Q234" s="174">
        <f t="shared" si="42"/>
        <v>4.1940285757048787</v>
      </c>
      <c r="R234" s="190">
        <f t="shared" si="43"/>
        <v>8.6310000000000002</v>
      </c>
      <c r="S234" s="173">
        <v>14750</v>
      </c>
      <c r="T234" s="177">
        <v>208.4</v>
      </c>
    </row>
    <row r="235" spans="1:20" x14ac:dyDescent="0.25">
      <c r="A235" s="172" t="str">
        <f t="shared" ref="A235:A281" si="44">$B$169&amp;"  "&amp;C235&amp;"*"&amp;D235&amp;"*"&amp;E235</f>
        <v>RECC  200*100*8</v>
      </c>
      <c r="B235" s="174">
        <f t="shared" si="34"/>
        <v>33.945344596654053</v>
      </c>
      <c r="C235" s="173">
        <v>200</v>
      </c>
      <c r="D235" s="173">
        <v>100</v>
      </c>
      <c r="E235" s="173">
        <v>8</v>
      </c>
      <c r="F235" s="173">
        <f t="shared" si="35"/>
        <v>12</v>
      </c>
      <c r="G235" s="173">
        <f t="shared" si="36"/>
        <v>20</v>
      </c>
      <c r="H235" s="174">
        <f t="shared" si="37"/>
        <v>43.24247719318987</v>
      </c>
      <c r="I235" s="173">
        <v>2234</v>
      </c>
      <c r="J235" s="174">
        <f t="shared" si="38"/>
        <v>223.4</v>
      </c>
      <c r="K235" s="173">
        <v>282</v>
      </c>
      <c r="L235" s="175">
        <f t="shared" si="39"/>
        <v>7.1876397510223606</v>
      </c>
      <c r="M235" s="176">
        <f t="shared" si="40"/>
        <v>25.6</v>
      </c>
      <c r="N235" s="173">
        <v>739</v>
      </c>
      <c r="O235" s="174">
        <f t="shared" si="41"/>
        <v>147.80000000000001</v>
      </c>
      <c r="P235" s="173">
        <v>172</v>
      </c>
      <c r="Q235" s="174">
        <f t="shared" si="42"/>
        <v>4.1339663450565407</v>
      </c>
      <c r="R235" s="190">
        <f t="shared" si="43"/>
        <v>9.6</v>
      </c>
      <c r="S235" s="173">
        <v>18040</v>
      </c>
      <c r="T235" s="177">
        <v>251.2</v>
      </c>
    </row>
    <row r="236" spans="1:20" x14ac:dyDescent="0.25">
      <c r="A236" s="172" t="str">
        <f t="shared" si="44"/>
        <v>RECC  200*100*10</v>
      </c>
      <c r="B236" s="174">
        <f t="shared" si="34"/>
        <v>41.264600932271961</v>
      </c>
      <c r="C236" s="173">
        <v>200</v>
      </c>
      <c r="D236" s="173">
        <v>100</v>
      </c>
      <c r="E236" s="173">
        <v>10</v>
      </c>
      <c r="F236" s="173">
        <f t="shared" si="35"/>
        <v>15</v>
      </c>
      <c r="G236" s="173">
        <f t="shared" si="36"/>
        <v>25</v>
      </c>
      <c r="H236" s="174">
        <f t="shared" si="37"/>
        <v>52.56637061435918</v>
      </c>
      <c r="I236" s="173">
        <v>2664</v>
      </c>
      <c r="J236" s="174">
        <f t="shared" si="38"/>
        <v>266.39999999999998</v>
      </c>
      <c r="K236" s="173">
        <v>341</v>
      </c>
      <c r="L236" s="175">
        <f t="shared" si="39"/>
        <v>7.1189036310044367</v>
      </c>
      <c r="M236" s="176">
        <f t="shared" si="40"/>
        <v>30</v>
      </c>
      <c r="N236" s="173">
        <v>869</v>
      </c>
      <c r="O236" s="174">
        <f t="shared" si="41"/>
        <v>173.8</v>
      </c>
      <c r="P236" s="173">
        <v>206</v>
      </c>
      <c r="Q236" s="174">
        <f t="shared" si="42"/>
        <v>4.0658924994468055</v>
      </c>
      <c r="R236" s="190">
        <f t="shared" si="43"/>
        <v>10</v>
      </c>
      <c r="S236" s="173">
        <v>21560</v>
      </c>
      <c r="T236" s="177">
        <v>295.3</v>
      </c>
    </row>
    <row r="237" spans="1:20" x14ac:dyDescent="0.25">
      <c r="A237" s="172" t="str">
        <f t="shared" si="44"/>
        <v>RECC  200*100*12.5</v>
      </c>
      <c r="B237" s="174">
        <f t="shared" si="34"/>
        <v>48.704298695843654</v>
      </c>
      <c r="C237" s="173">
        <v>200</v>
      </c>
      <c r="D237" s="173">
        <v>100</v>
      </c>
      <c r="E237" s="173">
        <v>12.5</v>
      </c>
      <c r="F237" s="173">
        <f t="shared" si="35"/>
        <v>25</v>
      </c>
      <c r="G237" s="173">
        <f t="shared" si="36"/>
        <v>37.5</v>
      </c>
      <c r="H237" s="174">
        <f t="shared" si="37"/>
        <v>62.043692606170261</v>
      </c>
      <c r="I237" s="173">
        <v>3136</v>
      </c>
      <c r="J237" s="174">
        <f t="shared" si="38"/>
        <v>313.60000000000002</v>
      </c>
      <c r="K237" s="173">
        <v>408</v>
      </c>
      <c r="L237" s="175">
        <f t="shared" si="39"/>
        <v>7.1095024508598454</v>
      </c>
      <c r="M237" s="176">
        <f t="shared" si="40"/>
        <v>31.25</v>
      </c>
      <c r="N237" s="173">
        <v>1004</v>
      </c>
      <c r="O237" s="174">
        <f t="shared" si="41"/>
        <v>200.8</v>
      </c>
      <c r="P237" s="173">
        <v>245</v>
      </c>
      <c r="Q237" s="174">
        <f t="shared" si="42"/>
        <v>4.022703632514304</v>
      </c>
      <c r="R237" s="190">
        <f t="shared" si="43"/>
        <v>6.25</v>
      </c>
      <c r="S237" s="173">
        <v>25410</v>
      </c>
      <c r="T237" s="177">
        <v>341.5</v>
      </c>
    </row>
    <row r="238" spans="1:20" x14ac:dyDescent="0.25">
      <c r="A238" s="178" t="str">
        <f t="shared" si="44"/>
        <v>RECC  200*100*16</v>
      </c>
      <c r="B238" s="180">
        <f t="shared" si="34"/>
        <v>58.696322983270242</v>
      </c>
      <c r="C238" s="179">
        <v>200</v>
      </c>
      <c r="D238" s="179">
        <v>100</v>
      </c>
      <c r="E238" s="179">
        <v>16</v>
      </c>
      <c r="F238" s="179">
        <f t="shared" si="35"/>
        <v>32</v>
      </c>
      <c r="G238" s="179">
        <f t="shared" si="36"/>
        <v>48</v>
      </c>
      <c r="H238" s="180">
        <f t="shared" si="37"/>
        <v>74.772385965949354</v>
      </c>
      <c r="I238" s="179">
        <v>3678</v>
      </c>
      <c r="J238" s="180">
        <f t="shared" si="38"/>
        <v>367.8</v>
      </c>
      <c r="K238" s="179">
        <v>491</v>
      </c>
      <c r="L238" s="181">
        <f t="shared" si="39"/>
        <v>7.0135071312163753</v>
      </c>
      <c r="M238" s="182">
        <f t="shared" si="40"/>
        <v>33.28</v>
      </c>
      <c r="N238" s="179">
        <v>1147</v>
      </c>
      <c r="O238" s="180">
        <f t="shared" si="41"/>
        <v>229.4</v>
      </c>
      <c r="P238" s="179">
        <v>290</v>
      </c>
      <c r="Q238" s="180">
        <f t="shared" si="42"/>
        <v>3.9166168627354536</v>
      </c>
      <c r="R238" s="191">
        <f t="shared" si="43"/>
        <v>1.28</v>
      </c>
      <c r="S238" s="179">
        <v>29820</v>
      </c>
      <c r="T238" s="183">
        <v>391.1</v>
      </c>
    </row>
    <row r="239" spans="1:20" x14ac:dyDescent="0.25">
      <c r="A239" s="162" t="str">
        <f t="shared" si="44"/>
        <v>RECC  200*120*6.3</v>
      </c>
      <c r="B239" s="163">
        <f t="shared" si="34"/>
        <v>29.335130110018738</v>
      </c>
      <c r="C239" s="64">
        <v>200</v>
      </c>
      <c r="D239" s="64">
        <v>120</v>
      </c>
      <c r="E239" s="64">
        <v>6.3</v>
      </c>
      <c r="F239" s="64">
        <f t="shared" si="35"/>
        <v>9.4499999999999993</v>
      </c>
      <c r="G239" s="64">
        <f t="shared" si="36"/>
        <v>15.75</v>
      </c>
      <c r="H239" s="163">
        <f t="shared" si="37"/>
        <v>37.369592496839154</v>
      </c>
      <c r="I239" s="64">
        <v>2065</v>
      </c>
      <c r="J239" s="163">
        <f t="shared" si="38"/>
        <v>206.5</v>
      </c>
      <c r="K239" s="64">
        <v>253</v>
      </c>
      <c r="L239" s="164">
        <f t="shared" si="39"/>
        <v>7.4336283938888297</v>
      </c>
      <c r="M239" s="165">
        <f t="shared" si="40"/>
        <v>21.230999999999998</v>
      </c>
      <c r="N239" s="64">
        <v>929</v>
      </c>
      <c r="O239" s="163">
        <f t="shared" si="41"/>
        <v>154.83333333333334</v>
      </c>
      <c r="P239" s="64">
        <v>177</v>
      </c>
      <c r="Q239" s="163">
        <f t="shared" si="42"/>
        <v>4.9859586904794826</v>
      </c>
      <c r="R239" s="188">
        <f t="shared" si="43"/>
        <v>11.151</v>
      </c>
      <c r="S239" s="64">
        <v>20280</v>
      </c>
      <c r="T239" s="64">
        <v>255.5</v>
      </c>
    </row>
    <row r="240" spans="1:20" x14ac:dyDescent="0.25">
      <c r="A240" s="162" t="str">
        <f t="shared" si="44"/>
        <v>RECC  200*120*8</v>
      </c>
      <c r="B240" s="163">
        <f t="shared" si="34"/>
        <v>36.457344596654053</v>
      </c>
      <c r="C240" s="64">
        <v>200</v>
      </c>
      <c r="D240" s="64">
        <v>120</v>
      </c>
      <c r="E240" s="64">
        <v>8</v>
      </c>
      <c r="F240" s="64">
        <f t="shared" si="35"/>
        <v>12</v>
      </c>
      <c r="G240" s="64">
        <f t="shared" si="36"/>
        <v>20</v>
      </c>
      <c r="H240" s="163">
        <f t="shared" si="37"/>
        <v>46.442477193189873</v>
      </c>
      <c r="I240" s="64">
        <v>2529</v>
      </c>
      <c r="J240" s="163">
        <f t="shared" si="38"/>
        <v>252.9</v>
      </c>
      <c r="K240" s="64">
        <v>313</v>
      </c>
      <c r="L240" s="164">
        <f t="shared" si="39"/>
        <v>7.3793265032923179</v>
      </c>
      <c r="M240" s="165">
        <f t="shared" si="40"/>
        <v>25.6</v>
      </c>
      <c r="N240" s="64">
        <v>1128</v>
      </c>
      <c r="O240" s="163">
        <f t="shared" si="41"/>
        <v>188</v>
      </c>
      <c r="P240" s="64">
        <v>218</v>
      </c>
      <c r="Q240" s="163">
        <f t="shared" si="42"/>
        <v>4.9282968775474147</v>
      </c>
      <c r="R240" s="188">
        <f t="shared" si="43"/>
        <v>12.8</v>
      </c>
      <c r="S240" s="64">
        <v>24950</v>
      </c>
      <c r="T240" s="64">
        <v>309.89999999999998</v>
      </c>
    </row>
    <row r="241" spans="1:20" x14ac:dyDescent="0.25">
      <c r="A241" s="162" t="str">
        <f t="shared" si="44"/>
        <v>RECC  200*120*10</v>
      </c>
      <c r="B241" s="163">
        <f t="shared" si="34"/>
        <v>44.404600932271961</v>
      </c>
      <c r="C241" s="64">
        <v>200</v>
      </c>
      <c r="D241" s="64">
        <v>120</v>
      </c>
      <c r="E241" s="64">
        <v>10</v>
      </c>
      <c r="F241" s="64">
        <f t="shared" si="35"/>
        <v>15</v>
      </c>
      <c r="G241" s="64">
        <f t="shared" si="36"/>
        <v>25</v>
      </c>
      <c r="H241" s="163">
        <f t="shared" si="37"/>
        <v>56.56637061435918</v>
      </c>
      <c r="I241" s="64">
        <v>3026</v>
      </c>
      <c r="J241" s="163">
        <f t="shared" si="38"/>
        <v>302.60000000000002</v>
      </c>
      <c r="K241" s="64">
        <v>379</v>
      </c>
      <c r="L241" s="164">
        <f t="shared" si="39"/>
        <v>7.3140058695749506</v>
      </c>
      <c r="M241" s="165">
        <f t="shared" si="40"/>
        <v>30</v>
      </c>
      <c r="N241" s="64">
        <v>1337</v>
      </c>
      <c r="O241" s="163">
        <f t="shared" si="41"/>
        <v>222.83333333333334</v>
      </c>
      <c r="P241" s="64">
        <v>263</v>
      </c>
      <c r="Q241" s="163">
        <f t="shared" si="42"/>
        <v>4.8616819759060865</v>
      </c>
      <c r="R241" s="188">
        <f t="shared" si="43"/>
        <v>14</v>
      </c>
      <c r="S241" s="64">
        <v>30010</v>
      </c>
      <c r="T241" s="64">
        <v>366.9</v>
      </c>
    </row>
    <row r="242" spans="1:20" x14ac:dyDescent="0.25">
      <c r="A242" s="162" t="str">
        <f t="shared" si="44"/>
        <v>RECC  200*120*12.5</v>
      </c>
      <c r="B242" s="163">
        <f t="shared" si="34"/>
        <v>52.629298695843666</v>
      </c>
      <c r="C242" s="64">
        <v>200</v>
      </c>
      <c r="D242" s="64">
        <v>120</v>
      </c>
      <c r="E242" s="64">
        <v>12.5</v>
      </c>
      <c r="F242" s="64">
        <f t="shared" si="35"/>
        <v>25</v>
      </c>
      <c r="G242" s="64">
        <f t="shared" si="36"/>
        <v>37.5</v>
      </c>
      <c r="H242" s="163">
        <f t="shared" si="37"/>
        <v>67.043692606170268</v>
      </c>
      <c r="I242" s="64">
        <v>3576</v>
      </c>
      <c r="J242" s="163">
        <f t="shared" si="38"/>
        <v>357.6</v>
      </c>
      <c r="K242" s="64">
        <v>455</v>
      </c>
      <c r="L242" s="164">
        <f t="shared" si="39"/>
        <v>7.3033109527297402</v>
      </c>
      <c r="M242" s="165">
        <f t="shared" si="40"/>
        <v>31.25</v>
      </c>
      <c r="N242" s="64">
        <v>1562</v>
      </c>
      <c r="O242" s="163">
        <f t="shared" si="41"/>
        <v>260.33333333333331</v>
      </c>
      <c r="P242" s="64">
        <v>314</v>
      </c>
      <c r="Q242" s="163">
        <f t="shared" si="42"/>
        <v>4.8268249803646306</v>
      </c>
      <c r="R242" s="188">
        <f t="shared" si="43"/>
        <v>11.25</v>
      </c>
      <c r="S242" s="64">
        <v>35690</v>
      </c>
      <c r="T242" s="64">
        <v>428.3</v>
      </c>
    </row>
    <row r="243" spans="1:20" x14ac:dyDescent="0.25">
      <c r="A243" s="166" t="str">
        <f t="shared" si="44"/>
        <v>RECC  250*150*6.3</v>
      </c>
      <c r="B243" s="168">
        <f t="shared" si="34"/>
        <v>37.247930110018743</v>
      </c>
      <c r="C243" s="167">
        <v>250</v>
      </c>
      <c r="D243" s="167">
        <v>150</v>
      </c>
      <c r="E243" s="167">
        <v>6.3</v>
      </c>
      <c r="F243" s="167">
        <f t="shared" si="35"/>
        <v>9.4499999999999993</v>
      </c>
      <c r="G243" s="167">
        <f t="shared" si="36"/>
        <v>15.75</v>
      </c>
      <c r="H243" s="168">
        <f t="shared" si="37"/>
        <v>47.449592496839159</v>
      </c>
      <c r="I243" s="167">
        <v>4143</v>
      </c>
      <c r="J243" s="168">
        <f t="shared" si="38"/>
        <v>331.44</v>
      </c>
      <c r="K243" s="167">
        <v>402</v>
      </c>
      <c r="L243" s="169">
        <f t="shared" si="39"/>
        <v>9.3441805882834004</v>
      </c>
      <c r="M243" s="170">
        <f t="shared" si="40"/>
        <v>27.530999999999999</v>
      </c>
      <c r="N243" s="167">
        <v>1874</v>
      </c>
      <c r="O243" s="168">
        <f t="shared" si="41"/>
        <v>249.86666666666667</v>
      </c>
      <c r="P243" s="167">
        <v>283</v>
      </c>
      <c r="Q243" s="168">
        <f t="shared" si="42"/>
        <v>6.2844684426754238</v>
      </c>
      <c r="R243" s="189">
        <f t="shared" si="43"/>
        <v>14.930999999999999</v>
      </c>
      <c r="S243" s="167">
        <v>40540</v>
      </c>
      <c r="T243" s="171">
        <v>412.9</v>
      </c>
    </row>
    <row r="244" spans="1:20" x14ac:dyDescent="0.25">
      <c r="A244" s="172" t="str">
        <f t="shared" si="44"/>
        <v>RECC  250*150*8</v>
      </c>
      <c r="B244" s="174">
        <f t="shared" si="34"/>
        <v>46.505344596654048</v>
      </c>
      <c r="C244" s="173">
        <v>250</v>
      </c>
      <c r="D244" s="173">
        <v>150</v>
      </c>
      <c r="E244" s="173">
        <v>8</v>
      </c>
      <c r="F244" s="173">
        <f t="shared" si="35"/>
        <v>12</v>
      </c>
      <c r="G244" s="173">
        <f t="shared" si="36"/>
        <v>20</v>
      </c>
      <c r="H244" s="174">
        <f t="shared" si="37"/>
        <v>59.24247719318987</v>
      </c>
      <c r="I244" s="173">
        <v>5111</v>
      </c>
      <c r="J244" s="174">
        <f t="shared" si="38"/>
        <v>408.88</v>
      </c>
      <c r="K244" s="173">
        <v>501</v>
      </c>
      <c r="L244" s="175">
        <f t="shared" si="39"/>
        <v>9.2883021678266342</v>
      </c>
      <c r="M244" s="176">
        <f t="shared" si="40"/>
        <v>33.6</v>
      </c>
      <c r="N244" s="173">
        <v>2298</v>
      </c>
      <c r="O244" s="174">
        <f t="shared" si="41"/>
        <v>306.39999999999998</v>
      </c>
      <c r="P244" s="173">
        <v>350</v>
      </c>
      <c r="Q244" s="174">
        <f t="shared" si="42"/>
        <v>6.228140585341718</v>
      </c>
      <c r="R244" s="190">
        <f t="shared" si="43"/>
        <v>17.600000000000001</v>
      </c>
      <c r="S244" s="173">
        <v>50210</v>
      </c>
      <c r="T244" s="177">
        <v>505.6</v>
      </c>
    </row>
    <row r="245" spans="1:20" x14ac:dyDescent="0.25">
      <c r="A245" s="172" t="str">
        <f t="shared" si="44"/>
        <v>RECC  250*150*10</v>
      </c>
      <c r="B245" s="174">
        <f t="shared" si="34"/>
        <v>56.964600932271949</v>
      </c>
      <c r="C245" s="173">
        <v>250</v>
      </c>
      <c r="D245" s="173">
        <v>150</v>
      </c>
      <c r="E245" s="173">
        <v>10</v>
      </c>
      <c r="F245" s="173">
        <f t="shared" si="35"/>
        <v>15</v>
      </c>
      <c r="G245" s="173">
        <f t="shared" si="36"/>
        <v>25</v>
      </c>
      <c r="H245" s="174">
        <f t="shared" si="37"/>
        <v>72.566370614359172</v>
      </c>
      <c r="I245" s="173">
        <v>6174</v>
      </c>
      <c r="J245" s="174">
        <f t="shared" si="38"/>
        <v>493.92</v>
      </c>
      <c r="K245" s="173">
        <v>611</v>
      </c>
      <c r="L245" s="175">
        <f t="shared" si="39"/>
        <v>9.2239217775516735</v>
      </c>
      <c r="M245" s="176">
        <f t="shared" si="40"/>
        <v>40</v>
      </c>
      <c r="N245" s="173">
        <v>2755</v>
      </c>
      <c r="O245" s="174">
        <f t="shared" si="41"/>
        <v>367.33333333333331</v>
      </c>
      <c r="P245" s="173">
        <v>426</v>
      </c>
      <c r="Q245" s="174">
        <f t="shared" si="42"/>
        <v>6.1615943115967431</v>
      </c>
      <c r="R245" s="190">
        <f t="shared" si="43"/>
        <v>20</v>
      </c>
      <c r="S245" s="173">
        <v>60900</v>
      </c>
      <c r="T245" s="177">
        <v>605.20000000000005</v>
      </c>
    </row>
    <row r="246" spans="1:20" x14ac:dyDescent="0.25">
      <c r="A246" s="172" t="str">
        <f t="shared" si="44"/>
        <v>RECC  250*150*12.5</v>
      </c>
      <c r="B246" s="174">
        <f t="shared" si="34"/>
        <v>68.329298695843661</v>
      </c>
      <c r="C246" s="173">
        <v>250</v>
      </c>
      <c r="D246" s="173">
        <v>150</v>
      </c>
      <c r="E246" s="173">
        <v>12.5</v>
      </c>
      <c r="F246" s="173">
        <f t="shared" si="35"/>
        <v>25</v>
      </c>
      <c r="G246" s="173">
        <f t="shared" si="36"/>
        <v>37.5</v>
      </c>
      <c r="H246" s="174">
        <f t="shared" si="37"/>
        <v>87.043692606170268</v>
      </c>
      <c r="I246" s="173">
        <v>7387</v>
      </c>
      <c r="J246" s="174">
        <f t="shared" si="38"/>
        <v>590.96</v>
      </c>
      <c r="K246" s="173">
        <v>740</v>
      </c>
      <c r="L246" s="175">
        <f t="shared" si="39"/>
        <v>9.2122432329920212</v>
      </c>
      <c r="M246" s="176">
        <f t="shared" si="40"/>
        <v>43.75</v>
      </c>
      <c r="N246" s="173">
        <v>3265</v>
      </c>
      <c r="O246" s="174">
        <f t="shared" si="41"/>
        <v>435.33333333333331</v>
      </c>
      <c r="P246" s="173">
        <v>514</v>
      </c>
      <c r="Q246" s="174">
        <f t="shared" si="42"/>
        <v>6.1245324426890031</v>
      </c>
      <c r="R246" s="190">
        <f t="shared" si="43"/>
        <v>18.75</v>
      </c>
      <c r="S246" s="173">
        <v>73260</v>
      </c>
      <c r="T246" s="177">
        <v>716.6</v>
      </c>
    </row>
    <row r="247" spans="1:20" x14ac:dyDescent="0.25">
      <c r="A247" s="172" t="str">
        <f t="shared" si="44"/>
        <v>RECC  250*150*14.2</v>
      </c>
      <c r="B247" s="174">
        <f t="shared" si="34"/>
        <v>76.050750649791439</v>
      </c>
      <c r="C247" s="173">
        <v>250</v>
      </c>
      <c r="D247" s="173">
        <v>150</v>
      </c>
      <c r="E247" s="173">
        <v>14.2</v>
      </c>
      <c r="F247" s="173">
        <f t="shared" si="35"/>
        <v>28.4</v>
      </c>
      <c r="G247" s="173">
        <f t="shared" si="36"/>
        <v>42.599999999999994</v>
      </c>
      <c r="H247" s="174">
        <f t="shared" si="37"/>
        <v>96.879937133492277</v>
      </c>
      <c r="I247" s="173">
        <v>8141</v>
      </c>
      <c r="J247" s="174">
        <f t="shared" si="38"/>
        <v>651.28</v>
      </c>
      <c r="K247" s="173">
        <v>823</v>
      </c>
      <c r="L247" s="175">
        <f t="shared" si="39"/>
        <v>9.1668885908312792</v>
      </c>
      <c r="M247" s="176">
        <f t="shared" si="40"/>
        <v>46.803199999999997</v>
      </c>
      <c r="N247" s="173">
        <v>3576</v>
      </c>
      <c r="O247" s="174">
        <f t="shared" si="41"/>
        <v>476.8</v>
      </c>
      <c r="P247" s="173">
        <v>570</v>
      </c>
      <c r="Q247" s="174">
        <f t="shared" si="42"/>
        <v>6.0754972819033908</v>
      </c>
      <c r="R247" s="190">
        <f t="shared" si="43"/>
        <v>18.403200000000002</v>
      </c>
      <c r="S247" s="173">
        <v>81020</v>
      </c>
      <c r="T247" s="177">
        <v>784.4</v>
      </c>
    </row>
    <row r="248" spans="1:20" x14ac:dyDescent="0.25">
      <c r="A248" s="178" t="str">
        <f t="shared" si="44"/>
        <v>RECC  250*150*16</v>
      </c>
      <c r="B248" s="180">
        <f t="shared" si="34"/>
        <v>83.816322983270254</v>
      </c>
      <c r="C248" s="179">
        <v>250</v>
      </c>
      <c r="D248" s="179">
        <v>150</v>
      </c>
      <c r="E248" s="179">
        <v>16</v>
      </c>
      <c r="F248" s="179">
        <f t="shared" si="35"/>
        <v>32</v>
      </c>
      <c r="G248" s="179">
        <f t="shared" si="36"/>
        <v>48</v>
      </c>
      <c r="H248" s="180">
        <f t="shared" si="37"/>
        <v>106.77238596594937</v>
      </c>
      <c r="I248" s="179">
        <v>8879</v>
      </c>
      <c r="J248" s="180">
        <f t="shared" si="38"/>
        <v>710.32</v>
      </c>
      <c r="K248" s="179">
        <v>906</v>
      </c>
      <c r="L248" s="181">
        <f t="shared" si="39"/>
        <v>9.1191120932899814</v>
      </c>
      <c r="M248" s="182">
        <f t="shared" si="40"/>
        <v>49.28</v>
      </c>
      <c r="N248" s="179">
        <v>3873</v>
      </c>
      <c r="O248" s="180">
        <f t="shared" si="41"/>
        <v>516.4</v>
      </c>
      <c r="P248" s="179">
        <v>625</v>
      </c>
      <c r="Q248" s="180">
        <f t="shared" si="42"/>
        <v>6.0227422110848137</v>
      </c>
      <c r="R248" s="191">
        <f t="shared" si="43"/>
        <v>17.28</v>
      </c>
      <c r="S248" s="179">
        <v>88680</v>
      </c>
      <c r="T248" s="183">
        <v>849.5</v>
      </c>
    </row>
    <row r="249" spans="1:20" x14ac:dyDescent="0.25">
      <c r="A249" s="162" t="str">
        <f t="shared" si="44"/>
        <v>RECC  260*180*6.3</v>
      </c>
      <c r="B249" s="163">
        <f t="shared" si="34"/>
        <v>41.204330110018738</v>
      </c>
      <c r="C249" s="64">
        <v>260</v>
      </c>
      <c r="D249" s="64">
        <v>180</v>
      </c>
      <c r="E249" s="64">
        <v>6.3</v>
      </c>
      <c r="F249" s="64">
        <f t="shared" si="35"/>
        <v>9.4499999999999993</v>
      </c>
      <c r="G249" s="64">
        <f t="shared" si="36"/>
        <v>15.75</v>
      </c>
      <c r="H249" s="163">
        <f t="shared" si="37"/>
        <v>52.489592496839158</v>
      </c>
      <c r="I249" s="64">
        <v>5166</v>
      </c>
      <c r="J249" s="163">
        <f t="shared" si="38"/>
        <v>397.38461538461536</v>
      </c>
      <c r="K249" s="64">
        <v>475</v>
      </c>
      <c r="L249" s="164">
        <f t="shared" si="39"/>
        <v>9.9206607895957077</v>
      </c>
      <c r="M249" s="165">
        <f t="shared" si="40"/>
        <v>28.791</v>
      </c>
      <c r="N249" s="64">
        <v>2929</v>
      </c>
      <c r="O249" s="163">
        <f t="shared" si="41"/>
        <v>325.44444444444446</v>
      </c>
      <c r="P249" s="64">
        <v>369</v>
      </c>
      <c r="Q249" s="163">
        <f t="shared" si="42"/>
        <v>7.4700427163756471</v>
      </c>
      <c r="R249" s="188">
        <f t="shared" si="43"/>
        <v>18.710999999999999</v>
      </c>
      <c r="S249" s="64">
        <v>58100</v>
      </c>
      <c r="T249" s="64">
        <v>523.70000000000005</v>
      </c>
    </row>
    <row r="250" spans="1:20" x14ac:dyDescent="0.25">
      <c r="A250" s="162" t="str">
        <f t="shared" si="44"/>
        <v>RECC  260*180*8</v>
      </c>
      <c r="B250" s="163">
        <f t="shared" si="34"/>
        <v>51.529344596654056</v>
      </c>
      <c r="C250" s="64">
        <v>260</v>
      </c>
      <c r="D250" s="64">
        <v>180</v>
      </c>
      <c r="E250" s="64">
        <v>8</v>
      </c>
      <c r="F250" s="64">
        <f t="shared" si="35"/>
        <v>12</v>
      </c>
      <c r="G250" s="64">
        <f t="shared" si="36"/>
        <v>20</v>
      </c>
      <c r="H250" s="163">
        <f t="shared" si="37"/>
        <v>65.642477193189876</v>
      </c>
      <c r="I250" s="64">
        <v>6390</v>
      </c>
      <c r="J250" s="163">
        <f t="shared" si="38"/>
        <v>491.53846153846155</v>
      </c>
      <c r="K250" s="64">
        <v>592</v>
      </c>
      <c r="L250" s="164">
        <f t="shared" si="39"/>
        <v>9.8663824982198705</v>
      </c>
      <c r="M250" s="165">
        <f t="shared" si="40"/>
        <v>35.200000000000003</v>
      </c>
      <c r="N250" s="64">
        <v>3608</v>
      </c>
      <c r="O250" s="163">
        <f t="shared" si="41"/>
        <v>400.88888888888891</v>
      </c>
      <c r="P250" s="64">
        <v>459</v>
      </c>
      <c r="Q250" s="163">
        <f t="shared" si="42"/>
        <v>7.4137985908088346</v>
      </c>
      <c r="R250" s="188">
        <f t="shared" si="43"/>
        <v>22.400000000000002</v>
      </c>
      <c r="S250" s="64">
        <v>72210</v>
      </c>
      <c r="T250" s="64">
        <v>644</v>
      </c>
    </row>
    <row r="251" spans="1:20" x14ac:dyDescent="0.25">
      <c r="A251" s="162" t="str">
        <f t="shared" si="44"/>
        <v>RECC  260*180*10</v>
      </c>
      <c r="B251" s="163">
        <f t="shared" si="34"/>
        <v>63.24460093227195</v>
      </c>
      <c r="C251" s="64">
        <v>260</v>
      </c>
      <c r="D251" s="64">
        <v>180</v>
      </c>
      <c r="E251" s="64">
        <v>10</v>
      </c>
      <c r="F251" s="64">
        <f t="shared" si="35"/>
        <v>15</v>
      </c>
      <c r="G251" s="64">
        <f t="shared" si="36"/>
        <v>25</v>
      </c>
      <c r="H251" s="163">
        <f t="shared" si="37"/>
        <v>80.566370614359172</v>
      </c>
      <c r="I251" s="64">
        <v>7741</v>
      </c>
      <c r="J251" s="163">
        <f t="shared" si="38"/>
        <v>595.46153846153845</v>
      </c>
      <c r="K251" s="64">
        <v>724</v>
      </c>
      <c r="L251" s="164">
        <f t="shared" si="39"/>
        <v>9.8021565383110705</v>
      </c>
      <c r="M251" s="165">
        <f t="shared" si="40"/>
        <v>42</v>
      </c>
      <c r="N251" s="64">
        <v>4351</v>
      </c>
      <c r="O251" s="163">
        <f t="shared" si="41"/>
        <v>483.44444444444446</v>
      </c>
      <c r="P251" s="64">
        <v>560</v>
      </c>
      <c r="Q251" s="163">
        <f t="shared" si="42"/>
        <v>7.3488205367374047</v>
      </c>
      <c r="R251" s="188">
        <f t="shared" si="43"/>
        <v>26</v>
      </c>
      <c r="S251" s="64">
        <v>87980</v>
      </c>
      <c r="T251" s="64">
        <v>775.1</v>
      </c>
    </row>
    <row r="252" spans="1:20" x14ac:dyDescent="0.25">
      <c r="A252" s="162" t="str">
        <f t="shared" si="44"/>
        <v>RECC  260*180*12.5</v>
      </c>
      <c r="B252" s="163">
        <f t="shared" si="34"/>
        <v>76.17929869584367</v>
      </c>
      <c r="C252" s="64">
        <v>260</v>
      </c>
      <c r="D252" s="64">
        <v>180</v>
      </c>
      <c r="E252" s="64">
        <v>12.5</v>
      </c>
      <c r="F252" s="64">
        <f t="shared" si="35"/>
        <v>25</v>
      </c>
      <c r="G252" s="64">
        <f t="shared" si="36"/>
        <v>37.5</v>
      </c>
      <c r="H252" s="163">
        <f t="shared" si="37"/>
        <v>97.043692606170268</v>
      </c>
      <c r="I252" s="64">
        <v>9299</v>
      </c>
      <c r="J252" s="163">
        <f t="shared" si="38"/>
        <v>715.30769230769226</v>
      </c>
      <c r="K252" s="64">
        <v>879</v>
      </c>
      <c r="L252" s="164">
        <f t="shared" si="39"/>
        <v>9.7889129644039858</v>
      </c>
      <c r="M252" s="165">
        <f t="shared" si="40"/>
        <v>46.25</v>
      </c>
      <c r="N252" s="64">
        <v>5196</v>
      </c>
      <c r="O252" s="163">
        <f t="shared" si="41"/>
        <v>577.33333333333337</v>
      </c>
      <c r="P252" s="64">
        <v>679</v>
      </c>
      <c r="Q252" s="163">
        <f t="shared" si="42"/>
        <v>7.3173009019404507</v>
      </c>
      <c r="R252" s="188">
        <f t="shared" si="43"/>
        <v>26.25</v>
      </c>
      <c r="S252" s="64">
        <v>106400</v>
      </c>
      <c r="T252" s="64">
        <v>923.8</v>
      </c>
    </row>
    <row r="253" spans="1:20" x14ac:dyDescent="0.25">
      <c r="A253" s="162" t="str">
        <f t="shared" si="44"/>
        <v>RECC  260*180*14.2</v>
      </c>
      <c r="B253" s="163">
        <f t="shared" si="34"/>
        <v>84.968350649791446</v>
      </c>
      <c r="C253" s="64">
        <v>260</v>
      </c>
      <c r="D253" s="64">
        <v>180</v>
      </c>
      <c r="E253" s="64">
        <v>14.2</v>
      </c>
      <c r="F253" s="64">
        <f t="shared" si="35"/>
        <v>28.4</v>
      </c>
      <c r="G253" s="64">
        <f t="shared" si="36"/>
        <v>42.599999999999994</v>
      </c>
      <c r="H253" s="163">
        <f t="shared" si="37"/>
        <v>108.23993713349228</v>
      </c>
      <c r="I253" s="64">
        <v>10278</v>
      </c>
      <c r="J253" s="163">
        <f t="shared" si="38"/>
        <v>790.61538461538464</v>
      </c>
      <c r="K253" s="64">
        <v>980</v>
      </c>
      <c r="L253" s="164">
        <f t="shared" si="39"/>
        <v>9.744522012541168</v>
      </c>
      <c r="M253" s="165">
        <f t="shared" si="40"/>
        <v>49.6432</v>
      </c>
      <c r="N253" s="64">
        <v>5719</v>
      </c>
      <c r="O253" s="163">
        <f t="shared" si="41"/>
        <v>635.44444444444446</v>
      </c>
      <c r="P253" s="64">
        <v>755</v>
      </c>
      <c r="Q253" s="163">
        <f t="shared" si="42"/>
        <v>7.2688596364366465</v>
      </c>
      <c r="R253" s="188">
        <f t="shared" si="43"/>
        <v>26.923200000000001</v>
      </c>
      <c r="S253" s="64">
        <v>118200</v>
      </c>
      <c r="T253" s="64">
        <v>1016</v>
      </c>
    </row>
    <row r="254" spans="1:20" x14ac:dyDescent="0.25">
      <c r="A254" s="162" t="str">
        <f t="shared" si="44"/>
        <v>RECC  260*180*16</v>
      </c>
      <c r="B254" s="163">
        <f t="shared" si="34"/>
        <v>93.864322983270256</v>
      </c>
      <c r="C254" s="64">
        <v>260</v>
      </c>
      <c r="D254" s="64">
        <v>180</v>
      </c>
      <c r="E254" s="64">
        <v>16</v>
      </c>
      <c r="F254" s="64">
        <f t="shared" si="35"/>
        <v>32</v>
      </c>
      <c r="G254" s="64">
        <f t="shared" si="36"/>
        <v>48</v>
      </c>
      <c r="H254" s="163">
        <f t="shared" si="37"/>
        <v>119.57238596594937</v>
      </c>
      <c r="I254" s="64">
        <v>11245</v>
      </c>
      <c r="J254" s="163">
        <f t="shared" si="38"/>
        <v>865</v>
      </c>
      <c r="K254" s="64">
        <v>1081</v>
      </c>
      <c r="L254" s="164">
        <f t="shared" si="39"/>
        <v>9.6976003475515924</v>
      </c>
      <c r="M254" s="165">
        <f t="shared" si="40"/>
        <v>52.480000000000004</v>
      </c>
      <c r="N254" s="64">
        <v>6231</v>
      </c>
      <c r="O254" s="163">
        <f t="shared" si="41"/>
        <v>692.33333333333337</v>
      </c>
      <c r="P254" s="64">
        <v>831</v>
      </c>
      <c r="Q254" s="163">
        <f t="shared" si="42"/>
        <v>7.2187737093530293</v>
      </c>
      <c r="R254" s="188">
        <f t="shared" si="43"/>
        <v>26.88</v>
      </c>
      <c r="S254" s="64">
        <v>129900</v>
      </c>
      <c r="T254" s="64">
        <v>1106</v>
      </c>
    </row>
    <row r="255" spans="1:20" x14ac:dyDescent="0.25">
      <c r="A255" s="166" t="str">
        <f t="shared" si="44"/>
        <v>RECC  300*200*6.3</v>
      </c>
      <c r="B255" s="168">
        <f t="shared" si="34"/>
        <v>47.138930110018741</v>
      </c>
      <c r="C255" s="167">
        <v>300</v>
      </c>
      <c r="D255" s="167">
        <v>200</v>
      </c>
      <c r="E255" s="167">
        <v>6.3</v>
      </c>
      <c r="F255" s="167">
        <f t="shared" si="35"/>
        <v>9.4499999999999993</v>
      </c>
      <c r="G255" s="167">
        <f t="shared" si="36"/>
        <v>15.75</v>
      </c>
      <c r="H255" s="168">
        <f t="shared" si="37"/>
        <v>60.049592496839161</v>
      </c>
      <c r="I255" s="167">
        <v>7829</v>
      </c>
      <c r="J255" s="168">
        <f t="shared" si="38"/>
        <v>521.93333333333328</v>
      </c>
      <c r="K255" s="167">
        <v>624</v>
      </c>
      <c r="L255" s="169">
        <f t="shared" si="39"/>
        <v>11.418212316173539</v>
      </c>
      <c r="M255" s="170">
        <f t="shared" si="40"/>
        <v>33.831000000000003</v>
      </c>
      <c r="N255" s="167">
        <v>4193</v>
      </c>
      <c r="O255" s="168">
        <f t="shared" si="41"/>
        <v>419.3</v>
      </c>
      <c r="P255" s="167">
        <v>472</v>
      </c>
      <c r="Q255" s="168">
        <f t="shared" si="42"/>
        <v>8.3561725420823123</v>
      </c>
      <c r="R255" s="189">
        <f t="shared" si="43"/>
        <v>21.230999999999998</v>
      </c>
      <c r="S255" s="167">
        <v>84760</v>
      </c>
      <c r="T255" s="171">
        <v>680.6</v>
      </c>
    </row>
    <row r="256" spans="1:20" x14ac:dyDescent="0.25">
      <c r="A256" s="172" t="str">
        <f t="shared" si="44"/>
        <v>RECC  300*200*8</v>
      </c>
      <c r="B256" s="174">
        <f t="shared" si="34"/>
        <v>59.06534459665405</v>
      </c>
      <c r="C256" s="173">
        <v>300</v>
      </c>
      <c r="D256" s="173">
        <v>200</v>
      </c>
      <c r="E256" s="173">
        <v>8</v>
      </c>
      <c r="F256" s="173">
        <f t="shared" si="35"/>
        <v>12</v>
      </c>
      <c r="G256" s="173">
        <f t="shared" si="36"/>
        <v>20</v>
      </c>
      <c r="H256" s="174">
        <f t="shared" si="37"/>
        <v>75.24247719318987</v>
      </c>
      <c r="I256" s="173">
        <v>9717</v>
      </c>
      <c r="J256" s="174">
        <f t="shared" si="38"/>
        <v>647.79999999999995</v>
      </c>
      <c r="K256" s="173">
        <v>779</v>
      </c>
      <c r="L256" s="175">
        <f t="shared" si="39"/>
        <v>11.364087230845453</v>
      </c>
      <c r="M256" s="176">
        <f t="shared" si="40"/>
        <v>41.6</v>
      </c>
      <c r="N256" s="173">
        <v>5184</v>
      </c>
      <c r="O256" s="174">
        <f t="shared" si="41"/>
        <v>518.4</v>
      </c>
      <c r="P256" s="173">
        <v>589</v>
      </c>
      <c r="Q256" s="174">
        <f t="shared" si="42"/>
        <v>8.3004369261976159</v>
      </c>
      <c r="R256" s="190">
        <f t="shared" si="43"/>
        <v>25.6</v>
      </c>
      <c r="S256" s="173">
        <v>105600</v>
      </c>
      <c r="T256" s="177">
        <v>840</v>
      </c>
    </row>
    <row r="257" spans="1:20" x14ac:dyDescent="0.25">
      <c r="A257" s="172" t="str">
        <f t="shared" si="44"/>
        <v>RECC  300*200*10</v>
      </c>
      <c r="B257" s="174">
        <f t="shared" si="34"/>
        <v>72.664600932271952</v>
      </c>
      <c r="C257" s="173">
        <v>300</v>
      </c>
      <c r="D257" s="173">
        <v>200</v>
      </c>
      <c r="E257" s="173">
        <v>10</v>
      </c>
      <c r="F257" s="173">
        <f t="shared" si="35"/>
        <v>15</v>
      </c>
      <c r="G257" s="173">
        <f t="shared" si="36"/>
        <v>25</v>
      </c>
      <c r="H257" s="174">
        <f t="shared" si="37"/>
        <v>92.566370614359172</v>
      </c>
      <c r="I257" s="173">
        <v>11819</v>
      </c>
      <c r="J257" s="174">
        <f t="shared" si="38"/>
        <v>787.93333333333328</v>
      </c>
      <c r="K257" s="173">
        <v>956</v>
      </c>
      <c r="L257" s="175">
        <f t="shared" si="39"/>
        <v>11.299617649479352</v>
      </c>
      <c r="M257" s="176">
        <f t="shared" si="40"/>
        <v>50</v>
      </c>
      <c r="N257" s="173">
        <v>6278</v>
      </c>
      <c r="O257" s="174">
        <f t="shared" si="41"/>
        <v>627.79999999999995</v>
      </c>
      <c r="P257" s="173">
        <v>721</v>
      </c>
      <c r="Q257" s="174">
        <f t="shared" si="42"/>
        <v>8.2353874772447035</v>
      </c>
      <c r="R257" s="190">
        <f t="shared" si="43"/>
        <v>30</v>
      </c>
      <c r="S257" s="173">
        <v>129100</v>
      </c>
      <c r="T257" s="177">
        <v>1015</v>
      </c>
    </row>
    <row r="258" spans="1:20" x14ac:dyDescent="0.25">
      <c r="A258" s="172" t="str">
        <f t="shared" si="44"/>
        <v>RECC  300*200*12.5</v>
      </c>
      <c r="B258" s="174">
        <f t="shared" si="34"/>
        <v>87.954298695843661</v>
      </c>
      <c r="C258" s="173">
        <v>300</v>
      </c>
      <c r="D258" s="173">
        <v>200</v>
      </c>
      <c r="E258" s="173">
        <v>12.5</v>
      </c>
      <c r="F258" s="173">
        <f t="shared" si="35"/>
        <v>25</v>
      </c>
      <c r="G258" s="173">
        <f t="shared" si="36"/>
        <v>37.5</v>
      </c>
      <c r="H258" s="174">
        <f t="shared" si="37"/>
        <v>112.04369260617027</v>
      </c>
      <c r="I258" s="173">
        <v>14273</v>
      </c>
      <c r="J258" s="174">
        <f t="shared" si="38"/>
        <v>951.5333333333333</v>
      </c>
      <c r="K258" s="173">
        <v>1165</v>
      </c>
      <c r="L258" s="175">
        <f t="shared" si="39"/>
        <v>11.286620593345509</v>
      </c>
      <c r="M258" s="176">
        <f t="shared" si="40"/>
        <v>56.25</v>
      </c>
      <c r="N258" s="173">
        <v>7537</v>
      </c>
      <c r="O258" s="174">
        <f t="shared" si="41"/>
        <v>753.7</v>
      </c>
      <c r="P258" s="173">
        <v>877</v>
      </c>
      <c r="Q258" s="174">
        <f t="shared" si="42"/>
        <v>8.2017315616584376</v>
      </c>
      <c r="R258" s="190">
        <f t="shared" si="43"/>
        <v>31.25</v>
      </c>
      <c r="S258" s="173">
        <v>156800</v>
      </c>
      <c r="T258" s="177">
        <v>1217</v>
      </c>
    </row>
    <row r="259" spans="1:20" x14ac:dyDescent="0.25">
      <c r="A259" s="172" t="str">
        <f t="shared" si="44"/>
        <v>RECC  300*200*14.2</v>
      </c>
      <c r="B259" s="174">
        <f t="shared" si="34"/>
        <v>98.34475064979145</v>
      </c>
      <c r="C259" s="173">
        <v>300</v>
      </c>
      <c r="D259" s="173">
        <v>200</v>
      </c>
      <c r="E259" s="173">
        <v>14.2</v>
      </c>
      <c r="F259" s="173">
        <f t="shared" si="35"/>
        <v>28.4</v>
      </c>
      <c r="G259" s="173">
        <f t="shared" si="36"/>
        <v>42.599999999999994</v>
      </c>
      <c r="H259" s="174">
        <f t="shared" si="37"/>
        <v>125.27993713349228</v>
      </c>
      <c r="I259" s="173">
        <v>15832</v>
      </c>
      <c r="J259" s="174">
        <f t="shared" si="38"/>
        <v>1055.4666666666667</v>
      </c>
      <c r="K259" s="173">
        <v>1302</v>
      </c>
      <c r="L259" s="175">
        <f t="shared" si="39"/>
        <v>11.241574091903884</v>
      </c>
      <c r="M259" s="176">
        <f t="shared" si="40"/>
        <v>61.0032</v>
      </c>
      <c r="N259" s="173">
        <v>8328</v>
      </c>
      <c r="O259" s="174">
        <f t="shared" si="41"/>
        <v>832.8</v>
      </c>
      <c r="P259" s="173">
        <v>978</v>
      </c>
      <c r="Q259" s="174">
        <f t="shared" si="42"/>
        <v>8.153228142471729</v>
      </c>
      <c r="R259" s="190">
        <f t="shared" si="43"/>
        <v>32.603200000000001</v>
      </c>
      <c r="S259" s="173">
        <v>174600</v>
      </c>
      <c r="T259" s="177">
        <v>1343</v>
      </c>
    </row>
    <row r="260" spans="1:20" x14ac:dyDescent="0.25">
      <c r="A260" s="178" t="str">
        <f t="shared" si="44"/>
        <v>RECC  300*200*16</v>
      </c>
      <c r="B260" s="180">
        <f t="shared" si="34"/>
        <v>108.93632298327024</v>
      </c>
      <c r="C260" s="179">
        <v>300</v>
      </c>
      <c r="D260" s="179">
        <v>200</v>
      </c>
      <c r="E260" s="179">
        <v>16</v>
      </c>
      <c r="F260" s="179">
        <f t="shared" si="35"/>
        <v>32</v>
      </c>
      <c r="G260" s="179">
        <f t="shared" si="36"/>
        <v>48</v>
      </c>
      <c r="H260" s="180">
        <f t="shared" si="37"/>
        <v>138.77238596594935</v>
      </c>
      <c r="I260" s="179">
        <v>17390</v>
      </c>
      <c r="J260" s="180">
        <f t="shared" si="38"/>
        <v>1159.3333333333333</v>
      </c>
      <c r="K260" s="179">
        <v>1441</v>
      </c>
      <c r="L260" s="181">
        <f t="shared" si="39"/>
        <v>11.194334070338021</v>
      </c>
      <c r="M260" s="182">
        <f t="shared" si="40"/>
        <v>65.28</v>
      </c>
      <c r="N260" s="179">
        <v>9109</v>
      </c>
      <c r="O260" s="180">
        <f t="shared" si="41"/>
        <v>910.9</v>
      </c>
      <c r="P260" s="179">
        <v>1080</v>
      </c>
      <c r="Q260" s="180">
        <f t="shared" si="42"/>
        <v>8.1018430061344819</v>
      </c>
      <c r="R260" s="191">
        <f t="shared" si="43"/>
        <v>33.28</v>
      </c>
      <c r="S260" s="179">
        <v>192500</v>
      </c>
      <c r="T260" s="183">
        <v>1468</v>
      </c>
    </row>
    <row r="261" spans="1:20" x14ac:dyDescent="0.25">
      <c r="A261" s="162" t="str">
        <f t="shared" si="44"/>
        <v>RECC  350*250*6.3</v>
      </c>
      <c r="B261" s="163">
        <f t="shared" ref="B261:B281" si="45">H261*0.785</f>
        <v>57.029930110018746</v>
      </c>
      <c r="C261" s="64">
        <v>350</v>
      </c>
      <c r="D261" s="64">
        <v>250</v>
      </c>
      <c r="E261" s="64">
        <v>6.3</v>
      </c>
      <c r="F261" s="64">
        <f t="shared" ref="F261:F281" si="46">IF(E261&lt;=6,1*E261,IF(E261&lt;=10,1.5*E261,2*E261))</f>
        <v>9.4499999999999993</v>
      </c>
      <c r="G261" s="64">
        <f t="shared" ref="G261:G281" si="47">IF(E261&lt;=6,2*E261,IF(E261&lt;=10,2.5*E261,3*E261))</f>
        <v>15.75</v>
      </c>
      <c r="H261" s="163">
        <f t="shared" ref="H261:H281" si="48">(2*(C261-2*G261)*E261+2*(D261-2*G261)*E261+PI()*(G261^2-F261^2))*0.01</f>
        <v>72.649592496839162</v>
      </c>
      <c r="I261" s="64">
        <v>13203</v>
      </c>
      <c r="J261" s="163">
        <f t="shared" ref="J261:J281" si="49">I261/(0.5*C261*0.1)</f>
        <v>754.45714285714291</v>
      </c>
      <c r="K261" s="64">
        <v>892</v>
      </c>
      <c r="L261" s="164">
        <f t="shared" ref="L261:L281" si="50">SQRT(I261/H261)</f>
        <v>13.480925862717951</v>
      </c>
      <c r="M261" s="165">
        <f t="shared" ref="M261:M281" si="51">2*(C261-2*G261)*E261*0.01</f>
        <v>40.131</v>
      </c>
      <c r="N261" s="64">
        <v>7885</v>
      </c>
      <c r="O261" s="163">
        <f t="shared" ref="O261:O281" si="52">N261/(0.5*D261*0.1)</f>
        <v>630.79999999999995</v>
      </c>
      <c r="P261" s="64">
        <v>709</v>
      </c>
      <c r="Q261" s="163">
        <f t="shared" ref="Q261:Q281" si="53">SQRT(N261/H261)</f>
        <v>10.417997707408603</v>
      </c>
      <c r="R261" s="188">
        <f t="shared" ref="R261:R281" si="54">2*(D261-2*G261)*E261*0.01</f>
        <v>27.530999999999999</v>
      </c>
      <c r="S261" s="64">
        <v>152100</v>
      </c>
      <c r="T261" s="64">
        <v>1011</v>
      </c>
    </row>
    <row r="262" spans="1:20" x14ac:dyDescent="0.25">
      <c r="A262" s="162" t="str">
        <f t="shared" si="44"/>
        <v>RECC  350*250*8</v>
      </c>
      <c r="B262" s="163">
        <f t="shared" si="45"/>
        <v>71.62534459665406</v>
      </c>
      <c r="C262" s="64">
        <v>350</v>
      </c>
      <c r="D262" s="64">
        <v>250</v>
      </c>
      <c r="E262" s="64">
        <v>8</v>
      </c>
      <c r="F262" s="64">
        <f t="shared" si="46"/>
        <v>12</v>
      </c>
      <c r="G262" s="64">
        <f t="shared" si="47"/>
        <v>20</v>
      </c>
      <c r="H262" s="163">
        <f t="shared" si="48"/>
        <v>91.242477193189885</v>
      </c>
      <c r="I262" s="64">
        <v>16449</v>
      </c>
      <c r="J262" s="163">
        <f t="shared" si="49"/>
        <v>939.94285714285718</v>
      </c>
      <c r="K262" s="64">
        <v>1118</v>
      </c>
      <c r="L262" s="164">
        <f t="shared" si="50"/>
        <v>13.426759702792733</v>
      </c>
      <c r="M262" s="165">
        <f t="shared" si="51"/>
        <v>49.6</v>
      </c>
      <c r="N262" s="64">
        <v>9798</v>
      </c>
      <c r="O262" s="163">
        <f t="shared" si="52"/>
        <v>783.84</v>
      </c>
      <c r="P262" s="64">
        <v>888</v>
      </c>
      <c r="Q262" s="163">
        <f t="shared" si="53"/>
        <v>10.362634578299028</v>
      </c>
      <c r="R262" s="188">
        <f t="shared" si="54"/>
        <v>33.6</v>
      </c>
      <c r="S262" s="64">
        <v>190300</v>
      </c>
      <c r="T262" s="64">
        <v>1254</v>
      </c>
    </row>
    <row r="263" spans="1:20" x14ac:dyDescent="0.25">
      <c r="A263" s="162" t="str">
        <f t="shared" si="44"/>
        <v>RECC  350*250*10</v>
      </c>
      <c r="B263" s="163">
        <f t="shared" si="45"/>
        <v>88.364600932271955</v>
      </c>
      <c r="C263" s="64">
        <v>350</v>
      </c>
      <c r="D263" s="64">
        <v>250</v>
      </c>
      <c r="E263" s="64">
        <v>10</v>
      </c>
      <c r="F263" s="64">
        <f t="shared" si="46"/>
        <v>15</v>
      </c>
      <c r="G263" s="64">
        <f t="shared" si="47"/>
        <v>25</v>
      </c>
      <c r="H263" s="163">
        <f t="shared" si="48"/>
        <v>112.56637061435917</v>
      </c>
      <c r="I263" s="64">
        <v>20102</v>
      </c>
      <c r="J263" s="163">
        <f t="shared" si="49"/>
        <v>1148.6857142857143</v>
      </c>
      <c r="K263" s="64">
        <v>1375</v>
      </c>
      <c r="L263" s="164">
        <f t="shared" si="50"/>
        <v>13.363348747343583</v>
      </c>
      <c r="M263" s="165">
        <f t="shared" si="51"/>
        <v>60</v>
      </c>
      <c r="N263" s="64">
        <v>11937</v>
      </c>
      <c r="O263" s="163">
        <f t="shared" si="52"/>
        <v>954.96</v>
      </c>
      <c r="P263" s="64">
        <v>1091</v>
      </c>
      <c r="Q263" s="163">
        <f t="shared" si="53"/>
        <v>10.297771835635842</v>
      </c>
      <c r="R263" s="188">
        <f t="shared" si="54"/>
        <v>40</v>
      </c>
      <c r="S263" s="64">
        <v>233500</v>
      </c>
      <c r="T263" s="64">
        <v>1525</v>
      </c>
    </row>
    <row r="264" spans="1:20" x14ac:dyDescent="0.25">
      <c r="A264" s="162" t="str">
        <f t="shared" si="44"/>
        <v>RECC  350*250*12.5</v>
      </c>
      <c r="B264" s="163">
        <f t="shared" si="45"/>
        <v>107.57929869584365</v>
      </c>
      <c r="C264" s="64">
        <v>350</v>
      </c>
      <c r="D264" s="64">
        <v>250</v>
      </c>
      <c r="E264" s="64">
        <v>12.5</v>
      </c>
      <c r="F264" s="64">
        <f t="shared" si="46"/>
        <v>25</v>
      </c>
      <c r="G264" s="64">
        <f t="shared" si="47"/>
        <v>37.5</v>
      </c>
      <c r="H264" s="163">
        <f t="shared" si="48"/>
        <v>137.04369260617025</v>
      </c>
      <c r="I264" s="64">
        <v>24419</v>
      </c>
      <c r="J264" s="163">
        <f t="shared" si="49"/>
        <v>1395.3714285714286</v>
      </c>
      <c r="K264" s="64">
        <v>1685</v>
      </c>
      <c r="L264" s="164">
        <f t="shared" si="50"/>
        <v>13.348559799439883</v>
      </c>
      <c r="M264" s="165">
        <f t="shared" si="51"/>
        <v>68.75</v>
      </c>
      <c r="N264" s="64">
        <v>14444</v>
      </c>
      <c r="O264" s="163">
        <f t="shared" si="52"/>
        <v>1155.52</v>
      </c>
      <c r="P264" s="64">
        <v>1334</v>
      </c>
      <c r="Q264" s="163">
        <f t="shared" si="53"/>
        <v>10.266306213711863</v>
      </c>
      <c r="R264" s="188">
        <f t="shared" si="54"/>
        <v>43.75</v>
      </c>
      <c r="S264" s="64">
        <v>285300</v>
      </c>
      <c r="T264" s="64">
        <v>1842</v>
      </c>
    </row>
    <row r="265" spans="1:20" x14ac:dyDescent="0.25">
      <c r="A265" s="162" t="str">
        <f t="shared" si="44"/>
        <v>RECC  350*250*14.2</v>
      </c>
      <c r="B265" s="163">
        <f t="shared" si="45"/>
        <v>120.63875064979143</v>
      </c>
      <c r="C265" s="64">
        <v>350</v>
      </c>
      <c r="D265" s="64">
        <v>250</v>
      </c>
      <c r="E265" s="64">
        <v>14.2</v>
      </c>
      <c r="F265" s="64">
        <f t="shared" si="46"/>
        <v>28.4</v>
      </c>
      <c r="G265" s="64">
        <f t="shared" si="47"/>
        <v>42.599999999999994</v>
      </c>
      <c r="H265" s="163">
        <f t="shared" si="48"/>
        <v>153.67993713349227</v>
      </c>
      <c r="I265" s="64">
        <v>27200</v>
      </c>
      <c r="J265" s="163">
        <f t="shared" si="49"/>
        <v>1554.2857142857142</v>
      </c>
      <c r="K265" s="64">
        <v>1887</v>
      </c>
      <c r="L265" s="164">
        <f t="shared" si="50"/>
        <v>13.303804825876059</v>
      </c>
      <c r="M265" s="165">
        <f t="shared" si="51"/>
        <v>75.203199999999995</v>
      </c>
      <c r="N265" s="64">
        <v>16046</v>
      </c>
      <c r="O265" s="163">
        <f t="shared" si="52"/>
        <v>1283.68</v>
      </c>
      <c r="P265" s="64">
        <v>1492</v>
      </c>
      <c r="Q265" s="163">
        <f t="shared" si="53"/>
        <v>10.218209599438079</v>
      </c>
      <c r="R265" s="188">
        <f t="shared" si="54"/>
        <v>46.803199999999997</v>
      </c>
      <c r="S265" s="64">
        <v>318900</v>
      </c>
      <c r="T265" s="64">
        <v>2044</v>
      </c>
    </row>
    <row r="266" spans="1:20" x14ac:dyDescent="0.25">
      <c r="A266" s="162" t="str">
        <f t="shared" si="44"/>
        <v>RECC  350*250*16</v>
      </c>
      <c r="B266" s="163">
        <f t="shared" si="45"/>
        <v>134.05632298327023</v>
      </c>
      <c r="C266" s="64">
        <v>350</v>
      </c>
      <c r="D266" s="64">
        <v>250</v>
      </c>
      <c r="E266" s="64">
        <v>16</v>
      </c>
      <c r="F266" s="64">
        <f t="shared" si="46"/>
        <v>32</v>
      </c>
      <c r="G266" s="64">
        <f t="shared" si="47"/>
        <v>48</v>
      </c>
      <c r="H266" s="163">
        <f t="shared" si="48"/>
        <v>170.77238596594935</v>
      </c>
      <c r="I266" s="64">
        <v>30011</v>
      </c>
      <c r="J266" s="163">
        <f t="shared" si="49"/>
        <v>1714.9142857142858</v>
      </c>
      <c r="K266" s="64">
        <v>2095</v>
      </c>
      <c r="L266" s="164">
        <f t="shared" si="50"/>
        <v>13.256577352766898</v>
      </c>
      <c r="M266" s="165">
        <f t="shared" si="51"/>
        <v>81.28</v>
      </c>
      <c r="N266" s="64">
        <v>17654</v>
      </c>
      <c r="O266" s="163">
        <f t="shared" si="52"/>
        <v>1412.32</v>
      </c>
      <c r="P266" s="64">
        <v>1655</v>
      </c>
      <c r="Q266" s="163">
        <f t="shared" si="53"/>
        <v>10.167466215336702</v>
      </c>
      <c r="R266" s="188">
        <f t="shared" si="54"/>
        <v>49.28</v>
      </c>
      <c r="S266" s="64">
        <v>353300</v>
      </c>
      <c r="T266" s="64">
        <v>2246</v>
      </c>
    </row>
    <row r="267" spans="1:20" x14ac:dyDescent="0.25">
      <c r="A267" s="166" t="str">
        <f t="shared" si="44"/>
        <v>RECC  400*200*8</v>
      </c>
      <c r="B267" s="168">
        <f t="shared" si="45"/>
        <v>71.62534459665406</v>
      </c>
      <c r="C267" s="167">
        <v>400</v>
      </c>
      <c r="D267" s="167">
        <v>200</v>
      </c>
      <c r="E267" s="167">
        <v>8</v>
      </c>
      <c r="F267" s="167">
        <f t="shared" si="46"/>
        <v>12</v>
      </c>
      <c r="G267" s="167">
        <f t="shared" si="47"/>
        <v>20</v>
      </c>
      <c r="H267" s="168">
        <f t="shared" si="48"/>
        <v>91.242477193189885</v>
      </c>
      <c r="I267" s="167">
        <v>19562</v>
      </c>
      <c r="J267" s="168">
        <f t="shared" si="49"/>
        <v>978.1</v>
      </c>
      <c r="K267" s="167">
        <v>1203</v>
      </c>
      <c r="L267" s="169">
        <f t="shared" si="50"/>
        <v>14.642259297883252</v>
      </c>
      <c r="M267" s="170">
        <f t="shared" si="51"/>
        <v>57.6</v>
      </c>
      <c r="N267" s="167">
        <v>6660</v>
      </c>
      <c r="O267" s="168">
        <f t="shared" si="52"/>
        <v>666</v>
      </c>
      <c r="P267" s="167">
        <v>743</v>
      </c>
      <c r="Q267" s="168">
        <f t="shared" si="53"/>
        <v>8.5435542359181404</v>
      </c>
      <c r="R267" s="189">
        <f t="shared" si="54"/>
        <v>25.6</v>
      </c>
      <c r="S267" s="167">
        <v>157300</v>
      </c>
      <c r="T267" s="171">
        <v>1135</v>
      </c>
    </row>
    <row r="268" spans="1:20" x14ac:dyDescent="0.25">
      <c r="A268" s="172" t="str">
        <f t="shared" si="44"/>
        <v>RECC  400*200*10</v>
      </c>
      <c r="B268" s="174">
        <f t="shared" si="45"/>
        <v>88.364600932271955</v>
      </c>
      <c r="C268" s="173">
        <v>400</v>
      </c>
      <c r="D268" s="173">
        <v>200</v>
      </c>
      <c r="E268" s="173">
        <v>10</v>
      </c>
      <c r="F268" s="173">
        <f t="shared" si="46"/>
        <v>15</v>
      </c>
      <c r="G268" s="173">
        <f t="shared" si="47"/>
        <v>25</v>
      </c>
      <c r="H268" s="174">
        <f t="shared" si="48"/>
        <v>112.56637061435917</v>
      </c>
      <c r="I268" s="173">
        <v>23914</v>
      </c>
      <c r="J268" s="174">
        <f t="shared" si="49"/>
        <v>1195.7</v>
      </c>
      <c r="K268" s="173">
        <v>1480</v>
      </c>
      <c r="L268" s="175">
        <f t="shared" si="50"/>
        <v>14.575443577227682</v>
      </c>
      <c r="M268" s="176">
        <f t="shared" si="51"/>
        <v>70</v>
      </c>
      <c r="N268" s="173">
        <v>8084</v>
      </c>
      <c r="O268" s="174">
        <f t="shared" si="52"/>
        <v>808.4</v>
      </c>
      <c r="P268" s="173">
        <v>911</v>
      </c>
      <c r="Q268" s="174">
        <f t="shared" si="53"/>
        <v>8.4743972933651932</v>
      </c>
      <c r="R268" s="190">
        <f t="shared" si="54"/>
        <v>30</v>
      </c>
      <c r="S268" s="173">
        <v>192600</v>
      </c>
      <c r="T268" s="177">
        <v>1376</v>
      </c>
    </row>
    <row r="269" spans="1:20" x14ac:dyDescent="0.25">
      <c r="A269" s="172" t="str">
        <f t="shared" si="44"/>
        <v>RECC  400*200*12.5</v>
      </c>
      <c r="B269" s="174">
        <f t="shared" si="45"/>
        <v>107.57929869584365</v>
      </c>
      <c r="C269" s="173">
        <v>400</v>
      </c>
      <c r="D269" s="173">
        <v>200</v>
      </c>
      <c r="E269" s="173">
        <v>12.5</v>
      </c>
      <c r="F269" s="173">
        <f t="shared" si="46"/>
        <v>25</v>
      </c>
      <c r="G269" s="173">
        <f t="shared" si="47"/>
        <v>37.5</v>
      </c>
      <c r="H269" s="174">
        <f t="shared" si="48"/>
        <v>137.04369260617025</v>
      </c>
      <c r="I269" s="173">
        <v>29063</v>
      </c>
      <c r="J269" s="174">
        <f t="shared" si="49"/>
        <v>1453.15</v>
      </c>
      <c r="K269" s="173">
        <v>1813</v>
      </c>
      <c r="L269" s="175">
        <f t="shared" si="50"/>
        <v>14.562659494584558</v>
      </c>
      <c r="M269" s="176">
        <f t="shared" si="51"/>
        <v>81.25</v>
      </c>
      <c r="N269" s="173">
        <v>9738</v>
      </c>
      <c r="O269" s="174">
        <f t="shared" si="52"/>
        <v>973.8</v>
      </c>
      <c r="P269" s="173">
        <v>1111</v>
      </c>
      <c r="Q269" s="174">
        <f t="shared" si="53"/>
        <v>8.4295687895523788</v>
      </c>
      <c r="R269" s="190">
        <f t="shared" si="54"/>
        <v>31.25</v>
      </c>
      <c r="S269" s="173">
        <v>234400</v>
      </c>
      <c r="T269" s="177">
        <v>1656</v>
      </c>
    </row>
    <row r="270" spans="1:20" x14ac:dyDescent="0.25">
      <c r="A270" s="172" t="str">
        <f t="shared" si="44"/>
        <v>RECC  400*200*14.2</v>
      </c>
      <c r="B270" s="174">
        <f t="shared" si="45"/>
        <v>120.63875064979143</v>
      </c>
      <c r="C270" s="173">
        <v>400</v>
      </c>
      <c r="D270" s="173">
        <v>200</v>
      </c>
      <c r="E270" s="173">
        <v>14.2</v>
      </c>
      <c r="F270" s="173">
        <f t="shared" si="46"/>
        <v>28.4</v>
      </c>
      <c r="G270" s="173">
        <f t="shared" si="47"/>
        <v>42.599999999999994</v>
      </c>
      <c r="H270" s="174">
        <f t="shared" si="48"/>
        <v>153.67993713349227</v>
      </c>
      <c r="I270" s="173">
        <v>32381</v>
      </c>
      <c r="J270" s="174">
        <f t="shared" si="49"/>
        <v>1619.05</v>
      </c>
      <c r="K270" s="173">
        <v>2032</v>
      </c>
      <c r="L270" s="175">
        <f t="shared" si="50"/>
        <v>14.515651779332032</v>
      </c>
      <c r="M270" s="176">
        <f t="shared" si="51"/>
        <v>89.403199999999998</v>
      </c>
      <c r="N270" s="173">
        <v>10784</v>
      </c>
      <c r="O270" s="174">
        <f t="shared" si="52"/>
        <v>1078.4000000000001</v>
      </c>
      <c r="P270" s="173">
        <v>1242</v>
      </c>
      <c r="Q270" s="174">
        <f t="shared" si="53"/>
        <v>8.3768618368600549</v>
      </c>
      <c r="R270" s="190">
        <f t="shared" si="54"/>
        <v>32.603200000000001</v>
      </c>
      <c r="S270" s="173">
        <v>261400</v>
      </c>
      <c r="T270" s="177">
        <v>1834</v>
      </c>
    </row>
    <row r="271" spans="1:20" x14ac:dyDescent="0.25">
      <c r="A271" s="178" t="str">
        <f t="shared" si="44"/>
        <v>RECC  400*200*16</v>
      </c>
      <c r="B271" s="180">
        <f t="shared" si="45"/>
        <v>134.05632298327023</v>
      </c>
      <c r="C271" s="179">
        <v>400</v>
      </c>
      <c r="D271" s="179">
        <v>200</v>
      </c>
      <c r="E271" s="179">
        <v>16</v>
      </c>
      <c r="F271" s="179">
        <f t="shared" si="46"/>
        <v>32</v>
      </c>
      <c r="G271" s="179">
        <f t="shared" si="47"/>
        <v>48</v>
      </c>
      <c r="H271" s="180">
        <f t="shared" si="48"/>
        <v>170.77238596594935</v>
      </c>
      <c r="I271" s="179">
        <v>35738</v>
      </c>
      <c r="J271" s="180">
        <f t="shared" si="49"/>
        <v>1786.9</v>
      </c>
      <c r="K271" s="179">
        <v>2256</v>
      </c>
      <c r="L271" s="181">
        <f t="shared" si="50"/>
        <v>14.46626109176291</v>
      </c>
      <c r="M271" s="182">
        <f t="shared" si="51"/>
        <v>97.28</v>
      </c>
      <c r="N271" s="179">
        <v>11824</v>
      </c>
      <c r="O271" s="180">
        <f t="shared" si="52"/>
        <v>1182.4000000000001</v>
      </c>
      <c r="P271" s="179">
        <v>1374</v>
      </c>
      <c r="Q271" s="180">
        <f t="shared" si="53"/>
        <v>8.3209591013042559</v>
      </c>
      <c r="R271" s="191">
        <f t="shared" si="54"/>
        <v>33.28</v>
      </c>
      <c r="S271" s="179">
        <v>288700</v>
      </c>
      <c r="T271" s="183">
        <v>2010</v>
      </c>
    </row>
    <row r="272" spans="1:20" x14ac:dyDescent="0.25">
      <c r="A272" s="162" t="str">
        <f t="shared" si="44"/>
        <v>RECC  450*250*8</v>
      </c>
      <c r="B272" s="163">
        <f t="shared" si="45"/>
        <v>84.185344596654062</v>
      </c>
      <c r="C272" s="64">
        <v>450</v>
      </c>
      <c r="D272" s="64">
        <v>250</v>
      </c>
      <c r="E272" s="64">
        <v>8</v>
      </c>
      <c r="F272" s="64">
        <f t="shared" si="46"/>
        <v>12</v>
      </c>
      <c r="G272" s="64">
        <f t="shared" si="47"/>
        <v>20</v>
      </c>
      <c r="H272" s="163">
        <f t="shared" si="48"/>
        <v>107.24247719318988</v>
      </c>
      <c r="I272" s="64">
        <v>30082</v>
      </c>
      <c r="J272" s="163">
        <f t="shared" si="49"/>
        <v>1336.9777777777779</v>
      </c>
      <c r="K272" s="64">
        <v>1622</v>
      </c>
      <c r="L272" s="164">
        <f t="shared" si="50"/>
        <v>16.748269278804848</v>
      </c>
      <c r="M272" s="165">
        <f t="shared" si="51"/>
        <v>65.599999999999994</v>
      </c>
      <c r="N272" s="64">
        <v>12142</v>
      </c>
      <c r="O272" s="163">
        <f t="shared" si="52"/>
        <v>971.36</v>
      </c>
      <c r="P272" s="64">
        <v>1081</v>
      </c>
      <c r="Q272" s="163">
        <f t="shared" si="53"/>
        <v>10.64049166041579</v>
      </c>
      <c r="R272" s="188">
        <f t="shared" si="54"/>
        <v>33.6</v>
      </c>
      <c r="S272" s="64">
        <v>270800</v>
      </c>
      <c r="T272" s="64">
        <v>1629</v>
      </c>
    </row>
    <row r="273" spans="1:20" x14ac:dyDescent="0.25">
      <c r="A273" s="162" t="str">
        <f t="shared" si="44"/>
        <v>RECC  450*250*10</v>
      </c>
      <c r="B273" s="163">
        <f t="shared" si="45"/>
        <v>104.06460093227194</v>
      </c>
      <c r="C273" s="64">
        <v>450</v>
      </c>
      <c r="D273" s="64">
        <v>250</v>
      </c>
      <c r="E273" s="64">
        <v>10</v>
      </c>
      <c r="F273" s="64">
        <f t="shared" si="46"/>
        <v>15</v>
      </c>
      <c r="G273" s="64">
        <f t="shared" si="47"/>
        <v>25</v>
      </c>
      <c r="H273" s="163">
        <f t="shared" si="48"/>
        <v>132.56637061435916</v>
      </c>
      <c r="I273" s="64">
        <v>36895</v>
      </c>
      <c r="J273" s="163">
        <f t="shared" si="49"/>
        <v>1639.7777777777778</v>
      </c>
      <c r="K273" s="64">
        <v>2000</v>
      </c>
      <c r="L273" s="164">
        <f t="shared" si="50"/>
        <v>16.682728198071455</v>
      </c>
      <c r="M273" s="165">
        <f t="shared" si="51"/>
        <v>80</v>
      </c>
      <c r="N273" s="64">
        <v>14819</v>
      </c>
      <c r="O273" s="163">
        <f t="shared" si="52"/>
        <v>1185.52</v>
      </c>
      <c r="P273" s="64">
        <v>1331</v>
      </c>
      <c r="Q273" s="163">
        <f t="shared" si="53"/>
        <v>10.572866920494107</v>
      </c>
      <c r="R273" s="188">
        <f t="shared" si="54"/>
        <v>40</v>
      </c>
      <c r="S273" s="64">
        <v>332800</v>
      </c>
      <c r="T273" s="64">
        <v>1986</v>
      </c>
    </row>
    <row r="274" spans="1:20" x14ac:dyDescent="0.25">
      <c r="A274" s="162" t="str">
        <f t="shared" si="44"/>
        <v>RECC  450*250*12.5</v>
      </c>
      <c r="B274" s="163">
        <f t="shared" si="45"/>
        <v>127.20429869584365</v>
      </c>
      <c r="C274" s="64">
        <v>450</v>
      </c>
      <c r="D274" s="64">
        <v>250</v>
      </c>
      <c r="E274" s="64">
        <v>12.5</v>
      </c>
      <c r="F274" s="64">
        <f t="shared" si="46"/>
        <v>25</v>
      </c>
      <c r="G274" s="64">
        <f t="shared" si="47"/>
        <v>37.5</v>
      </c>
      <c r="H274" s="163">
        <f t="shared" si="48"/>
        <v>162.04369260617025</v>
      </c>
      <c r="I274" s="64">
        <v>45026</v>
      </c>
      <c r="J274" s="163">
        <f t="shared" si="49"/>
        <v>2001.1555555555556</v>
      </c>
      <c r="K274" s="64">
        <v>2458</v>
      </c>
      <c r="L274" s="164">
        <f t="shared" si="50"/>
        <v>16.669233029628632</v>
      </c>
      <c r="M274" s="165">
        <f t="shared" si="51"/>
        <v>93.75</v>
      </c>
      <c r="N274" s="64">
        <v>17973</v>
      </c>
      <c r="O274" s="163">
        <f t="shared" si="52"/>
        <v>1437.84</v>
      </c>
      <c r="P274" s="64">
        <v>1631</v>
      </c>
      <c r="Q274" s="163">
        <f t="shared" si="53"/>
        <v>10.531596743604359</v>
      </c>
      <c r="R274" s="188">
        <f t="shared" si="54"/>
        <v>43.75</v>
      </c>
      <c r="S274" s="64">
        <v>407200</v>
      </c>
      <c r="T274" s="64">
        <v>2406</v>
      </c>
    </row>
    <row r="275" spans="1:20" x14ac:dyDescent="0.25">
      <c r="A275" s="162" t="str">
        <f t="shared" si="44"/>
        <v>RECC  450*250*14.2</v>
      </c>
      <c r="B275" s="163">
        <f t="shared" si="45"/>
        <v>142.93275064979144</v>
      </c>
      <c r="C275" s="64">
        <v>450</v>
      </c>
      <c r="D275" s="64">
        <v>250</v>
      </c>
      <c r="E275" s="64">
        <v>14.2</v>
      </c>
      <c r="F275" s="64">
        <f t="shared" si="46"/>
        <v>28.4</v>
      </c>
      <c r="G275" s="64">
        <f t="shared" si="47"/>
        <v>42.599999999999994</v>
      </c>
      <c r="H275" s="163">
        <f t="shared" si="48"/>
        <v>182.07993713349228</v>
      </c>
      <c r="I275" s="64">
        <v>50315</v>
      </c>
      <c r="J275" s="163">
        <f t="shared" si="49"/>
        <v>2236.2222222222222</v>
      </c>
      <c r="K275" s="64">
        <v>2759</v>
      </c>
      <c r="L275" s="164">
        <f t="shared" si="50"/>
        <v>16.623317166470379</v>
      </c>
      <c r="M275" s="165">
        <f t="shared" si="51"/>
        <v>103.6032</v>
      </c>
      <c r="N275" s="64">
        <v>19999</v>
      </c>
      <c r="O275" s="163">
        <f t="shared" si="52"/>
        <v>1599.92</v>
      </c>
      <c r="P275" s="64">
        <v>1827</v>
      </c>
      <c r="Q275" s="163">
        <f t="shared" si="53"/>
        <v>10.480284996109468</v>
      </c>
      <c r="R275" s="188">
        <f t="shared" si="54"/>
        <v>46.803199999999997</v>
      </c>
      <c r="S275" s="64">
        <v>455800</v>
      </c>
      <c r="T275" s="64">
        <v>2675</v>
      </c>
    </row>
    <row r="276" spans="1:20" x14ac:dyDescent="0.25">
      <c r="A276" s="162" t="str">
        <f t="shared" si="44"/>
        <v>RECC  450*250*16</v>
      </c>
      <c r="B276" s="163">
        <f t="shared" si="45"/>
        <v>159.17632298327024</v>
      </c>
      <c r="C276" s="64">
        <v>450</v>
      </c>
      <c r="D276" s="64">
        <v>250</v>
      </c>
      <c r="E276" s="64">
        <v>16</v>
      </c>
      <c r="F276" s="64">
        <f t="shared" si="46"/>
        <v>32</v>
      </c>
      <c r="G276" s="64">
        <f t="shared" si="47"/>
        <v>48</v>
      </c>
      <c r="H276" s="163">
        <f t="shared" si="48"/>
        <v>202.77238596594935</v>
      </c>
      <c r="I276" s="64">
        <v>55705</v>
      </c>
      <c r="J276" s="163">
        <f t="shared" si="49"/>
        <v>2475.7777777777778</v>
      </c>
      <c r="K276" s="64">
        <v>3070</v>
      </c>
      <c r="L276" s="164">
        <f t="shared" si="50"/>
        <v>16.574585777524959</v>
      </c>
      <c r="M276" s="165">
        <f t="shared" si="51"/>
        <v>113.28</v>
      </c>
      <c r="N276" s="64">
        <v>22041</v>
      </c>
      <c r="O276" s="163">
        <f t="shared" si="52"/>
        <v>1763.28</v>
      </c>
      <c r="P276" s="64">
        <v>2029</v>
      </c>
      <c r="Q276" s="163">
        <f t="shared" si="53"/>
        <v>10.425844461018196</v>
      </c>
      <c r="R276" s="188">
        <f t="shared" si="54"/>
        <v>49.28</v>
      </c>
      <c r="S276" s="64">
        <v>505500</v>
      </c>
      <c r="T276" s="64">
        <v>2947</v>
      </c>
    </row>
    <row r="277" spans="1:20" x14ac:dyDescent="0.25">
      <c r="A277" s="166" t="str">
        <f t="shared" si="44"/>
        <v>RECC  500*300*8</v>
      </c>
      <c r="B277" s="168">
        <f t="shared" si="45"/>
        <v>96.745344596654064</v>
      </c>
      <c r="C277" s="167">
        <v>500</v>
      </c>
      <c r="D277" s="167">
        <v>300</v>
      </c>
      <c r="E277" s="167">
        <v>8</v>
      </c>
      <c r="F277" s="167">
        <f t="shared" si="46"/>
        <v>12</v>
      </c>
      <c r="G277" s="167">
        <f t="shared" si="47"/>
        <v>20</v>
      </c>
      <c r="H277" s="168">
        <f t="shared" si="48"/>
        <v>123.24247719318988</v>
      </c>
      <c r="I277" s="167">
        <v>53762</v>
      </c>
      <c r="J277" s="168">
        <f t="shared" si="49"/>
        <v>2150.48</v>
      </c>
      <c r="K277" s="167">
        <v>2595</v>
      </c>
      <c r="L277" s="169">
        <f t="shared" si="50"/>
        <v>20.886107006388873</v>
      </c>
      <c r="M277" s="170">
        <f t="shared" si="51"/>
        <v>73.600000000000009</v>
      </c>
      <c r="N277" s="167">
        <v>24439</v>
      </c>
      <c r="O277" s="168">
        <f t="shared" si="52"/>
        <v>1629.2666666666667</v>
      </c>
      <c r="P277" s="167">
        <v>1826</v>
      </c>
      <c r="Q277" s="168">
        <f t="shared" si="53"/>
        <v>14.081908112689606</v>
      </c>
      <c r="R277" s="189">
        <f t="shared" si="54"/>
        <v>41.6</v>
      </c>
      <c r="S277" s="167">
        <v>524500</v>
      </c>
      <c r="T277" s="171">
        <v>2696</v>
      </c>
    </row>
    <row r="278" spans="1:20" x14ac:dyDescent="0.25">
      <c r="A278" s="172" t="str">
        <f t="shared" si="44"/>
        <v>RECC  500*300*10</v>
      </c>
      <c r="B278" s="174">
        <f t="shared" si="45"/>
        <v>119.76460093227195</v>
      </c>
      <c r="C278" s="173">
        <v>500</v>
      </c>
      <c r="D278" s="173">
        <v>300</v>
      </c>
      <c r="E278" s="173">
        <v>10</v>
      </c>
      <c r="F278" s="173">
        <f t="shared" si="46"/>
        <v>15</v>
      </c>
      <c r="G278" s="173">
        <f t="shared" si="47"/>
        <v>25</v>
      </c>
      <c r="H278" s="174">
        <f t="shared" si="48"/>
        <v>152.56637061435916</v>
      </c>
      <c r="I278" s="173">
        <v>65813</v>
      </c>
      <c r="J278" s="174">
        <f t="shared" si="49"/>
        <v>2632.52</v>
      </c>
      <c r="K278" s="173">
        <v>3196</v>
      </c>
      <c r="L278" s="175">
        <f t="shared" si="50"/>
        <v>20.769518888264844</v>
      </c>
      <c r="M278" s="176">
        <f t="shared" si="51"/>
        <v>90</v>
      </c>
      <c r="N278" s="173">
        <v>29780</v>
      </c>
      <c r="O278" s="174">
        <f t="shared" si="52"/>
        <v>1985.3333333333333</v>
      </c>
      <c r="P278" s="173">
        <v>2244</v>
      </c>
      <c r="Q278" s="174">
        <f t="shared" si="53"/>
        <v>13.971175214134083</v>
      </c>
      <c r="R278" s="190">
        <f t="shared" si="54"/>
        <v>50</v>
      </c>
      <c r="S278" s="173">
        <v>643900</v>
      </c>
      <c r="T278" s="177">
        <v>3281</v>
      </c>
    </row>
    <row r="279" spans="1:20" x14ac:dyDescent="0.25">
      <c r="A279" s="172" t="str">
        <f t="shared" si="44"/>
        <v>RECC  500*300*12.5</v>
      </c>
      <c r="B279" s="174">
        <f t="shared" si="45"/>
        <v>146.82929869584365</v>
      </c>
      <c r="C279" s="173">
        <v>500</v>
      </c>
      <c r="D279" s="173">
        <v>300</v>
      </c>
      <c r="E279" s="173">
        <v>12.5</v>
      </c>
      <c r="F279" s="173">
        <f t="shared" si="46"/>
        <v>25</v>
      </c>
      <c r="G279" s="173">
        <f t="shared" si="47"/>
        <v>37.5</v>
      </c>
      <c r="H279" s="174">
        <f t="shared" si="48"/>
        <v>187.04369260617025</v>
      </c>
      <c r="I279" s="173">
        <v>73700</v>
      </c>
      <c r="J279" s="174">
        <f t="shared" si="49"/>
        <v>2948</v>
      </c>
      <c r="K279" s="173">
        <v>3593</v>
      </c>
      <c r="L279" s="175">
        <f t="shared" si="50"/>
        <v>19.850077653828759</v>
      </c>
      <c r="M279" s="176">
        <f t="shared" si="51"/>
        <v>106.25</v>
      </c>
      <c r="N279" s="173">
        <v>33245</v>
      </c>
      <c r="O279" s="174">
        <f t="shared" si="52"/>
        <v>2216.3333333333335</v>
      </c>
      <c r="P279" s="173">
        <v>2519</v>
      </c>
      <c r="Q279" s="174">
        <f t="shared" si="53"/>
        <v>13.331887332294599</v>
      </c>
      <c r="R279" s="190">
        <f t="shared" si="54"/>
        <v>56.25</v>
      </c>
      <c r="S279" s="173">
        <v>722400</v>
      </c>
      <c r="T279" s="177">
        <v>3660</v>
      </c>
    </row>
    <row r="280" spans="1:20" x14ac:dyDescent="0.25">
      <c r="A280" s="172" t="str">
        <f t="shared" si="44"/>
        <v>RECC  500*300*14.2</v>
      </c>
      <c r="B280" s="174">
        <f t="shared" si="45"/>
        <v>165.22675064979146</v>
      </c>
      <c r="C280" s="173">
        <v>500</v>
      </c>
      <c r="D280" s="173">
        <v>300</v>
      </c>
      <c r="E280" s="173">
        <v>14.2</v>
      </c>
      <c r="F280" s="173">
        <f t="shared" si="46"/>
        <v>28.4</v>
      </c>
      <c r="G280" s="173">
        <f t="shared" si="47"/>
        <v>42.599999999999994</v>
      </c>
      <c r="H280" s="174">
        <f t="shared" si="48"/>
        <v>210.47993713349229</v>
      </c>
      <c r="I280" s="173">
        <v>81783</v>
      </c>
      <c r="J280" s="174">
        <f t="shared" si="49"/>
        <v>3271.32</v>
      </c>
      <c r="K280" s="173">
        <v>4005</v>
      </c>
      <c r="L280" s="175">
        <f t="shared" si="50"/>
        <v>19.71179464420328</v>
      </c>
      <c r="M280" s="176">
        <f t="shared" si="51"/>
        <v>117.8032</v>
      </c>
      <c r="N280" s="173">
        <v>36768</v>
      </c>
      <c r="O280" s="174">
        <f t="shared" si="52"/>
        <v>2451.1999999999998</v>
      </c>
      <c r="P280" s="173">
        <v>2804</v>
      </c>
      <c r="Q280" s="174">
        <f t="shared" si="53"/>
        <v>13.216901421682214</v>
      </c>
      <c r="R280" s="190">
        <f t="shared" si="54"/>
        <v>61.0032</v>
      </c>
      <c r="S280" s="173">
        <v>803300</v>
      </c>
      <c r="T280" s="177">
        <v>4044</v>
      </c>
    </row>
    <row r="281" spans="1:20" x14ac:dyDescent="0.25">
      <c r="A281" s="178" t="str">
        <f t="shared" si="44"/>
        <v>RECC  500*300*16</v>
      </c>
      <c r="B281" s="180">
        <f t="shared" si="45"/>
        <v>184.29632298327024</v>
      </c>
      <c r="C281" s="179">
        <v>500</v>
      </c>
      <c r="D281" s="179">
        <v>300</v>
      </c>
      <c r="E281" s="179">
        <v>16</v>
      </c>
      <c r="F281" s="179">
        <f t="shared" si="46"/>
        <v>32</v>
      </c>
      <c r="G281" s="179">
        <f t="shared" si="47"/>
        <v>48</v>
      </c>
      <c r="H281" s="180">
        <f t="shared" si="48"/>
        <v>234.77238596594935</v>
      </c>
      <c r="I281" s="179">
        <v>98777</v>
      </c>
      <c r="J281" s="180">
        <f t="shared" si="49"/>
        <v>3951.08</v>
      </c>
      <c r="K281" s="179">
        <v>4885</v>
      </c>
      <c r="L281" s="181">
        <f t="shared" si="50"/>
        <v>20.511830030246166</v>
      </c>
      <c r="M281" s="182">
        <f t="shared" si="51"/>
        <v>129.28</v>
      </c>
      <c r="N281" s="179">
        <v>44078</v>
      </c>
      <c r="O281" s="180">
        <f t="shared" si="52"/>
        <v>2938.5333333333333</v>
      </c>
      <c r="P281" s="179">
        <v>3408</v>
      </c>
      <c r="Q281" s="180">
        <f t="shared" si="53"/>
        <v>13.702109487406355</v>
      </c>
      <c r="R281" s="191">
        <f t="shared" si="54"/>
        <v>65.28</v>
      </c>
      <c r="S281" s="179">
        <v>974500</v>
      </c>
      <c r="T281" s="183">
        <v>4842</v>
      </c>
    </row>
  </sheetData>
  <sheetProtection algorithmName="SHA-512" hashValue="n9nHurMFxbgyPoKfTrdz3EVikNWgb3eI1QbbC1yFIaTLeMUpXOS1/Y6dBxRo7mPrHyd4/+gjGjgXitUNotdTFA==" saltValue="lcrFf5xyDv4C087OR44S0Q==" spinCount="100000" sheet="1" objects="1" scenarios="1"/>
  <mergeCells count="3">
    <mergeCell ref="C1:G1"/>
    <mergeCell ref="J1:K1"/>
    <mergeCell ref="O1:P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9A133-4010-46D2-A48F-9892E0FE14D5}">
  <sheetPr codeName="Feuil6">
    <tabColor rgb="FFFF0000"/>
  </sheetPr>
  <dimension ref="A1:T439"/>
  <sheetViews>
    <sheetView zoomScale="85" zoomScaleNormal="85" workbookViewId="0">
      <pane ySplit="2" topLeftCell="A3" activePane="bottomLeft" state="frozen"/>
      <selection activeCell="A4" sqref="A4"/>
      <selection pane="bottomLeft"/>
    </sheetView>
  </sheetViews>
  <sheetFormatPr baseColWidth="10" defaultRowHeight="15" x14ac:dyDescent="0.25"/>
  <cols>
    <col min="1" max="1" width="20.7109375" customWidth="1"/>
    <col min="5" max="7" width="11.42578125" hidden="1" customWidth="1"/>
    <col min="13" max="18" width="0" hidden="1" customWidth="1"/>
  </cols>
  <sheetData>
    <row r="1" spans="1:20" ht="30" x14ac:dyDescent="0.25">
      <c r="A1" s="216" t="s">
        <v>0</v>
      </c>
      <c r="B1" s="1" t="s">
        <v>1</v>
      </c>
      <c r="C1" s="1126" t="s">
        <v>2</v>
      </c>
      <c r="D1" s="1127"/>
      <c r="E1" s="236"/>
      <c r="F1" s="236"/>
      <c r="G1" s="236"/>
      <c r="H1" s="1" t="s">
        <v>3</v>
      </c>
      <c r="I1" s="2" t="s">
        <v>4</v>
      </c>
      <c r="J1" s="1129" t="s">
        <v>5</v>
      </c>
      <c r="K1" s="1130"/>
      <c r="L1" s="3" t="s">
        <v>6</v>
      </c>
      <c r="M1" s="233"/>
      <c r="N1" s="233"/>
      <c r="O1" s="233"/>
      <c r="P1" s="233"/>
      <c r="Q1" s="233"/>
      <c r="R1" s="233"/>
      <c r="S1" s="5" t="s">
        <v>8</v>
      </c>
      <c r="T1" s="6" t="s">
        <v>398</v>
      </c>
    </row>
    <row r="2" spans="1:20" ht="15.75" thickBot="1" x14ac:dyDescent="0.3">
      <c r="A2" s="7"/>
      <c r="B2" s="7" t="s">
        <v>10</v>
      </c>
      <c r="C2" s="8" t="s">
        <v>11</v>
      </c>
      <c r="D2" s="9" t="s">
        <v>213</v>
      </c>
      <c r="E2" s="235"/>
      <c r="F2" s="235"/>
      <c r="G2" s="235"/>
      <c r="H2" s="7" t="s">
        <v>16</v>
      </c>
      <c r="I2" s="8" t="s">
        <v>402</v>
      </c>
      <c r="J2" s="9" t="s">
        <v>403</v>
      </c>
      <c r="K2" s="9" t="s">
        <v>404</v>
      </c>
      <c r="L2" s="9" t="s">
        <v>405</v>
      </c>
      <c r="M2" s="235"/>
      <c r="N2" s="235"/>
      <c r="O2" s="235"/>
      <c r="P2" s="235"/>
      <c r="Q2" s="235"/>
      <c r="R2" s="235"/>
      <c r="S2" s="11" t="s">
        <v>27</v>
      </c>
      <c r="T2" s="9" t="s">
        <v>407</v>
      </c>
    </row>
    <row r="3" spans="1:20" ht="16.5" thickBot="1" x14ac:dyDescent="0.3">
      <c r="A3" s="217"/>
      <c r="B3" s="158" t="s">
        <v>420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60"/>
    </row>
    <row r="4" spans="1:20" x14ac:dyDescent="0.25">
      <c r="A4" s="64" t="str">
        <f t="shared" ref="A4:A67" si="0">$B$3&amp;"  "&amp;C4&amp;"*"&amp;D4</f>
        <v>CIRF  21.3*2</v>
      </c>
      <c r="B4" s="163">
        <f t="shared" ref="B4:B67" si="1">H4*0.785</f>
        <v>0.9519339899642435</v>
      </c>
      <c r="C4" s="64">
        <v>21.3</v>
      </c>
      <c r="D4" s="64">
        <v>2</v>
      </c>
      <c r="E4" s="64"/>
      <c r="F4" s="64"/>
      <c r="G4" s="64"/>
      <c r="H4" s="163">
        <f t="shared" ref="H4:H67" si="2">(C4^2-(C4-2*D4)^2)*PI()*0.01/4</f>
        <v>1.2126547642856604</v>
      </c>
      <c r="I4" s="163">
        <f t="shared" ref="I4:I67" si="3">(C4^4-(C4-2*D4)^4)*PI()*0.0001/64</f>
        <v>0.57069049025738539</v>
      </c>
      <c r="J4" s="163">
        <f t="shared" ref="J4:J67" si="4">I4/(C4*0.5*0.1)</f>
        <v>0.53585961526515047</v>
      </c>
      <c r="K4" s="164">
        <v>0.748</v>
      </c>
      <c r="L4" s="218">
        <f t="shared" ref="L4:L67" si="5">SQRT(I4/H4)</f>
        <v>0.68601202613365309</v>
      </c>
      <c r="M4" s="218"/>
      <c r="N4" s="218"/>
      <c r="O4" s="218"/>
      <c r="P4" s="218"/>
      <c r="Q4" s="218"/>
      <c r="R4" s="218"/>
      <c r="S4" s="64">
        <v>1.141</v>
      </c>
      <c r="T4">
        <v>1.0720000000000001</v>
      </c>
    </row>
    <row r="5" spans="1:20" x14ac:dyDescent="0.25">
      <c r="A5" s="64" t="str">
        <f t="shared" si="0"/>
        <v>CIRF  21.3*2.5</v>
      </c>
      <c r="B5" s="163">
        <f t="shared" si="1"/>
        <v>1.1590906095419544</v>
      </c>
      <c r="C5" s="64">
        <v>21.3</v>
      </c>
      <c r="D5" s="64">
        <v>2.5</v>
      </c>
      <c r="E5" s="64"/>
      <c r="F5" s="64"/>
      <c r="G5" s="64"/>
      <c r="H5" s="163">
        <f t="shared" si="2"/>
        <v>1.4765485471872031</v>
      </c>
      <c r="I5" s="163">
        <f t="shared" si="3"/>
        <v>0.66387468367220659</v>
      </c>
      <c r="J5" s="163">
        <f t="shared" si="4"/>
        <v>0.62335651049033469</v>
      </c>
      <c r="K5" s="164">
        <v>0.88900000000000001</v>
      </c>
      <c r="L5" s="218">
        <f t="shared" si="5"/>
        <v>0.6705315055983575</v>
      </c>
      <c r="M5" s="218"/>
      <c r="N5" s="218"/>
      <c r="O5" s="218"/>
      <c r="P5" s="218"/>
      <c r="Q5" s="218"/>
      <c r="R5" s="218"/>
      <c r="S5" s="64">
        <v>1.3280000000000001</v>
      </c>
      <c r="T5">
        <v>1.2470000000000001</v>
      </c>
    </row>
    <row r="6" spans="1:20" x14ac:dyDescent="0.25">
      <c r="A6" s="64" t="str">
        <f t="shared" si="0"/>
        <v>CIRF  21.3*3</v>
      </c>
      <c r="B6" s="163">
        <f t="shared" si="1"/>
        <v>1.3539164779543253</v>
      </c>
      <c r="C6" s="64">
        <v>21.3</v>
      </c>
      <c r="D6" s="64">
        <v>3</v>
      </c>
      <c r="E6" s="64"/>
      <c r="F6" s="64"/>
      <c r="G6" s="64"/>
      <c r="H6" s="163">
        <f t="shared" si="2"/>
        <v>1.7247343668207966</v>
      </c>
      <c r="I6" s="163">
        <f t="shared" si="3"/>
        <v>0.74139862675750468</v>
      </c>
      <c r="J6" s="163">
        <f t="shared" si="4"/>
        <v>0.69614894531221083</v>
      </c>
      <c r="K6" s="163">
        <v>1.01</v>
      </c>
      <c r="L6" s="218">
        <f t="shared" si="5"/>
        <v>0.65563900128043018</v>
      </c>
      <c r="M6" s="218"/>
      <c r="N6" s="218"/>
      <c r="O6" s="218"/>
      <c r="P6" s="218"/>
      <c r="Q6" s="218"/>
      <c r="R6" s="218"/>
      <c r="S6" s="64">
        <v>1.4830000000000001</v>
      </c>
      <c r="T6">
        <v>1.3919999999999999</v>
      </c>
    </row>
    <row r="7" spans="1:20" x14ac:dyDescent="0.25">
      <c r="A7" s="219" t="str">
        <f t="shared" si="0"/>
        <v>CIRF  26.9*2</v>
      </c>
      <c r="B7" s="168">
        <f t="shared" si="1"/>
        <v>1.2281428160678576</v>
      </c>
      <c r="C7" s="167">
        <v>26.9</v>
      </c>
      <c r="D7" s="167">
        <v>2</v>
      </c>
      <c r="E7" s="167"/>
      <c r="F7" s="167"/>
      <c r="G7" s="167"/>
      <c r="H7" s="168">
        <f t="shared" si="2"/>
        <v>1.5645131414877165</v>
      </c>
      <c r="I7" s="168">
        <f t="shared" si="3"/>
        <v>1.2203398067746873</v>
      </c>
      <c r="J7" s="168">
        <f t="shared" si="4"/>
        <v>0.90731584146816902</v>
      </c>
      <c r="K7" s="168">
        <v>1.24</v>
      </c>
      <c r="L7" s="220">
        <f t="shared" si="5"/>
        <v>0.88318316333589597</v>
      </c>
      <c r="M7" s="220"/>
      <c r="N7" s="220"/>
      <c r="O7" s="220"/>
      <c r="P7" s="220"/>
      <c r="Q7" s="220"/>
      <c r="R7" s="220"/>
      <c r="S7" s="167">
        <v>2.4410000000000003</v>
      </c>
      <c r="T7" s="221">
        <v>1.8149999999999999</v>
      </c>
    </row>
    <row r="8" spans="1:20" x14ac:dyDescent="0.25">
      <c r="A8" s="222" t="str">
        <f t="shared" si="0"/>
        <v>CIRF  26.9*2.5</v>
      </c>
      <c r="B8" s="174">
        <f t="shared" si="1"/>
        <v>1.5043516421714722</v>
      </c>
      <c r="C8" s="173">
        <v>26.9</v>
      </c>
      <c r="D8" s="173">
        <v>2.5</v>
      </c>
      <c r="E8" s="173"/>
      <c r="F8" s="173"/>
      <c r="G8" s="173"/>
      <c r="H8" s="174">
        <f t="shared" si="2"/>
        <v>1.9163715186897734</v>
      </c>
      <c r="I8" s="174">
        <f t="shared" si="3"/>
        <v>1.4411353366986932</v>
      </c>
      <c r="J8" s="174">
        <f t="shared" si="4"/>
        <v>1.0714760867648276</v>
      </c>
      <c r="K8" s="174">
        <v>1.49</v>
      </c>
      <c r="L8" s="223">
        <f t="shared" si="5"/>
        <v>0.86718654279226448</v>
      </c>
      <c r="M8" s="223"/>
      <c r="N8" s="223"/>
      <c r="O8" s="223"/>
      <c r="P8" s="223"/>
      <c r="Q8" s="223"/>
      <c r="R8" s="223"/>
      <c r="S8" s="173">
        <v>2.8820000000000001</v>
      </c>
      <c r="T8" s="224">
        <v>2.1429999999999998</v>
      </c>
    </row>
    <row r="9" spans="1:20" x14ac:dyDescent="0.25">
      <c r="A9" s="225" t="str">
        <f t="shared" si="0"/>
        <v>CIRF  26.9*3</v>
      </c>
      <c r="B9" s="180">
        <f t="shared" si="1"/>
        <v>1.768229717109747</v>
      </c>
      <c r="C9" s="179">
        <v>26.9</v>
      </c>
      <c r="D9" s="179">
        <v>3</v>
      </c>
      <c r="E9" s="179"/>
      <c r="F9" s="179"/>
      <c r="G9" s="179"/>
      <c r="H9" s="180">
        <f t="shared" si="2"/>
        <v>2.2525219326238815</v>
      </c>
      <c r="I9" s="180">
        <f t="shared" si="3"/>
        <v>1.6336696881596275</v>
      </c>
      <c r="J9" s="180">
        <f t="shared" si="4"/>
        <v>1.2146243034644071</v>
      </c>
      <c r="K9" s="180">
        <v>1.72</v>
      </c>
      <c r="L9" s="226">
        <f t="shared" si="5"/>
        <v>0.85162344965365999</v>
      </c>
      <c r="M9" s="226"/>
      <c r="N9" s="226"/>
      <c r="O9" s="226"/>
      <c r="P9" s="226"/>
      <c r="Q9" s="226"/>
      <c r="R9" s="226"/>
      <c r="S9" s="179">
        <v>3.2670000000000003</v>
      </c>
      <c r="T9" s="227">
        <v>2.4289999999999998</v>
      </c>
    </row>
    <row r="10" spans="1:20" x14ac:dyDescent="0.25">
      <c r="A10" s="64" t="str">
        <f t="shared" si="0"/>
        <v>CIRF  33.7*2</v>
      </c>
      <c r="B10" s="163">
        <f t="shared" si="1"/>
        <v>1.5635392477651051</v>
      </c>
      <c r="C10" s="64">
        <v>33.700000000000003</v>
      </c>
      <c r="D10" s="64">
        <v>2</v>
      </c>
      <c r="E10" s="64"/>
      <c r="F10" s="64"/>
      <c r="G10" s="64"/>
      <c r="H10" s="163">
        <f t="shared" si="2"/>
        <v>1.99176974237593</v>
      </c>
      <c r="I10" s="163">
        <f t="shared" si="3"/>
        <v>2.5118457192320656</v>
      </c>
      <c r="J10" s="163">
        <f t="shared" si="4"/>
        <v>1.490709625657012</v>
      </c>
      <c r="K10" s="163">
        <v>2.0099999999999998</v>
      </c>
      <c r="L10" s="218">
        <f t="shared" si="5"/>
        <v>1.1229926535823822</v>
      </c>
      <c r="M10" s="218"/>
      <c r="N10" s="218"/>
      <c r="O10" s="218"/>
      <c r="P10" s="218"/>
      <c r="Q10" s="218"/>
      <c r="R10" s="218"/>
      <c r="S10" s="64">
        <v>5.0240000000000009</v>
      </c>
      <c r="T10">
        <v>2.9809999999999999</v>
      </c>
    </row>
    <row r="11" spans="1:20" x14ac:dyDescent="0.25">
      <c r="A11" s="64" t="str">
        <f t="shared" si="0"/>
        <v>CIRF  33.7*2.5</v>
      </c>
      <c r="B11" s="163">
        <f t="shared" si="1"/>
        <v>1.9235971817930311</v>
      </c>
      <c r="C11" s="64">
        <v>33.700000000000003</v>
      </c>
      <c r="D11" s="64">
        <v>2.5</v>
      </c>
      <c r="E11" s="64"/>
      <c r="F11" s="64"/>
      <c r="G11" s="64"/>
      <c r="H11" s="163">
        <f t="shared" si="2"/>
        <v>2.4504422698000394</v>
      </c>
      <c r="I11" s="163">
        <f t="shared" si="3"/>
        <v>3.0008422341255012</v>
      </c>
      <c r="J11" s="163">
        <f t="shared" si="4"/>
        <v>1.7809152724780419</v>
      </c>
      <c r="K11" s="163">
        <v>2.44</v>
      </c>
      <c r="L11" s="218">
        <f t="shared" si="5"/>
        <v>1.1066221125569469</v>
      </c>
      <c r="M11" s="218"/>
      <c r="N11" s="218"/>
      <c r="O11" s="218"/>
      <c r="P11" s="218"/>
      <c r="Q11" s="218"/>
      <c r="R11" s="218"/>
      <c r="S11" s="64">
        <v>6.0020000000000007</v>
      </c>
      <c r="T11">
        <v>3.5619999999999998</v>
      </c>
    </row>
    <row r="12" spans="1:20" x14ac:dyDescent="0.25">
      <c r="A12" s="64" t="str">
        <f t="shared" si="0"/>
        <v>CIRF  33.7*3</v>
      </c>
      <c r="B12" s="163">
        <f t="shared" si="1"/>
        <v>2.2713243646556172</v>
      </c>
      <c r="C12" s="64">
        <v>33.700000000000003</v>
      </c>
      <c r="D12" s="64">
        <v>3</v>
      </c>
      <c r="E12" s="64"/>
      <c r="F12" s="64"/>
      <c r="G12" s="64"/>
      <c r="H12" s="163">
        <f t="shared" si="2"/>
        <v>2.8934068339562002</v>
      </c>
      <c r="I12" s="163">
        <f t="shared" si="3"/>
        <v>3.4413095855512315</v>
      </c>
      <c r="J12" s="163">
        <f t="shared" si="4"/>
        <v>2.0423202288137867</v>
      </c>
      <c r="K12" s="163">
        <v>2.84</v>
      </c>
      <c r="L12" s="218">
        <f t="shared" si="5"/>
        <v>1.0905789746735448</v>
      </c>
      <c r="M12" s="218"/>
      <c r="N12" s="218"/>
      <c r="O12" s="218"/>
      <c r="P12" s="218"/>
      <c r="Q12" s="218"/>
      <c r="R12" s="218"/>
      <c r="S12" s="64">
        <v>6.883</v>
      </c>
      <c r="T12">
        <v>4.085</v>
      </c>
    </row>
    <row r="13" spans="1:20" x14ac:dyDescent="0.25">
      <c r="A13" s="219" t="str">
        <f t="shared" si="0"/>
        <v>CIRF  42.4*2</v>
      </c>
      <c r="B13" s="168">
        <f t="shared" si="1"/>
        <v>1.9926493883189347</v>
      </c>
      <c r="C13" s="167">
        <v>42.4</v>
      </c>
      <c r="D13" s="167">
        <v>2</v>
      </c>
      <c r="E13" s="167"/>
      <c r="F13" s="167"/>
      <c r="G13" s="167"/>
      <c r="H13" s="168">
        <f t="shared" si="2"/>
        <v>2.5384068641005535</v>
      </c>
      <c r="I13" s="168">
        <f t="shared" si="3"/>
        <v>5.1915497184584511</v>
      </c>
      <c r="J13" s="168">
        <f t="shared" si="4"/>
        <v>2.448844206820024</v>
      </c>
      <c r="K13" s="168">
        <v>3.27</v>
      </c>
      <c r="L13" s="220">
        <f t="shared" si="5"/>
        <v>1.4301048912579801</v>
      </c>
      <c r="M13" s="220"/>
      <c r="N13" s="220"/>
      <c r="O13" s="220"/>
      <c r="P13" s="220"/>
      <c r="Q13" s="220"/>
      <c r="R13" s="220"/>
      <c r="S13" s="167">
        <v>10.38</v>
      </c>
      <c r="T13" s="221">
        <v>4.8979999999999997</v>
      </c>
    </row>
    <row r="14" spans="1:20" x14ac:dyDescent="0.25">
      <c r="A14" s="222" t="str">
        <f t="shared" si="0"/>
        <v>CIRF  42.4*2.5</v>
      </c>
      <c r="B14" s="174">
        <f t="shared" si="1"/>
        <v>2.4599848574853178</v>
      </c>
      <c r="C14" s="173">
        <v>42.4</v>
      </c>
      <c r="D14" s="173">
        <v>2.5</v>
      </c>
      <c r="E14" s="173"/>
      <c r="F14" s="173"/>
      <c r="G14" s="173"/>
      <c r="H14" s="174">
        <f t="shared" si="2"/>
        <v>3.1337386719558187</v>
      </c>
      <c r="I14" s="174">
        <f t="shared" si="3"/>
        <v>6.260661462300134</v>
      </c>
      <c r="J14" s="174">
        <f t="shared" si="4"/>
        <v>2.9531421991981763</v>
      </c>
      <c r="K14" s="174">
        <v>3.99</v>
      </c>
      <c r="L14" s="223">
        <f t="shared" si="5"/>
        <v>1.4134443745687342</v>
      </c>
      <c r="M14" s="223"/>
      <c r="N14" s="223"/>
      <c r="O14" s="223"/>
      <c r="P14" s="223"/>
      <c r="Q14" s="223"/>
      <c r="R14" s="223"/>
      <c r="S14" s="173">
        <v>12.520000000000001</v>
      </c>
      <c r="T14" s="224">
        <v>5.9059999999999997</v>
      </c>
    </row>
    <row r="15" spans="1:20" x14ac:dyDescent="0.25">
      <c r="A15" s="222" t="str">
        <f t="shared" si="0"/>
        <v>CIRF  42.4*3</v>
      </c>
      <c r="B15" s="174">
        <f t="shared" si="1"/>
        <v>2.9149895754863624</v>
      </c>
      <c r="C15" s="173">
        <v>42.4</v>
      </c>
      <c r="D15" s="173">
        <v>3</v>
      </c>
      <c r="E15" s="173"/>
      <c r="F15" s="173"/>
      <c r="G15" s="173"/>
      <c r="H15" s="174">
        <f t="shared" si="2"/>
        <v>3.7133625165431368</v>
      </c>
      <c r="I15" s="174">
        <f t="shared" si="3"/>
        <v>7.2473696235372396</v>
      </c>
      <c r="J15" s="174">
        <f t="shared" si="4"/>
        <v>3.4185705771402071</v>
      </c>
      <c r="K15" s="174">
        <v>4.67</v>
      </c>
      <c r="L15" s="223">
        <f t="shared" si="5"/>
        <v>1.3970325694127534</v>
      </c>
      <c r="M15" s="223"/>
      <c r="N15" s="223"/>
      <c r="O15" s="223"/>
      <c r="P15" s="223"/>
      <c r="Q15" s="223"/>
      <c r="R15" s="223"/>
      <c r="S15" s="173">
        <v>14.490000000000002</v>
      </c>
      <c r="T15" s="224">
        <v>6.8369999999999997</v>
      </c>
    </row>
    <row r="16" spans="1:20" x14ac:dyDescent="0.25">
      <c r="A16" s="225" t="str">
        <f t="shared" si="0"/>
        <v>CIRF  42.4*4</v>
      </c>
      <c r="B16" s="180">
        <f t="shared" si="1"/>
        <v>3.7880067579924299</v>
      </c>
      <c r="C16" s="179">
        <v>42.4</v>
      </c>
      <c r="D16" s="179">
        <v>4</v>
      </c>
      <c r="E16" s="179"/>
      <c r="F16" s="179"/>
      <c r="G16" s="179"/>
      <c r="H16" s="180">
        <f t="shared" si="2"/>
        <v>4.8254863159139232</v>
      </c>
      <c r="I16" s="180">
        <f t="shared" si="3"/>
        <v>8.9908461038108207</v>
      </c>
      <c r="J16" s="180">
        <f t="shared" si="4"/>
        <v>4.2409651433069904</v>
      </c>
      <c r="K16" s="180">
        <v>5.92</v>
      </c>
      <c r="L16" s="226">
        <f t="shared" si="5"/>
        <v>1.3649908424601243</v>
      </c>
      <c r="M16" s="226"/>
      <c r="N16" s="226"/>
      <c r="O16" s="226"/>
      <c r="P16" s="226"/>
      <c r="Q16" s="226"/>
      <c r="R16" s="226"/>
      <c r="S16" s="179">
        <v>17.98</v>
      </c>
      <c r="T16" s="227">
        <v>8.4819999999999993</v>
      </c>
    </row>
    <row r="17" spans="1:20" x14ac:dyDescent="0.25">
      <c r="A17" s="64" t="str">
        <f t="shared" si="0"/>
        <v>CIRF  48.3*2</v>
      </c>
      <c r="B17" s="163">
        <f t="shared" si="1"/>
        <v>2.2836551158209573</v>
      </c>
      <c r="C17" s="64">
        <v>48.3</v>
      </c>
      <c r="D17" s="64">
        <v>2</v>
      </c>
      <c r="E17" s="64"/>
      <c r="F17" s="64"/>
      <c r="G17" s="64"/>
      <c r="H17" s="163">
        <f t="shared" si="2"/>
        <v>2.9091147972241491</v>
      </c>
      <c r="I17" s="163">
        <f t="shared" si="3"/>
        <v>7.8098459485629137</v>
      </c>
      <c r="J17" s="163">
        <f t="shared" si="4"/>
        <v>3.233890661930813</v>
      </c>
      <c r="K17" s="163">
        <v>4.29</v>
      </c>
      <c r="L17" s="218">
        <f t="shared" si="5"/>
        <v>1.6384787151501234</v>
      </c>
      <c r="M17" s="218"/>
      <c r="N17" s="218"/>
      <c r="O17" s="218"/>
      <c r="P17" s="218"/>
      <c r="Q17" s="218"/>
      <c r="R17" s="218"/>
      <c r="S17" s="64">
        <v>15.62</v>
      </c>
      <c r="T17">
        <v>6.468</v>
      </c>
    </row>
    <row r="18" spans="1:20" x14ac:dyDescent="0.25">
      <c r="A18" s="64" t="str">
        <f t="shared" si="0"/>
        <v>CIRF  48.3*2.5</v>
      </c>
      <c r="B18" s="163">
        <f t="shared" si="1"/>
        <v>2.8237420168628473</v>
      </c>
      <c r="C18" s="64">
        <v>48.3</v>
      </c>
      <c r="D18" s="64">
        <v>2.5</v>
      </c>
      <c r="E18" s="64"/>
      <c r="F18" s="64"/>
      <c r="G18" s="64"/>
      <c r="H18" s="163">
        <f t="shared" si="2"/>
        <v>3.597123588360315</v>
      </c>
      <c r="I18" s="163">
        <f t="shared" si="3"/>
        <v>9.4599404328942267</v>
      </c>
      <c r="J18" s="163">
        <f t="shared" si="4"/>
        <v>3.9171595995421229</v>
      </c>
      <c r="K18" s="163">
        <v>5.25</v>
      </c>
      <c r="L18" s="218">
        <f t="shared" si="5"/>
        <v>1.6216850804024805</v>
      </c>
      <c r="M18" s="218"/>
      <c r="N18" s="218"/>
      <c r="O18" s="218"/>
      <c r="P18" s="218"/>
      <c r="Q18" s="218"/>
      <c r="R18" s="218"/>
      <c r="S18" s="64">
        <v>18.919999999999998</v>
      </c>
      <c r="T18">
        <v>7.8339999999999996</v>
      </c>
    </row>
    <row r="19" spans="1:20" x14ac:dyDescent="0.25">
      <c r="A19" s="64" t="str">
        <f t="shared" si="0"/>
        <v>CIRF  48.3*3</v>
      </c>
      <c r="B19" s="163">
        <f t="shared" si="1"/>
        <v>3.3514981667393959</v>
      </c>
      <c r="C19" s="64">
        <v>48.3</v>
      </c>
      <c r="D19" s="64">
        <v>3</v>
      </c>
      <c r="E19" s="64"/>
      <c r="F19" s="64"/>
      <c r="G19" s="64"/>
      <c r="H19" s="163">
        <f t="shared" si="2"/>
        <v>4.2694244162285298</v>
      </c>
      <c r="I19" s="163">
        <f t="shared" si="3"/>
        <v>10.999584962555573</v>
      </c>
      <c r="J19" s="163">
        <f t="shared" si="4"/>
        <v>4.5546935662756001</v>
      </c>
      <c r="K19" s="163">
        <v>6.17</v>
      </c>
      <c r="L19" s="218">
        <f t="shared" si="5"/>
        <v>1.6051051367433846</v>
      </c>
      <c r="M19" s="218"/>
      <c r="N19" s="218"/>
      <c r="O19" s="218"/>
      <c r="P19" s="218"/>
      <c r="Q19" s="218"/>
      <c r="R19" s="218"/>
      <c r="S19" s="64">
        <v>22</v>
      </c>
      <c r="T19">
        <v>9.109</v>
      </c>
    </row>
    <row r="20" spans="1:20" x14ac:dyDescent="0.25">
      <c r="A20" s="64" t="str">
        <f t="shared" si="0"/>
        <v>CIRF  48.3*4</v>
      </c>
      <c r="B20" s="163">
        <f t="shared" si="1"/>
        <v>4.3700182129964746</v>
      </c>
      <c r="C20" s="64">
        <v>48.3</v>
      </c>
      <c r="D20" s="64">
        <v>4</v>
      </c>
      <c r="E20" s="64"/>
      <c r="F20" s="64"/>
      <c r="G20" s="64"/>
      <c r="H20" s="163">
        <f t="shared" si="2"/>
        <v>5.5669021821611144</v>
      </c>
      <c r="I20" s="163">
        <f t="shared" si="3"/>
        <v>13.767575372979927</v>
      </c>
      <c r="J20" s="163">
        <f t="shared" si="4"/>
        <v>5.7008593676935515</v>
      </c>
      <c r="K20" s="163">
        <v>7.87</v>
      </c>
      <c r="L20" s="218">
        <f t="shared" si="5"/>
        <v>1.5726132709601555</v>
      </c>
      <c r="M20" s="218"/>
      <c r="N20" s="218"/>
      <c r="O20" s="218"/>
      <c r="P20" s="218"/>
      <c r="Q20" s="218"/>
      <c r="R20" s="218"/>
      <c r="S20" s="64">
        <v>27.54</v>
      </c>
      <c r="T20">
        <v>11.4</v>
      </c>
    </row>
    <row r="21" spans="1:20" x14ac:dyDescent="0.25">
      <c r="A21" s="64" t="str">
        <f t="shared" si="0"/>
        <v>CIRF  48.3*5</v>
      </c>
      <c r="B21" s="163">
        <f t="shared" si="1"/>
        <v>5.3392152545921938</v>
      </c>
      <c r="C21" s="64">
        <v>48.3</v>
      </c>
      <c r="D21" s="64">
        <v>5</v>
      </c>
      <c r="E21" s="64"/>
      <c r="F21" s="64"/>
      <c r="G21" s="64"/>
      <c r="H21" s="163">
        <f t="shared" si="2"/>
        <v>6.8015480950219027</v>
      </c>
      <c r="I21" s="163">
        <f t="shared" si="3"/>
        <v>16.15274151281395</v>
      </c>
      <c r="J21" s="163">
        <f t="shared" si="4"/>
        <v>6.6885058024074331</v>
      </c>
      <c r="K21" s="163">
        <v>9.42</v>
      </c>
      <c r="L21" s="218">
        <f t="shared" si="5"/>
        <v>1.5410588892057304</v>
      </c>
      <c r="M21" s="218"/>
      <c r="N21" s="218"/>
      <c r="O21" s="218"/>
      <c r="P21" s="218"/>
      <c r="Q21" s="218"/>
      <c r="R21" s="218"/>
      <c r="S21" s="64">
        <v>32.31</v>
      </c>
      <c r="T21">
        <v>13.38</v>
      </c>
    </row>
    <row r="22" spans="1:20" x14ac:dyDescent="0.25">
      <c r="A22" s="219" t="str">
        <f t="shared" si="0"/>
        <v>CIRF  60.3*2</v>
      </c>
      <c r="B22" s="168">
        <f t="shared" si="1"/>
        <v>2.8755311717572738</v>
      </c>
      <c r="C22" s="167">
        <v>60.3</v>
      </c>
      <c r="D22" s="167">
        <v>2</v>
      </c>
      <c r="E22" s="167"/>
      <c r="F22" s="167"/>
      <c r="G22" s="167"/>
      <c r="H22" s="168">
        <f t="shared" si="2"/>
        <v>3.6630970340856992</v>
      </c>
      <c r="I22" s="168">
        <f t="shared" si="3"/>
        <v>15.581395332899863</v>
      </c>
      <c r="J22" s="168">
        <f t="shared" si="4"/>
        <v>5.1679586510447306</v>
      </c>
      <c r="K22" s="168">
        <v>6.8</v>
      </c>
      <c r="L22" s="220">
        <f t="shared" si="5"/>
        <v>2.0624287866493725</v>
      </c>
      <c r="M22" s="220"/>
      <c r="N22" s="220"/>
      <c r="O22" s="220"/>
      <c r="P22" s="220"/>
      <c r="Q22" s="220"/>
      <c r="R22" s="220"/>
      <c r="S22" s="167">
        <v>31.160000000000004</v>
      </c>
      <c r="T22" s="221">
        <v>10.34</v>
      </c>
    </row>
    <row r="23" spans="1:20" x14ac:dyDescent="0.25">
      <c r="A23" s="222" t="str">
        <f t="shared" si="0"/>
        <v>CIRF  60.3*2.5</v>
      </c>
      <c r="B23" s="174">
        <f t="shared" si="1"/>
        <v>3.5635870867832424</v>
      </c>
      <c r="C23" s="173">
        <v>60.3</v>
      </c>
      <c r="D23" s="173">
        <v>2.5</v>
      </c>
      <c r="E23" s="173"/>
      <c r="F23" s="173"/>
      <c r="G23" s="173"/>
      <c r="H23" s="174">
        <f t="shared" si="2"/>
        <v>4.5396013844372511</v>
      </c>
      <c r="I23" s="174">
        <f t="shared" si="3"/>
        <v>18.993067997295096</v>
      </c>
      <c r="J23" s="174">
        <f t="shared" si="4"/>
        <v>6.2995250405622203</v>
      </c>
      <c r="K23" s="174">
        <v>8.36</v>
      </c>
      <c r="L23" s="223">
        <f t="shared" si="5"/>
        <v>2.0454492171647769</v>
      </c>
      <c r="M23" s="223"/>
      <c r="N23" s="223"/>
      <c r="O23" s="223"/>
      <c r="P23" s="223"/>
      <c r="Q23" s="223"/>
      <c r="R23" s="223"/>
      <c r="S23" s="173">
        <v>37.99</v>
      </c>
      <c r="T23" s="224">
        <v>12.6</v>
      </c>
    </row>
    <row r="24" spans="1:20" x14ac:dyDescent="0.25">
      <c r="A24" s="222" t="str">
        <f t="shared" si="0"/>
        <v>CIRF  60.3*3</v>
      </c>
      <c r="B24" s="174">
        <f t="shared" si="1"/>
        <v>4.2393122506438701</v>
      </c>
      <c r="C24" s="173">
        <v>60.3</v>
      </c>
      <c r="D24" s="173">
        <v>3</v>
      </c>
      <c r="E24" s="173"/>
      <c r="F24" s="173"/>
      <c r="G24" s="173"/>
      <c r="H24" s="174">
        <f t="shared" si="2"/>
        <v>5.4003977715208533</v>
      </c>
      <c r="I24" s="174">
        <f t="shared" si="3"/>
        <v>22.224594474000487</v>
      </c>
      <c r="J24" s="174">
        <f t="shared" si="4"/>
        <v>7.3713414507464297</v>
      </c>
      <c r="K24" s="174">
        <v>9.86</v>
      </c>
      <c r="L24" s="223">
        <f t="shared" si="5"/>
        <v>2.0286356252417534</v>
      </c>
      <c r="M24" s="223"/>
      <c r="N24" s="223"/>
      <c r="O24" s="223"/>
      <c r="P24" s="223"/>
      <c r="Q24" s="223"/>
      <c r="R24" s="223"/>
      <c r="S24" s="173">
        <v>44.45</v>
      </c>
      <c r="T24" s="224">
        <v>14.74</v>
      </c>
    </row>
    <row r="25" spans="1:20" x14ac:dyDescent="0.25">
      <c r="A25" s="222" t="str">
        <f t="shared" si="0"/>
        <v>CIRF  60.3*4</v>
      </c>
      <c r="B25" s="174">
        <f t="shared" si="1"/>
        <v>5.5537703248691104</v>
      </c>
      <c r="C25" s="173">
        <v>60.3</v>
      </c>
      <c r="D25" s="173">
        <v>4</v>
      </c>
      <c r="E25" s="173"/>
      <c r="F25" s="173"/>
      <c r="G25" s="173"/>
      <c r="H25" s="174">
        <f t="shared" si="2"/>
        <v>7.0748666558842164</v>
      </c>
      <c r="I25" s="174">
        <f t="shared" si="3"/>
        <v>28.172914946229728</v>
      </c>
      <c r="J25" s="174">
        <f t="shared" si="4"/>
        <v>9.3442503967594455</v>
      </c>
      <c r="K25" s="174">
        <v>12.7</v>
      </c>
      <c r="L25" s="223">
        <f t="shared" si="5"/>
        <v>1.9955231143737722</v>
      </c>
      <c r="M25" s="223"/>
      <c r="N25" s="223"/>
      <c r="O25" s="223"/>
      <c r="P25" s="223"/>
      <c r="Q25" s="223"/>
      <c r="R25" s="223"/>
      <c r="S25" s="173">
        <v>56.35</v>
      </c>
      <c r="T25" s="224">
        <v>18.690000000000001</v>
      </c>
    </row>
    <row r="26" spans="1:20" x14ac:dyDescent="0.25">
      <c r="A26" s="225" t="str">
        <f t="shared" si="0"/>
        <v>CIRF  60.3*5</v>
      </c>
      <c r="B26" s="180">
        <f t="shared" si="1"/>
        <v>6.8189053944329858</v>
      </c>
      <c r="C26" s="179">
        <v>60.3</v>
      </c>
      <c r="D26" s="179">
        <v>5</v>
      </c>
      <c r="E26" s="179"/>
      <c r="F26" s="179"/>
      <c r="G26" s="179"/>
      <c r="H26" s="180">
        <f t="shared" si="2"/>
        <v>8.6865036871757777</v>
      </c>
      <c r="I26" s="180">
        <f t="shared" si="3"/>
        <v>33.47659081611846</v>
      </c>
      <c r="J26" s="180">
        <f t="shared" si="4"/>
        <v>11.103346871017731</v>
      </c>
      <c r="K26" s="180">
        <v>15.3</v>
      </c>
      <c r="L26" s="226">
        <f t="shared" si="5"/>
        <v>1.963125696434133</v>
      </c>
      <c r="M26" s="226"/>
      <c r="N26" s="226"/>
      <c r="O26" s="226"/>
      <c r="P26" s="226"/>
      <c r="Q26" s="226"/>
      <c r="R26" s="226"/>
      <c r="S26" s="179">
        <v>66.95</v>
      </c>
      <c r="T26" s="227">
        <v>22.21</v>
      </c>
    </row>
    <row r="27" spans="1:20" x14ac:dyDescent="0.25">
      <c r="A27" s="64" t="str">
        <f t="shared" si="0"/>
        <v>CIRF  76.1*2</v>
      </c>
      <c r="B27" s="163">
        <f t="shared" si="1"/>
        <v>3.6548346454067593</v>
      </c>
      <c r="C27" s="64">
        <v>76.099999999999994</v>
      </c>
      <c r="D27" s="64">
        <v>2</v>
      </c>
      <c r="E27" s="64"/>
      <c r="F27" s="64"/>
      <c r="G27" s="64"/>
      <c r="H27" s="163">
        <f t="shared" si="2"/>
        <v>4.6558403126200751</v>
      </c>
      <c r="I27" s="163">
        <f t="shared" si="3"/>
        <v>31.978697385234888</v>
      </c>
      <c r="J27" s="163">
        <f t="shared" si="4"/>
        <v>8.4043882747003646</v>
      </c>
      <c r="K27" s="188">
        <v>11</v>
      </c>
      <c r="L27" s="218">
        <f t="shared" si="5"/>
        <v>2.6207847107307383</v>
      </c>
      <c r="M27" s="218"/>
      <c r="N27" s="218"/>
      <c r="O27" s="218"/>
      <c r="P27" s="218"/>
      <c r="Q27" s="218"/>
      <c r="R27" s="218"/>
      <c r="S27" s="64">
        <v>63.960000000000008</v>
      </c>
      <c r="T27">
        <v>16.809999999999999</v>
      </c>
    </row>
    <row r="28" spans="1:20" x14ac:dyDescent="0.25">
      <c r="A28" s="64" t="str">
        <f t="shared" si="0"/>
        <v>CIRF  76.1*2.5</v>
      </c>
      <c r="B28" s="163">
        <f t="shared" si="1"/>
        <v>4.5377164288450977</v>
      </c>
      <c r="C28" s="64">
        <v>76.099999999999994</v>
      </c>
      <c r="D28" s="64">
        <v>2.5</v>
      </c>
      <c r="E28" s="64"/>
      <c r="F28" s="64"/>
      <c r="G28" s="64"/>
      <c r="H28" s="163">
        <f t="shared" si="2"/>
        <v>5.7805304826052195</v>
      </c>
      <c r="I28" s="163">
        <f t="shared" si="3"/>
        <v>39.186288398211801</v>
      </c>
      <c r="J28" s="163">
        <f t="shared" si="4"/>
        <v>10.298630328045151</v>
      </c>
      <c r="K28" s="188">
        <v>13.5</v>
      </c>
      <c r="L28" s="218">
        <f t="shared" si="5"/>
        <v>2.6036536828080648</v>
      </c>
      <c r="M28" s="218"/>
      <c r="N28" s="218"/>
      <c r="O28" s="218"/>
      <c r="P28" s="218"/>
      <c r="Q28" s="218"/>
      <c r="R28" s="218"/>
      <c r="S28" s="64">
        <v>78.37</v>
      </c>
      <c r="T28">
        <v>20.6</v>
      </c>
    </row>
    <row r="29" spans="1:20" x14ac:dyDescent="0.25">
      <c r="A29" s="64" t="str">
        <f t="shared" si="0"/>
        <v>CIRF  76.1*3</v>
      </c>
      <c r="B29" s="163">
        <f t="shared" si="1"/>
        <v>5.408267461118097</v>
      </c>
      <c r="C29" s="64">
        <v>76.099999999999994</v>
      </c>
      <c r="D29" s="64">
        <v>3</v>
      </c>
      <c r="E29" s="64"/>
      <c r="F29" s="64"/>
      <c r="G29" s="64"/>
      <c r="H29" s="163">
        <f t="shared" si="2"/>
        <v>6.8895126893224159</v>
      </c>
      <c r="I29" s="163">
        <f t="shared" si="3"/>
        <v>46.096093144992558</v>
      </c>
      <c r="J29" s="163">
        <f t="shared" si="4"/>
        <v>12.114610550589372</v>
      </c>
      <c r="K29" s="188">
        <v>16</v>
      </c>
      <c r="L29" s="218">
        <f t="shared" si="5"/>
        <v>2.5866508268415354</v>
      </c>
      <c r="M29" s="218"/>
      <c r="N29" s="218"/>
      <c r="O29" s="218"/>
      <c r="P29" s="218"/>
      <c r="Q29" s="218"/>
      <c r="R29" s="218"/>
      <c r="S29" s="64">
        <v>92.19</v>
      </c>
      <c r="T29">
        <v>24.23</v>
      </c>
    </row>
    <row r="30" spans="1:20" x14ac:dyDescent="0.25">
      <c r="A30" s="64" t="str">
        <f t="shared" si="0"/>
        <v>CIRF  76.1*4</v>
      </c>
      <c r="B30" s="163">
        <f t="shared" si="1"/>
        <v>7.1123772721680734</v>
      </c>
      <c r="C30" s="64">
        <v>76.099999999999994</v>
      </c>
      <c r="D30" s="64">
        <v>4</v>
      </c>
      <c r="E30" s="64"/>
      <c r="F30" s="64"/>
      <c r="G30" s="64"/>
      <c r="H30" s="163">
        <f t="shared" si="2"/>
        <v>9.0603532129529594</v>
      </c>
      <c r="I30" s="163">
        <f t="shared" si="3"/>
        <v>59.055495496442546</v>
      </c>
      <c r="J30" s="163">
        <f t="shared" si="4"/>
        <v>15.520498159380434</v>
      </c>
      <c r="K30" s="188">
        <v>20.8</v>
      </c>
      <c r="L30" s="218">
        <f t="shared" si="5"/>
        <v>2.5530398547613782</v>
      </c>
      <c r="M30" s="218"/>
      <c r="N30" s="218"/>
      <c r="O30" s="218"/>
      <c r="P30" s="218"/>
      <c r="Q30" s="218"/>
      <c r="R30" s="218"/>
      <c r="S30" s="64">
        <v>118.10000000000001</v>
      </c>
      <c r="T30">
        <v>31.04</v>
      </c>
    </row>
    <row r="31" spans="1:20" x14ac:dyDescent="0.25">
      <c r="A31" s="64" t="str">
        <f t="shared" si="0"/>
        <v>CIRF  76.1*5</v>
      </c>
      <c r="B31" s="163">
        <f t="shared" si="1"/>
        <v>8.7671640785566964</v>
      </c>
      <c r="C31" s="64">
        <v>76.099999999999994</v>
      </c>
      <c r="D31" s="64">
        <v>5</v>
      </c>
      <c r="E31" s="64"/>
      <c r="F31" s="64"/>
      <c r="G31" s="64"/>
      <c r="H31" s="163">
        <f t="shared" si="2"/>
        <v>11.168361883511714</v>
      </c>
      <c r="I31" s="163">
        <f t="shared" si="3"/>
        <v>70.922029655293812</v>
      </c>
      <c r="J31" s="163">
        <f t="shared" si="4"/>
        <v>18.639166795083788</v>
      </c>
      <c r="K31" s="188">
        <v>25.3</v>
      </c>
      <c r="L31" s="218">
        <f t="shared" si="5"/>
        <v>2.5199727181062892</v>
      </c>
      <c r="M31" s="218"/>
      <c r="N31" s="218"/>
      <c r="O31" s="218"/>
      <c r="P31" s="218"/>
      <c r="Q31" s="218"/>
      <c r="R31" s="218"/>
      <c r="S31" s="64">
        <v>141.80000000000001</v>
      </c>
      <c r="T31">
        <v>37.28</v>
      </c>
    </row>
    <row r="32" spans="1:20" x14ac:dyDescent="0.25">
      <c r="A32" s="64" t="str">
        <f t="shared" si="0"/>
        <v>CIRF  76.1*6</v>
      </c>
      <c r="B32" s="163">
        <f t="shared" si="1"/>
        <v>10.372627880283956</v>
      </c>
      <c r="C32" s="64">
        <v>76.099999999999994</v>
      </c>
      <c r="D32" s="64">
        <v>6</v>
      </c>
      <c r="E32" s="64"/>
      <c r="F32" s="64"/>
      <c r="G32" s="64"/>
      <c r="H32" s="163">
        <f t="shared" si="2"/>
        <v>13.213538700998669</v>
      </c>
      <c r="I32" s="163">
        <f t="shared" si="3"/>
        <v>81.758935881663007</v>
      </c>
      <c r="J32" s="163">
        <f t="shared" si="4"/>
        <v>21.487236762592119</v>
      </c>
      <c r="K32" s="188">
        <v>29.6</v>
      </c>
      <c r="L32" s="218">
        <f t="shared" si="5"/>
        <v>2.4874711053598189</v>
      </c>
      <c r="M32" s="218"/>
      <c r="N32" s="218"/>
      <c r="O32" s="218"/>
      <c r="P32" s="218"/>
      <c r="Q32" s="218"/>
      <c r="R32" s="218"/>
      <c r="S32" s="64">
        <v>163.5</v>
      </c>
      <c r="T32">
        <v>42.97</v>
      </c>
    </row>
    <row r="33" spans="1:20" x14ac:dyDescent="0.25">
      <c r="A33" s="64" t="str">
        <f t="shared" si="0"/>
        <v>CIRF  76.1*6.3</v>
      </c>
      <c r="B33" s="163">
        <f t="shared" si="1"/>
        <v>10.84464903489317</v>
      </c>
      <c r="C33" s="64">
        <v>76.099999999999994</v>
      </c>
      <c r="D33" s="64">
        <v>6.3</v>
      </c>
      <c r="E33" s="64"/>
      <c r="F33" s="64"/>
      <c r="G33" s="64"/>
      <c r="H33" s="163">
        <f t="shared" si="2"/>
        <v>13.814839534895757</v>
      </c>
      <c r="I33" s="163">
        <f t="shared" si="3"/>
        <v>84.818452235916908</v>
      </c>
      <c r="J33" s="163">
        <f t="shared" si="4"/>
        <v>22.291314648072778</v>
      </c>
      <c r="K33" s="188">
        <v>30.8</v>
      </c>
      <c r="L33" s="218">
        <f t="shared" si="5"/>
        <v>2.4778342357793024</v>
      </c>
      <c r="M33" s="218"/>
      <c r="N33" s="218"/>
      <c r="O33" s="218"/>
      <c r="P33" s="218"/>
      <c r="Q33" s="218"/>
      <c r="R33" s="218"/>
      <c r="S33" s="64">
        <v>169.60000000000002</v>
      </c>
      <c r="T33">
        <v>44.58</v>
      </c>
    </row>
    <row r="34" spans="1:20" x14ac:dyDescent="0.25">
      <c r="A34" s="219" t="str">
        <f t="shared" si="0"/>
        <v>CIRF  88.9*2</v>
      </c>
      <c r="B34" s="168">
        <f t="shared" si="1"/>
        <v>4.2861691050721618</v>
      </c>
      <c r="C34" s="167">
        <v>88.9</v>
      </c>
      <c r="D34" s="167">
        <v>2</v>
      </c>
      <c r="E34" s="167"/>
      <c r="F34" s="167"/>
      <c r="G34" s="167"/>
      <c r="H34" s="168">
        <f t="shared" si="2"/>
        <v>5.4600880319390592</v>
      </c>
      <c r="I34" s="168">
        <f t="shared" si="3"/>
        <v>51.56786966874887</v>
      </c>
      <c r="J34" s="168">
        <f t="shared" si="4"/>
        <v>11.601320510404694</v>
      </c>
      <c r="K34" s="189">
        <v>15.1</v>
      </c>
      <c r="L34" s="220">
        <f t="shared" si="5"/>
        <v>3.0731925582364679</v>
      </c>
      <c r="M34" s="220"/>
      <c r="N34" s="220"/>
      <c r="O34" s="220"/>
      <c r="P34" s="220"/>
      <c r="Q34" s="220"/>
      <c r="R34" s="220"/>
      <c r="S34" s="167">
        <v>103.10000000000001</v>
      </c>
      <c r="T34" s="221">
        <v>23.2</v>
      </c>
    </row>
    <row r="35" spans="1:20" x14ac:dyDescent="0.25">
      <c r="A35" s="222" t="str">
        <f t="shared" si="0"/>
        <v>CIRF  88.9*2.5</v>
      </c>
      <c r="B35" s="174">
        <f t="shared" si="1"/>
        <v>5.3268845034268537</v>
      </c>
      <c r="C35" s="173">
        <v>88.9</v>
      </c>
      <c r="D35" s="173">
        <v>2.5</v>
      </c>
      <c r="E35" s="173"/>
      <c r="F35" s="173"/>
      <c r="G35" s="173"/>
      <c r="H35" s="174">
        <f t="shared" si="2"/>
        <v>6.785840131753953</v>
      </c>
      <c r="I35" s="174">
        <f t="shared" si="3"/>
        <v>63.373045813451824</v>
      </c>
      <c r="J35" s="174">
        <f t="shared" si="4"/>
        <v>14.257153163881174</v>
      </c>
      <c r="K35" s="190">
        <v>18.7</v>
      </c>
      <c r="L35" s="223">
        <f t="shared" si="5"/>
        <v>3.0559797937813662</v>
      </c>
      <c r="M35" s="223"/>
      <c r="N35" s="223"/>
      <c r="O35" s="223"/>
      <c r="P35" s="223"/>
      <c r="Q35" s="223"/>
      <c r="R35" s="223"/>
      <c r="S35" s="173">
        <v>126.7</v>
      </c>
      <c r="T35" s="224">
        <v>28.51</v>
      </c>
    </row>
    <row r="36" spans="1:20" x14ac:dyDescent="0.25">
      <c r="A36" s="222" t="str">
        <f t="shared" si="0"/>
        <v>CIRF  88.9*3</v>
      </c>
      <c r="B36" s="174">
        <f t="shared" si="1"/>
        <v>6.3552691506162047</v>
      </c>
      <c r="C36" s="173">
        <v>88.9</v>
      </c>
      <c r="D36" s="173">
        <v>3</v>
      </c>
      <c r="E36" s="173"/>
      <c r="F36" s="173"/>
      <c r="G36" s="173"/>
      <c r="H36" s="174">
        <f t="shared" si="2"/>
        <v>8.0958842683008978</v>
      </c>
      <c r="I36" s="174">
        <f t="shared" si="3"/>
        <v>74.76356844524507</v>
      </c>
      <c r="J36" s="174">
        <f t="shared" si="4"/>
        <v>16.819700437625436</v>
      </c>
      <c r="K36" s="190">
        <v>22.1</v>
      </c>
      <c r="L36" s="223">
        <f t="shared" si="5"/>
        <v>3.0388752030973567</v>
      </c>
      <c r="M36" s="223"/>
      <c r="N36" s="223"/>
      <c r="O36" s="223"/>
      <c r="P36" s="223"/>
      <c r="Q36" s="223"/>
      <c r="R36" s="223"/>
      <c r="S36" s="173">
        <v>149.5</v>
      </c>
      <c r="T36" s="224">
        <v>33.64</v>
      </c>
    </row>
    <row r="37" spans="1:20" x14ac:dyDescent="0.25">
      <c r="A37" s="222" t="str">
        <f t="shared" si="0"/>
        <v>CIRF  88.9*4</v>
      </c>
      <c r="B37" s="174">
        <f t="shared" si="1"/>
        <v>8.3750461914988819</v>
      </c>
      <c r="C37" s="173">
        <v>88.9</v>
      </c>
      <c r="D37" s="173">
        <v>4</v>
      </c>
      <c r="E37" s="173"/>
      <c r="F37" s="173"/>
      <c r="G37" s="173"/>
      <c r="H37" s="174">
        <f t="shared" si="2"/>
        <v>10.668848651590933</v>
      </c>
      <c r="I37" s="174">
        <f t="shared" si="3"/>
        <v>96.339836684474321</v>
      </c>
      <c r="J37" s="174">
        <f t="shared" si="4"/>
        <v>21.673754034752378</v>
      </c>
      <c r="K37" s="190">
        <v>28.9</v>
      </c>
      <c r="L37" s="223">
        <f t="shared" si="5"/>
        <v>3.0049979201323924</v>
      </c>
      <c r="M37" s="223"/>
      <c r="N37" s="223"/>
      <c r="O37" s="223"/>
      <c r="P37" s="223"/>
      <c r="Q37" s="223"/>
      <c r="R37" s="223"/>
      <c r="S37" s="173">
        <v>192.70000000000002</v>
      </c>
      <c r="T37" s="224">
        <v>43.35</v>
      </c>
    </row>
    <row r="38" spans="1:20" x14ac:dyDescent="0.25">
      <c r="A38" s="222" t="str">
        <f t="shared" si="0"/>
        <v>CIRF  88.9*5</v>
      </c>
      <c r="B38" s="174">
        <f t="shared" si="1"/>
        <v>10.345500227720208</v>
      </c>
      <c r="C38" s="173">
        <v>88.9</v>
      </c>
      <c r="D38" s="173">
        <v>5</v>
      </c>
      <c r="E38" s="173"/>
      <c r="F38" s="173"/>
      <c r="G38" s="173"/>
      <c r="H38" s="174">
        <f t="shared" si="2"/>
        <v>13.178981181809181</v>
      </c>
      <c r="I38" s="174">
        <f t="shared" si="3"/>
        <v>116.37386331793533</v>
      </c>
      <c r="J38" s="174">
        <f t="shared" si="4"/>
        <v>26.180846640705361</v>
      </c>
      <c r="K38" s="190">
        <v>35.200000000000003</v>
      </c>
      <c r="L38" s="223">
        <f t="shared" si="5"/>
        <v>2.9715757604341846</v>
      </c>
      <c r="M38" s="223"/>
      <c r="N38" s="223"/>
      <c r="O38" s="223"/>
      <c r="P38" s="223"/>
      <c r="Q38" s="223"/>
      <c r="R38" s="223"/>
      <c r="S38" s="173">
        <v>232.70000000000002</v>
      </c>
      <c r="T38" s="224">
        <v>52.36</v>
      </c>
    </row>
    <row r="39" spans="1:20" x14ac:dyDescent="0.25">
      <c r="A39" s="222" t="str">
        <f t="shared" si="0"/>
        <v>CIRF  88.9*6</v>
      </c>
      <c r="B39" s="174">
        <f t="shared" si="1"/>
        <v>12.266631259280173</v>
      </c>
      <c r="C39" s="173">
        <v>88.9</v>
      </c>
      <c r="D39" s="173">
        <v>6</v>
      </c>
      <c r="E39" s="173"/>
      <c r="F39" s="173"/>
      <c r="G39" s="173"/>
      <c r="H39" s="174">
        <f t="shared" si="2"/>
        <v>15.626281858955634</v>
      </c>
      <c r="I39" s="174">
        <f t="shared" si="3"/>
        <v>134.94095232153461</v>
      </c>
      <c r="J39" s="174">
        <f t="shared" si="4"/>
        <v>30.357919532403734</v>
      </c>
      <c r="K39" s="190">
        <v>41.3</v>
      </c>
      <c r="L39" s="223">
        <f t="shared" si="5"/>
        <v>2.9386242529455853</v>
      </c>
      <c r="M39" s="223"/>
      <c r="N39" s="223"/>
      <c r="O39" s="223"/>
      <c r="P39" s="223"/>
      <c r="Q39" s="223"/>
      <c r="R39" s="223"/>
      <c r="S39" s="173">
        <v>269.90000000000003</v>
      </c>
      <c r="T39" s="224">
        <v>60.72</v>
      </c>
    </row>
    <row r="40" spans="1:20" x14ac:dyDescent="0.25">
      <c r="A40" s="225" t="str">
        <f t="shared" si="0"/>
        <v>CIRF  88.9*6.3</v>
      </c>
      <c r="B40" s="180">
        <f t="shared" si="1"/>
        <v>12.83335258283919</v>
      </c>
      <c r="C40" s="179">
        <v>88.9</v>
      </c>
      <c r="D40" s="179">
        <v>6.3</v>
      </c>
      <c r="E40" s="179"/>
      <c r="F40" s="179"/>
      <c r="G40" s="179"/>
      <c r="H40" s="180">
        <f t="shared" si="2"/>
        <v>16.34821985075056</v>
      </c>
      <c r="I40" s="180">
        <f t="shared" si="3"/>
        <v>140.23605164347902</v>
      </c>
      <c r="J40" s="180">
        <f t="shared" si="4"/>
        <v>31.549167973786052</v>
      </c>
      <c r="K40" s="191">
        <v>43.1</v>
      </c>
      <c r="L40" s="226">
        <f t="shared" si="5"/>
        <v>2.9288329587055668</v>
      </c>
      <c r="M40" s="226"/>
      <c r="N40" s="226"/>
      <c r="O40" s="226"/>
      <c r="P40" s="226"/>
      <c r="Q40" s="226"/>
      <c r="R40" s="226"/>
      <c r="S40" s="179">
        <v>280.5</v>
      </c>
      <c r="T40" s="227">
        <v>63.1</v>
      </c>
    </row>
    <row r="41" spans="1:20" x14ac:dyDescent="0.25">
      <c r="A41" s="64" t="str">
        <f t="shared" si="0"/>
        <v>CIRF  101.6*2</v>
      </c>
      <c r="B41" s="163">
        <f t="shared" si="1"/>
        <v>4.9125712642714383</v>
      </c>
      <c r="C41" s="64">
        <v>101.6</v>
      </c>
      <c r="D41" s="64">
        <v>2</v>
      </c>
      <c r="E41" s="64"/>
      <c r="F41" s="64"/>
      <c r="G41" s="64"/>
      <c r="H41" s="163">
        <f t="shared" si="2"/>
        <v>6.2580525659508766</v>
      </c>
      <c r="I41" s="163">
        <f t="shared" si="3"/>
        <v>77.6323936911338</v>
      </c>
      <c r="J41" s="163">
        <f t="shared" si="4"/>
        <v>15.281967262034213</v>
      </c>
      <c r="K41" s="188">
        <v>19.8</v>
      </c>
      <c r="L41" s="218">
        <f t="shared" si="5"/>
        <v>3.5221016453248475</v>
      </c>
      <c r="M41" s="218"/>
      <c r="N41" s="218"/>
      <c r="O41" s="218"/>
      <c r="P41" s="218"/>
      <c r="Q41" s="218"/>
      <c r="R41" s="218"/>
      <c r="S41" s="64">
        <v>155.30000000000001</v>
      </c>
      <c r="T41">
        <v>30.56</v>
      </c>
    </row>
    <row r="42" spans="1:20" x14ac:dyDescent="0.25">
      <c r="A42" s="64" t="str">
        <f t="shared" si="0"/>
        <v>CIRF  101.6*2.5</v>
      </c>
      <c r="B42" s="163">
        <f t="shared" si="1"/>
        <v>6.1098872024259396</v>
      </c>
      <c r="C42" s="64">
        <v>101.6</v>
      </c>
      <c r="D42" s="64">
        <v>2.5</v>
      </c>
      <c r="E42" s="64"/>
      <c r="F42" s="64"/>
      <c r="G42" s="64"/>
      <c r="H42" s="163">
        <f t="shared" si="2"/>
        <v>7.7832957992687124</v>
      </c>
      <c r="I42" s="163">
        <f t="shared" si="3"/>
        <v>95.608643521451995</v>
      </c>
      <c r="J42" s="163">
        <f t="shared" si="4"/>
        <v>18.820599118396061</v>
      </c>
      <c r="K42" s="188">
        <v>24.6</v>
      </c>
      <c r="L42" s="218">
        <f t="shared" si="5"/>
        <v>3.5048288117966617</v>
      </c>
      <c r="M42" s="218"/>
      <c r="N42" s="218"/>
      <c r="O42" s="218"/>
      <c r="P42" s="218"/>
      <c r="Q42" s="218"/>
      <c r="R42" s="218"/>
      <c r="S42" s="64">
        <v>191.20000000000002</v>
      </c>
      <c r="T42">
        <v>37.64</v>
      </c>
    </row>
    <row r="43" spans="1:20" x14ac:dyDescent="0.25">
      <c r="A43" s="64" t="str">
        <f t="shared" si="0"/>
        <v>CIRF  101.6*3</v>
      </c>
      <c r="B43" s="163">
        <f t="shared" si="1"/>
        <v>7.2948723894151124</v>
      </c>
      <c r="C43" s="64">
        <v>101.6</v>
      </c>
      <c r="D43" s="64">
        <v>3</v>
      </c>
      <c r="E43" s="64"/>
      <c r="F43" s="64"/>
      <c r="G43" s="64"/>
      <c r="H43" s="163">
        <f t="shared" si="2"/>
        <v>9.2928310693186145</v>
      </c>
      <c r="I43" s="163">
        <f t="shared" si="3"/>
        <v>113.03520927787083</v>
      </c>
      <c r="J43" s="163">
        <f t="shared" si="4"/>
        <v>22.251025448399769</v>
      </c>
      <c r="K43" s="188">
        <v>29.2</v>
      </c>
      <c r="L43" s="218">
        <f t="shared" si="5"/>
        <v>3.4876496383667899</v>
      </c>
      <c r="M43" s="218"/>
      <c r="N43" s="218"/>
      <c r="O43" s="218"/>
      <c r="P43" s="218"/>
      <c r="Q43" s="218"/>
      <c r="R43" s="218"/>
      <c r="S43" s="64">
        <v>226.10000000000002</v>
      </c>
      <c r="T43">
        <v>44.5</v>
      </c>
    </row>
    <row r="44" spans="1:20" x14ac:dyDescent="0.25">
      <c r="A44" s="64" t="str">
        <f t="shared" si="0"/>
        <v>CIRF  101.6*4</v>
      </c>
      <c r="B44" s="163">
        <f t="shared" si="1"/>
        <v>9.6278505098974279</v>
      </c>
      <c r="C44" s="64">
        <v>101.6</v>
      </c>
      <c r="D44" s="64">
        <v>4</v>
      </c>
      <c r="E44" s="64"/>
      <c r="F44" s="64"/>
      <c r="G44" s="64"/>
      <c r="H44" s="163">
        <f t="shared" si="2"/>
        <v>12.264777719614557</v>
      </c>
      <c r="I44" s="163">
        <f t="shared" si="3"/>
        <v>146.28445681738671</v>
      </c>
      <c r="J44" s="163">
        <f t="shared" si="4"/>
        <v>28.796152916808406</v>
      </c>
      <c r="K44" s="188">
        <v>38.1</v>
      </c>
      <c r="L44" s="218">
        <f t="shared" si="5"/>
        <v>3.4535778549208933</v>
      </c>
      <c r="M44" s="218"/>
      <c r="N44" s="218"/>
      <c r="O44" s="218"/>
      <c r="P44" s="218"/>
      <c r="Q44" s="218"/>
      <c r="R44" s="218"/>
      <c r="S44" s="64">
        <v>292.60000000000002</v>
      </c>
      <c r="T44">
        <v>57.59</v>
      </c>
    </row>
    <row r="45" spans="1:20" x14ac:dyDescent="0.25">
      <c r="A45" s="64" t="str">
        <f t="shared" si="0"/>
        <v>CIRF  101.6*5</v>
      </c>
      <c r="B45" s="163">
        <f t="shared" si="1"/>
        <v>11.91150562571838</v>
      </c>
      <c r="C45" s="64">
        <v>101.6</v>
      </c>
      <c r="D45" s="64">
        <v>5</v>
      </c>
      <c r="E45" s="64"/>
      <c r="F45" s="64"/>
      <c r="G45" s="64"/>
      <c r="H45" s="163">
        <f t="shared" si="2"/>
        <v>15.1738925168387</v>
      </c>
      <c r="I45" s="163">
        <f t="shared" si="3"/>
        <v>177.46929470919042</v>
      </c>
      <c r="J45" s="163">
        <f t="shared" si="4"/>
        <v>34.934900533305203</v>
      </c>
      <c r="K45" s="188">
        <v>46.7</v>
      </c>
      <c r="L45" s="218">
        <f t="shared" si="5"/>
        <v>3.4198976592874826</v>
      </c>
      <c r="M45" s="218"/>
      <c r="N45" s="218"/>
      <c r="O45" s="218"/>
      <c r="P45" s="218"/>
      <c r="Q45" s="218"/>
      <c r="R45" s="218"/>
      <c r="S45" s="64">
        <v>354.90000000000003</v>
      </c>
      <c r="T45">
        <v>69.87</v>
      </c>
    </row>
    <row r="46" spans="1:20" x14ac:dyDescent="0.25">
      <c r="A46" s="64" t="str">
        <f t="shared" si="0"/>
        <v>CIRF  101.6*6</v>
      </c>
      <c r="B46" s="163">
        <f t="shared" si="1"/>
        <v>14.145837736877981</v>
      </c>
      <c r="C46" s="64">
        <v>101.6</v>
      </c>
      <c r="D46" s="64">
        <v>6</v>
      </c>
      <c r="E46" s="64"/>
      <c r="F46" s="64"/>
      <c r="G46" s="64"/>
      <c r="H46" s="163">
        <f t="shared" si="2"/>
        <v>18.020175460991059</v>
      </c>
      <c r="I46" s="163">
        <f t="shared" si="3"/>
        <v>206.67699639719865</v>
      </c>
      <c r="J46" s="163">
        <f t="shared" si="4"/>
        <v>40.684448109684773</v>
      </c>
      <c r="K46" s="188">
        <v>54.9</v>
      </c>
      <c r="L46" s="218">
        <f t="shared" si="5"/>
        <v>3.386620734596657</v>
      </c>
      <c r="M46" s="218"/>
      <c r="N46" s="218"/>
      <c r="O46" s="218"/>
      <c r="P46" s="218"/>
      <c r="Q46" s="218"/>
      <c r="R46" s="218"/>
      <c r="S46" s="64">
        <v>413.40000000000003</v>
      </c>
      <c r="T46">
        <v>81.37</v>
      </c>
    </row>
    <row r="47" spans="1:20" x14ac:dyDescent="0.25">
      <c r="A47" s="64" t="str">
        <f t="shared" si="0"/>
        <v>CIRF  101.6*6.3</v>
      </c>
      <c r="B47" s="163">
        <f t="shared" si="1"/>
        <v>14.806519384316889</v>
      </c>
      <c r="C47" s="64">
        <v>101.6</v>
      </c>
      <c r="D47" s="64">
        <v>6.3</v>
      </c>
      <c r="E47" s="64"/>
      <c r="F47" s="64"/>
      <c r="G47" s="64"/>
      <c r="H47" s="163">
        <f t="shared" si="2"/>
        <v>18.861808132887756</v>
      </c>
      <c r="I47" s="163">
        <f t="shared" si="3"/>
        <v>215.06658023801609</v>
      </c>
      <c r="J47" s="163">
        <f t="shared" si="4"/>
        <v>42.335940991735448</v>
      </c>
      <c r="K47" s="188">
        <v>57.3</v>
      </c>
      <c r="L47" s="218">
        <f t="shared" si="5"/>
        <v>3.3767180812143613</v>
      </c>
      <c r="M47" s="218"/>
      <c r="N47" s="218"/>
      <c r="O47" s="218"/>
      <c r="P47" s="218"/>
      <c r="Q47" s="218"/>
      <c r="R47" s="218"/>
      <c r="S47" s="64">
        <v>430.1</v>
      </c>
      <c r="T47">
        <v>84.67</v>
      </c>
    </row>
    <row r="48" spans="1:20" x14ac:dyDescent="0.25">
      <c r="A48" s="219" t="str">
        <f t="shared" si="0"/>
        <v>CIRF  114.3*2.5</v>
      </c>
      <c r="B48" s="168">
        <f t="shared" si="1"/>
        <v>6.8928899014250264</v>
      </c>
      <c r="C48" s="167">
        <v>114.3</v>
      </c>
      <c r="D48" s="167">
        <v>2.5</v>
      </c>
      <c r="E48" s="167"/>
      <c r="F48" s="167"/>
      <c r="G48" s="167"/>
      <c r="H48" s="168">
        <f t="shared" si="2"/>
        <v>8.7807514667834727</v>
      </c>
      <c r="I48" s="184">
        <f t="shared" si="3"/>
        <v>137.2594995754325</v>
      </c>
      <c r="J48" s="189">
        <f t="shared" si="4"/>
        <v>24.017410249419509</v>
      </c>
      <c r="K48" s="189">
        <v>31.3</v>
      </c>
      <c r="L48" s="220">
        <f t="shared" si="5"/>
        <v>3.9537150251377491</v>
      </c>
      <c r="M48" s="220"/>
      <c r="N48" s="220"/>
      <c r="O48" s="220"/>
      <c r="P48" s="220"/>
      <c r="Q48" s="220"/>
      <c r="R48" s="220"/>
      <c r="S48" s="167">
        <v>274.5</v>
      </c>
      <c r="T48" s="221">
        <v>48.03</v>
      </c>
    </row>
    <row r="49" spans="1:20" x14ac:dyDescent="0.25">
      <c r="A49" s="222" t="str">
        <f t="shared" si="0"/>
        <v>CIRF  114.3*3</v>
      </c>
      <c r="B49" s="174">
        <f t="shared" si="1"/>
        <v>8.2344756282140139</v>
      </c>
      <c r="C49" s="173">
        <v>114.3</v>
      </c>
      <c r="D49" s="173">
        <v>3</v>
      </c>
      <c r="E49" s="173"/>
      <c r="F49" s="173"/>
      <c r="G49" s="173"/>
      <c r="H49" s="174">
        <f t="shared" si="2"/>
        <v>10.489777870336322</v>
      </c>
      <c r="I49" s="185">
        <f t="shared" si="3"/>
        <v>162.54815553427449</v>
      </c>
      <c r="J49" s="190">
        <f t="shared" si="4"/>
        <v>28.442371922007784</v>
      </c>
      <c r="K49" s="190">
        <v>37.200000000000003</v>
      </c>
      <c r="L49" s="223">
        <f t="shared" si="5"/>
        <v>3.9364784389095795</v>
      </c>
      <c r="M49" s="223"/>
      <c r="N49" s="223"/>
      <c r="O49" s="223"/>
      <c r="P49" s="223"/>
      <c r="Q49" s="223"/>
      <c r="R49" s="223"/>
      <c r="S49" s="173">
        <v>325.10000000000002</v>
      </c>
      <c r="T49" s="224">
        <v>56.88</v>
      </c>
    </row>
    <row r="50" spans="1:20" x14ac:dyDescent="0.25">
      <c r="A50" s="222" t="str">
        <f t="shared" si="0"/>
        <v>CIRF  114.3*4</v>
      </c>
      <c r="B50" s="174">
        <f t="shared" si="1"/>
        <v>10.880654828295969</v>
      </c>
      <c r="C50" s="173">
        <v>114.3</v>
      </c>
      <c r="D50" s="173">
        <v>4</v>
      </c>
      <c r="E50" s="173"/>
      <c r="F50" s="173"/>
      <c r="G50" s="173"/>
      <c r="H50" s="174">
        <f t="shared" si="2"/>
        <v>13.860706787638176</v>
      </c>
      <c r="I50" s="185">
        <f t="shared" si="3"/>
        <v>211.06547193827393</v>
      </c>
      <c r="J50" s="190">
        <f t="shared" si="4"/>
        <v>36.931841109059306</v>
      </c>
      <c r="K50" s="190">
        <v>48.7</v>
      </c>
      <c r="L50" s="223">
        <f t="shared" si="5"/>
        <v>3.9022573595292251</v>
      </c>
      <c r="M50" s="223"/>
      <c r="N50" s="223"/>
      <c r="O50" s="223"/>
      <c r="P50" s="223"/>
      <c r="Q50" s="223"/>
      <c r="R50" s="223"/>
      <c r="S50" s="173">
        <v>422.1</v>
      </c>
      <c r="T50" s="224">
        <v>73.86</v>
      </c>
    </row>
    <row r="51" spans="1:20" x14ac:dyDescent="0.25">
      <c r="A51" s="222" t="str">
        <f t="shared" si="0"/>
        <v>CIRF  114.3*5</v>
      </c>
      <c r="B51" s="174">
        <f t="shared" si="1"/>
        <v>13.477511023716552</v>
      </c>
      <c r="C51" s="173">
        <v>114.3</v>
      </c>
      <c r="D51" s="173">
        <v>5</v>
      </c>
      <c r="E51" s="173"/>
      <c r="F51" s="173"/>
      <c r="G51" s="173"/>
      <c r="H51" s="174">
        <f t="shared" si="2"/>
        <v>17.168803851868219</v>
      </c>
      <c r="I51" s="185">
        <f t="shared" si="3"/>
        <v>256.92020453075236</v>
      </c>
      <c r="J51" s="190">
        <f t="shared" si="4"/>
        <v>44.955416365835937</v>
      </c>
      <c r="K51" s="190">
        <v>59.8</v>
      </c>
      <c r="L51" s="223">
        <f t="shared" si="5"/>
        <v>3.8683798288172273</v>
      </c>
      <c r="M51" s="223"/>
      <c r="N51" s="223"/>
      <c r="O51" s="223"/>
      <c r="P51" s="223"/>
      <c r="Q51" s="223"/>
      <c r="R51" s="223"/>
      <c r="S51" s="173">
        <v>513.80000000000007</v>
      </c>
      <c r="T51" s="224">
        <v>89.91</v>
      </c>
    </row>
    <row r="52" spans="1:20" x14ac:dyDescent="0.25">
      <c r="A52" s="222" t="str">
        <f t="shared" si="0"/>
        <v>CIRF  114.3*6</v>
      </c>
      <c r="B52" s="174">
        <f t="shared" si="1"/>
        <v>16.025044214475788</v>
      </c>
      <c r="C52" s="173">
        <v>114.3</v>
      </c>
      <c r="D52" s="173">
        <v>6</v>
      </c>
      <c r="E52" s="173"/>
      <c r="F52" s="173"/>
      <c r="G52" s="173"/>
      <c r="H52" s="174">
        <f t="shared" si="2"/>
        <v>20.414069063026481</v>
      </c>
      <c r="I52" s="185">
        <f t="shared" si="3"/>
        <v>300.211596223637</v>
      </c>
      <c r="J52" s="190">
        <f t="shared" si="4"/>
        <v>52.530463031257568</v>
      </c>
      <c r="K52" s="190">
        <v>70.400000000000006</v>
      </c>
      <c r="L52" s="223">
        <f t="shared" si="5"/>
        <v>3.8348549516246373</v>
      </c>
      <c r="M52" s="223"/>
      <c r="N52" s="223"/>
      <c r="O52" s="223"/>
      <c r="P52" s="223"/>
      <c r="Q52" s="223"/>
      <c r="R52" s="223"/>
      <c r="S52" s="173">
        <v>600.4</v>
      </c>
      <c r="T52" s="224">
        <v>105.1</v>
      </c>
    </row>
    <row r="53" spans="1:20" x14ac:dyDescent="0.25">
      <c r="A53" s="222" t="str">
        <f t="shared" si="0"/>
        <v>CIRF  114.3*6.3</v>
      </c>
      <c r="B53" s="174">
        <f t="shared" si="1"/>
        <v>16.779686185794581</v>
      </c>
      <c r="C53" s="173">
        <v>114.3</v>
      </c>
      <c r="D53" s="173">
        <v>6.3</v>
      </c>
      <c r="E53" s="173"/>
      <c r="F53" s="173"/>
      <c r="G53" s="173"/>
      <c r="H53" s="174">
        <f t="shared" si="2"/>
        <v>21.375396415024944</v>
      </c>
      <c r="I53" s="185">
        <f t="shared" si="3"/>
        <v>312.71376658570404</v>
      </c>
      <c r="J53" s="190">
        <f t="shared" si="4"/>
        <v>54.718069393823981</v>
      </c>
      <c r="K53" s="190">
        <v>73.599999999999994</v>
      </c>
      <c r="L53" s="223">
        <f t="shared" si="5"/>
        <v>3.8248676447689007</v>
      </c>
      <c r="M53" s="223"/>
      <c r="N53" s="223"/>
      <c r="O53" s="223"/>
      <c r="P53" s="223"/>
      <c r="Q53" s="223"/>
      <c r="R53" s="223"/>
      <c r="S53" s="173">
        <v>625.40000000000009</v>
      </c>
      <c r="T53" s="224">
        <v>109.4</v>
      </c>
    </row>
    <row r="54" spans="1:20" x14ac:dyDescent="0.25">
      <c r="A54" s="225" t="str">
        <f t="shared" si="0"/>
        <v>CIRF  114.3*8</v>
      </c>
      <c r="B54" s="180">
        <f t="shared" si="1"/>
        <v>20.972141582010167</v>
      </c>
      <c r="C54" s="179">
        <v>114.3</v>
      </c>
      <c r="D54" s="179">
        <v>8</v>
      </c>
      <c r="E54" s="179"/>
      <c r="F54" s="179"/>
      <c r="G54" s="179"/>
      <c r="H54" s="180">
        <f t="shared" si="2"/>
        <v>26.716103926127602</v>
      </c>
      <c r="I54" s="186">
        <f t="shared" si="3"/>
        <v>379.49190378037127</v>
      </c>
      <c r="J54" s="191">
        <f t="shared" si="4"/>
        <v>66.402782813713259</v>
      </c>
      <c r="K54" s="191">
        <v>90.6</v>
      </c>
      <c r="L54" s="226">
        <f t="shared" si="5"/>
        <v>3.7689007017962153</v>
      </c>
      <c r="M54" s="226"/>
      <c r="N54" s="226"/>
      <c r="O54" s="226"/>
      <c r="P54" s="226"/>
      <c r="Q54" s="226"/>
      <c r="R54" s="226"/>
      <c r="S54" s="179">
        <v>759</v>
      </c>
      <c r="T54" s="227">
        <v>132.80000000000001</v>
      </c>
    </row>
    <row r="55" spans="1:20" x14ac:dyDescent="0.25">
      <c r="A55" s="64" t="str">
        <f t="shared" si="0"/>
        <v>CIRF  139.7*3</v>
      </c>
      <c r="B55" s="163">
        <f t="shared" si="1"/>
        <v>10.113682105811804</v>
      </c>
      <c r="C55" s="64">
        <v>139.69999999999999</v>
      </c>
      <c r="D55" s="64">
        <v>3</v>
      </c>
      <c r="E55" s="64"/>
      <c r="F55" s="64"/>
      <c r="G55" s="64"/>
      <c r="H55" s="163">
        <f t="shared" si="2"/>
        <v>12.883671472371725</v>
      </c>
      <c r="I55" s="187">
        <f t="shared" si="3"/>
        <v>301.08963080449956</v>
      </c>
      <c r="J55" s="188">
        <f t="shared" si="4"/>
        <v>43.10517262770216</v>
      </c>
      <c r="K55" s="188">
        <v>56.1</v>
      </c>
      <c r="L55" s="218">
        <f t="shared" si="5"/>
        <v>4.8342385646552426</v>
      </c>
      <c r="M55" s="218"/>
      <c r="N55" s="218"/>
      <c r="O55" s="218"/>
      <c r="P55" s="218"/>
      <c r="Q55" s="218"/>
      <c r="R55" s="218"/>
      <c r="S55" s="64">
        <v>602.20000000000005</v>
      </c>
      <c r="T55">
        <v>86.21</v>
      </c>
    </row>
    <row r="56" spans="1:20" x14ac:dyDescent="0.25">
      <c r="A56" s="64" t="str">
        <f t="shared" si="0"/>
        <v>CIRF  139.7*4</v>
      </c>
      <c r="B56" s="163">
        <f t="shared" si="1"/>
        <v>13.386263465093041</v>
      </c>
      <c r="C56" s="64">
        <v>139.69999999999999</v>
      </c>
      <c r="D56" s="64">
        <v>4</v>
      </c>
      <c r="E56" s="64"/>
      <c r="F56" s="64"/>
      <c r="G56" s="64"/>
      <c r="H56" s="163">
        <f t="shared" si="2"/>
        <v>17.052564923685402</v>
      </c>
      <c r="I56" s="187">
        <f t="shared" si="3"/>
        <v>392.85890912541822</v>
      </c>
      <c r="J56" s="188">
        <f t="shared" si="4"/>
        <v>56.243222494691231</v>
      </c>
      <c r="K56" s="188">
        <v>73.7</v>
      </c>
      <c r="L56" s="218">
        <f t="shared" si="5"/>
        <v>4.7998033813897001</v>
      </c>
      <c r="M56" s="218"/>
      <c r="N56" s="218"/>
      <c r="O56" s="218"/>
      <c r="P56" s="218"/>
      <c r="Q56" s="218"/>
      <c r="R56" s="218"/>
      <c r="S56" s="64">
        <v>785.7</v>
      </c>
      <c r="T56">
        <v>112.5</v>
      </c>
    </row>
    <row r="57" spans="1:20" x14ac:dyDescent="0.25">
      <c r="A57" s="64" t="str">
        <f t="shared" si="0"/>
        <v>CIRF  139.7*5</v>
      </c>
      <c r="B57" s="163">
        <f t="shared" si="1"/>
        <v>16.609521819712896</v>
      </c>
      <c r="C57" s="64">
        <v>139.69999999999999</v>
      </c>
      <c r="D57" s="64">
        <v>5</v>
      </c>
      <c r="E57" s="64"/>
      <c r="F57" s="64"/>
      <c r="G57" s="64"/>
      <c r="H57" s="163">
        <f t="shared" si="2"/>
        <v>21.158626521927257</v>
      </c>
      <c r="I57" s="187">
        <f t="shared" si="3"/>
        <v>480.54123694160398</v>
      </c>
      <c r="J57" s="188">
        <f t="shared" si="4"/>
        <v>68.796168495576808</v>
      </c>
      <c r="K57" s="188">
        <v>90.8</v>
      </c>
      <c r="L57" s="218">
        <f t="shared" si="5"/>
        <v>4.7656439753720576</v>
      </c>
      <c r="M57" s="218"/>
      <c r="N57" s="218"/>
      <c r="O57" s="218"/>
      <c r="P57" s="218"/>
      <c r="Q57" s="218"/>
      <c r="R57" s="218"/>
      <c r="S57" s="64">
        <v>961.1</v>
      </c>
      <c r="T57">
        <v>137.6</v>
      </c>
    </row>
    <row r="58" spans="1:20" x14ac:dyDescent="0.25">
      <c r="A58" s="64" t="str">
        <f t="shared" si="0"/>
        <v>CIRF  139.7*6</v>
      </c>
      <c r="B58" s="163">
        <f t="shared" si="1"/>
        <v>19.783457169671394</v>
      </c>
      <c r="C58" s="64">
        <v>139.69999999999999</v>
      </c>
      <c r="D58" s="64">
        <v>6</v>
      </c>
      <c r="E58" s="64"/>
      <c r="F58" s="64"/>
      <c r="G58" s="64"/>
      <c r="H58" s="163">
        <f t="shared" si="2"/>
        <v>25.201856267097316</v>
      </c>
      <c r="I58" s="187">
        <f t="shared" si="3"/>
        <v>564.25979610100524</v>
      </c>
      <c r="J58" s="188">
        <f t="shared" si="4"/>
        <v>80.781645826915579</v>
      </c>
      <c r="K58" s="228">
        <v>107</v>
      </c>
      <c r="L58" s="218">
        <f t="shared" si="5"/>
        <v>4.7317663192511938</v>
      </c>
      <c r="M58" s="218"/>
      <c r="N58" s="218"/>
      <c r="O58" s="218"/>
      <c r="P58" s="218"/>
      <c r="Q58" s="218"/>
      <c r="R58" s="218"/>
      <c r="S58" s="64">
        <v>1129</v>
      </c>
      <c r="T58">
        <v>161.6</v>
      </c>
    </row>
    <row r="59" spans="1:20" x14ac:dyDescent="0.25">
      <c r="A59" s="64" t="str">
        <f t="shared" si="0"/>
        <v>CIRF  139.7*6.3</v>
      </c>
      <c r="B59" s="163">
        <f t="shared" si="1"/>
        <v>20.726019788749973</v>
      </c>
      <c r="C59" s="64">
        <v>139.69999999999999</v>
      </c>
      <c r="D59" s="64">
        <v>6.3</v>
      </c>
      <c r="E59" s="64"/>
      <c r="F59" s="64"/>
      <c r="G59" s="64"/>
      <c r="H59" s="163">
        <f t="shared" si="2"/>
        <v>26.402572979299325</v>
      </c>
      <c r="I59" s="187">
        <f t="shared" si="3"/>
        <v>588.62061216131019</v>
      </c>
      <c r="J59" s="188">
        <f t="shared" si="4"/>
        <v>84.269235814074477</v>
      </c>
      <c r="K59" s="228">
        <v>112</v>
      </c>
      <c r="L59" s="218">
        <f t="shared" si="5"/>
        <v>4.7216588716255217</v>
      </c>
      <c r="M59" s="218"/>
      <c r="N59" s="218"/>
      <c r="O59" s="218"/>
      <c r="P59" s="218"/>
      <c r="Q59" s="218"/>
      <c r="R59" s="218"/>
      <c r="S59" s="64">
        <v>1177</v>
      </c>
      <c r="T59">
        <v>168.5</v>
      </c>
    </row>
    <row r="60" spans="1:20" x14ac:dyDescent="0.25">
      <c r="A60" s="64" t="str">
        <f t="shared" si="0"/>
        <v>CIRF  139.7*8</v>
      </c>
      <c r="B60" s="163">
        <f t="shared" si="1"/>
        <v>25.983358855604315</v>
      </c>
      <c r="C60" s="64">
        <v>139.69999999999999</v>
      </c>
      <c r="D60" s="64">
        <v>8</v>
      </c>
      <c r="E60" s="64"/>
      <c r="F60" s="64"/>
      <c r="G60" s="64"/>
      <c r="H60" s="163">
        <f t="shared" si="2"/>
        <v>33.099820198222055</v>
      </c>
      <c r="I60" s="187">
        <f t="shared" si="3"/>
        <v>720.28891106328228</v>
      </c>
      <c r="J60" s="188">
        <f t="shared" si="4"/>
        <v>103.11938597899533</v>
      </c>
      <c r="K60" s="228">
        <v>139</v>
      </c>
      <c r="L60" s="218">
        <f t="shared" si="5"/>
        <v>4.6648807594621315</v>
      </c>
      <c r="M60" s="218"/>
      <c r="N60" s="218"/>
      <c r="O60" s="218"/>
      <c r="P60" s="218"/>
      <c r="Q60" s="218"/>
      <c r="R60" s="218"/>
      <c r="S60" s="64">
        <v>1441</v>
      </c>
      <c r="T60">
        <v>206.2</v>
      </c>
    </row>
    <row r="61" spans="1:20" x14ac:dyDescent="0.25">
      <c r="A61" s="64" t="str">
        <f t="shared" si="0"/>
        <v>CIRF  139.7*10</v>
      </c>
      <c r="B61" s="163">
        <f t="shared" si="1"/>
        <v>31.985968522891806</v>
      </c>
      <c r="C61" s="64">
        <v>139.69999999999999</v>
      </c>
      <c r="D61" s="64">
        <v>10</v>
      </c>
      <c r="E61" s="64"/>
      <c r="F61" s="64"/>
      <c r="G61" s="64"/>
      <c r="H61" s="163">
        <f t="shared" si="2"/>
        <v>40.746456717059623</v>
      </c>
      <c r="I61" s="187">
        <f t="shared" si="3"/>
        <v>861.894009683984</v>
      </c>
      <c r="J61" s="188">
        <f t="shared" si="4"/>
        <v>123.39212737064912</v>
      </c>
      <c r="K61" s="228">
        <v>169</v>
      </c>
      <c r="L61" s="218">
        <f t="shared" si="5"/>
        <v>4.5991969407712903</v>
      </c>
      <c r="M61" s="218"/>
      <c r="N61" s="218"/>
      <c r="O61" s="218"/>
      <c r="P61" s="218"/>
      <c r="Q61" s="218"/>
      <c r="R61" s="218"/>
      <c r="S61" s="64">
        <v>1724</v>
      </c>
      <c r="T61">
        <v>246.8</v>
      </c>
    </row>
    <row r="62" spans="1:20" x14ac:dyDescent="0.25">
      <c r="A62" s="219" t="str">
        <f t="shared" si="0"/>
        <v>CIRF  168.3*3</v>
      </c>
      <c r="B62" s="168">
        <f t="shared" si="1"/>
        <v>12.229639005784142</v>
      </c>
      <c r="C62" s="167">
        <v>168.3</v>
      </c>
      <c r="D62" s="167">
        <v>3</v>
      </c>
      <c r="E62" s="167"/>
      <c r="F62" s="167"/>
      <c r="G62" s="167"/>
      <c r="H62" s="168">
        <f t="shared" si="2"/>
        <v>15.579157969151773</v>
      </c>
      <c r="I62" s="184">
        <f t="shared" si="3"/>
        <v>532.28315861880367</v>
      </c>
      <c r="J62" s="189">
        <f t="shared" si="4"/>
        <v>63.254088962424674</v>
      </c>
      <c r="K62" s="229">
        <v>82</v>
      </c>
      <c r="L62" s="220">
        <f t="shared" si="5"/>
        <v>5.8451999538082546</v>
      </c>
      <c r="M62" s="220"/>
      <c r="N62" s="220"/>
      <c r="O62" s="220"/>
      <c r="P62" s="220"/>
      <c r="Q62" s="220"/>
      <c r="R62" s="220"/>
      <c r="S62" s="167">
        <v>1065</v>
      </c>
      <c r="T62" s="221">
        <v>126.5</v>
      </c>
    </row>
    <row r="63" spans="1:20" x14ac:dyDescent="0.25">
      <c r="A63" s="222" t="str">
        <f t="shared" si="0"/>
        <v>CIRF  168.3*4</v>
      </c>
      <c r="B63" s="174">
        <f t="shared" si="1"/>
        <v>16.20753933172281</v>
      </c>
      <c r="C63" s="173">
        <v>168.3</v>
      </c>
      <c r="D63" s="173">
        <v>4</v>
      </c>
      <c r="E63" s="173"/>
      <c r="F63" s="173"/>
      <c r="G63" s="173"/>
      <c r="H63" s="174">
        <f t="shared" si="2"/>
        <v>20.646546919392112</v>
      </c>
      <c r="I63" s="185">
        <f t="shared" si="3"/>
        <v>697.09168637596451</v>
      </c>
      <c r="J63" s="190">
        <f t="shared" si="4"/>
        <v>82.839178416632734</v>
      </c>
      <c r="K63" s="230">
        <v>108</v>
      </c>
      <c r="L63" s="223">
        <f t="shared" si="5"/>
        <v>5.8106034540312601</v>
      </c>
      <c r="M63" s="223"/>
      <c r="N63" s="223"/>
      <c r="O63" s="223"/>
      <c r="P63" s="223"/>
      <c r="Q63" s="223"/>
      <c r="R63" s="223"/>
      <c r="S63" s="173">
        <v>1394</v>
      </c>
      <c r="T63" s="224">
        <v>165.7</v>
      </c>
    </row>
    <row r="64" spans="1:20" x14ac:dyDescent="0.25">
      <c r="A64" s="222" t="str">
        <f t="shared" si="0"/>
        <v>CIRF  168.3*5</v>
      </c>
      <c r="B64" s="174">
        <f t="shared" si="1"/>
        <v>20.136116653000119</v>
      </c>
      <c r="C64" s="173">
        <v>168.3</v>
      </c>
      <c r="D64" s="173">
        <v>5</v>
      </c>
      <c r="E64" s="173"/>
      <c r="F64" s="173"/>
      <c r="G64" s="173"/>
      <c r="H64" s="174">
        <f t="shared" si="2"/>
        <v>25.651104016560662</v>
      </c>
      <c r="I64" s="185">
        <f t="shared" si="3"/>
        <v>855.84555848574439</v>
      </c>
      <c r="J64" s="190">
        <f t="shared" si="4"/>
        <v>101.70476036669569</v>
      </c>
      <c r="K64" s="230">
        <v>133</v>
      </c>
      <c r="L64" s="223">
        <f t="shared" si="5"/>
        <v>5.7762325524514688</v>
      </c>
      <c r="M64" s="223"/>
      <c r="N64" s="223"/>
      <c r="O64" s="223"/>
      <c r="P64" s="223"/>
      <c r="Q64" s="223"/>
      <c r="R64" s="223"/>
      <c r="S64" s="173">
        <v>1712</v>
      </c>
      <c r="T64" s="224">
        <v>203.4</v>
      </c>
    </row>
    <row r="65" spans="1:20" x14ac:dyDescent="0.25">
      <c r="A65" s="222" t="str">
        <f t="shared" si="0"/>
        <v>CIRF  168.3*6</v>
      </c>
      <c r="B65" s="174">
        <f t="shared" si="1"/>
        <v>24.015370969616072</v>
      </c>
      <c r="C65" s="173">
        <v>168.3</v>
      </c>
      <c r="D65" s="173">
        <v>6</v>
      </c>
      <c r="E65" s="173"/>
      <c r="F65" s="173"/>
      <c r="G65" s="173"/>
      <c r="H65" s="174">
        <f t="shared" si="2"/>
        <v>30.592829260657414</v>
      </c>
      <c r="I65" s="185">
        <f t="shared" si="3"/>
        <v>1008.6949116610583</v>
      </c>
      <c r="J65" s="190">
        <f t="shared" si="4"/>
        <v>119.86867637089225</v>
      </c>
      <c r="K65" s="230">
        <v>158</v>
      </c>
      <c r="L65" s="223">
        <f t="shared" si="5"/>
        <v>5.742091300214585</v>
      </c>
      <c r="M65" s="223"/>
      <c r="N65" s="223"/>
      <c r="O65" s="223"/>
      <c r="P65" s="223"/>
      <c r="Q65" s="223"/>
      <c r="R65" s="223"/>
      <c r="S65" s="173">
        <v>2017</v>
      </c>
      <c r="T65" s="224">
        <v>239.7</v>
      </c>
    </row>
    <row r="66" spans="1:20" x14ac:dyDescent="0.25">
      <c r="A66" s="222" t="str">
        <f t="shared" si="0"/>
        <v>CIRF  168.3*6.3</v>
      </c>
      <c r="B66" s="174">
        <f t="shared" si="1"/>
        <v>25.169529278691872</v>
      </c>
      <c r="C66" s="173">
        <v>168.3</v>
      </c>
      <c r="D66" s="173">
        <v>6.3</v>
      </c>
      <c r="E66" s="173"/>
      <c r="F66" s="173"/>
      <c r="G66" s="173"/>
      <c r="H66" s="174">
        <f t="shared" si="2"/>
        <v>32.063094622537413</v>
      </c>
      <c r="I66" s="185">
        <f t="shared" si="3"/>
        <v>1053.4205493743011</v>
      </c>
      <c r="J66" s="190">
        <f t="shared" si="4"/>
        <v>125.1836659981344</v>
      </c>
      <c r="K66" s="230">
        <v>165</v>
      </c>
      <c r="L66" s="223">
        <f t="shared" si="5"/>
        <v>5.7318943203796096</v>
      </c>
      <c r="M66" s="223"/>
      <c r="N66" s="223"/>
      <c r="O66" s="223"/>
      <c r="P66" s="223"/>
      <c r="Q66" s="223"/>
      <c r="R66" s="223"/>
      <c r="S66" s="173">
        <v>2107</v>
      </c>
      <c r="T66" s="224">
        <v>250.4</v>
      </c>
    </row>
    <row r="67" spans="1:20" x14ac:dyDescent="0.25">
      <c r="A67" s="222" t="str">
        <f t="shared" si="0"/>
        <v>CIRF  168.3*8</v>
      </c>
      <c r="B67" s="174">
        <f t="shared" si="1"/>
        <v>31.625910588863864</v>
      </c>
      <c r="C67" s="173">
        <v>168.3</v>
      </c>
      <c r="D67" s="173">
        <v>8</v>
      </c>
      <c r="E67" s="173"/>
      <c r="F67" s="173"/>
      <c r="G67" s="173"/>
      <c r="H67" s="174">
        <f t="shared" si="2"/>
        <v>40.287784189635495</v>
      </c>
      <c r="I67" s="185">
        <f t="shared" si="3"/>
        <v>1297.271183281985</v>
      </c>
      <c r="J67" s="190">
        <f t="shared" si="4"/>
        <v>154.16175677741947</v>
      </c>
      <c r="K67" s="230">
        <v>206</v>
      </c>
      <c r="L67" s="223">
        <f t="shared" si="5"/>
        <v>5.6745142963957731</v>
      </c>
      <c r="M67" s="223"/>
      <c r="N67" s="223"/>
      <c r="O67" s="223"/>
      <c r="P67" s="223"/>
      <c r="Q67" s="223"/>
      <c r="R67" s="223"/>
      <c r="S67" s="173">
        <v>2595</v>
      </c>
      <c r="T67" s="224">
        <v>308.3</v>
      </c>
    </row>
    <row r="68" spans="1:20" x14ac:dyDescent="0.25">
      <c r="A68" s="225" t="str">
        <f t="shared" ref="A68:A131" si="6">$B$3&amp;"  "&amp;C68&amp;"*"&amp;D68</f>
        <v>CIRF  168.3*10</v>
      </c>
      <c r="B68" s="180">
        <f t="shared" ref="B68:B131" si="7">H68*0.785</f>
        <v>39.039158189466249</v>
      </c>
      <c r="C68" s="179">
        <v>168.3</v>
      </c>
      <c r="D68" s="179">
        <v>10</v>
      </c>
      <c r="E68" s="179"/>
      <c r="F68" s="179"/>
      <c r="G68" s="179"/>
      <c r="H68" s="180">
        <f t="shared" ref="H68:H131" si="8">(C68^2-(C68-2*D68)^2)*PI()*0.01/4</f>
        <v>49.731411706326426</v>
      </c>
      <c r="I68" s="186">
        <f t="shared" ref="I68:I131" si="9">(C68^4-(C68-2*D68)^4)*PI()*0.0001/64</f>
        <v>1563.9838958302241</v>
      </c>
      <c r="J68" s="191">
        <f t="shared" ref="J68:J131" si="10">I68/(C68*0.5*0.1)</f>
        <v>185.85667211292025</v>
      </c>
      <c r="K68" s="231">
        <v>251</v>
      </c>
      <c r="L68" s="226">
        <f t="shared" ref="L68:L131" si="11">SQRT(I68/H68)</f>
        <v>5.6079062492163692</v>
      </c>
      <c r="M68" s="226"/>
      <c r="N68" s="226"/>
      <c r="O68" s="226"/>
      <c r="P68" s="226"/>
      <c r="Q68" s="226"/>
      <c r="R68" s="226"/>
      <c r="S68" s="179">
        <v>3128</v>
      </c>
      <c r="T68" s="227">
        <v>371.7</v>
      </c>
    </row>
    <row r="69" spans="1:20" x14ac:dyDescent="0.25">
      <c r="A69" s="64" t="str">
        <f t="shared" si="6"/>
        <v>CIRF  177.8*4</v>
      </c>
      <c r="B69" s="163">
        <f t="shared" si="7"/>
        <v>17.144676420288647</v>
      </c>
      <c r="C69" s="64">
        <v>177.8</v>
      </c>
      <c r="D69" s="64">
        <v>4</v>
      </c>
      <c r="E69" s="64"/>
      <c r="F69" s="64"/>
      <c r="G69" s="64"/>
      <c r="H69" s="163">
        <f t="shared" si="8"/>
        <v>21.840352127756237</v>
      </c>
      <c r="I69" s="187">
        <f t="shared" si="9"/>
        <v>825.08591469998191</v>
      </c>
      <c r="J69" s="188">
        <f t="shared" si="10"/>
        <v>92.810564083237551</v>
      </c>
      <c r="K69" s="228">
        <v>121</v>
      </c>
      <c r="L69" s="218">
        <f t="shared" si="11"/>
        <v>6.1463851164729357</v>
      </c>
      <c r="M69" s="218"/>
      <c r="N69" s="218"/>
      <c r="O69" s="218"/>
      <c r="P69" s="218"/>
      <c r="Q69" s="218"/>
      <c r="R69" s="218"/>
      <c r="S69" s="64">
        <v>1650</v>
      </c>
      <c r="T69">
        <v>185.6</v>
      </c>
    </row>
    <row r="70" spans="1:20" x14ac:dyDescent="0.25">
      <c r="A70" s="64" t="str">
        <f t="shared" si="6"/>
        <v>CIRF  177.8*5</v>
      </c>
      <c r="B70" s="163">
        <f t="shared" si="7"/>
        <v>21.307538013707415</v>
      </c>
      <c r="C70" s="64">
        <v>177.8</v>
      </c>
      <c r="D70" s="64">
        <v>5</v>
      </c>
      <c r="E70" s="64"/>
      <c r="F70" s="64"/>
      <c r="G70" s="64"/>
      <c r="H70" s="163">
        <f t="shared" si="8"/>
        <v>27.143360527015812</v>
      </c>
      <c r="I70" s="187">
        <f t="shared" si="9"/>
        <v>1013.9687330152292</v>
      </c>
      <c r="J70" s="188">
        <f t="shared" si="10"/>
        <v>114.05722531104939</v>
      </c>
      <c r="K70" s="228">
        <v>149</v>
      </c>
      <c r="L70" s="218">
        <f t="shared" si="11"/>
        <v>6.1119595875627324</v>
      </c>
      <c r="M70" s="218"/>
      <c r="N70" s="218"/>
      <c r="O70" s="218"/>
      <c r="P70" s="218"/>
      <c r="Q70" s="218"/>
      <c r="R70" s="218"/>
      <c r="S70" s="64">
        <v>2028</v>
      </c>
      <c r="T70">
        <v>228.1</v>
      </c>
    </row>
    <row r="71" spans="1:20" x14ac:dyDescent="0.25">
      <c r="A71" s="64" t="str">
        <f t="shared" si="6"/>
        <v>CIRF  177.8*6</v>
      </c>
      <c r="B71" s="163">
        <f t="shared" si="7"/>
        <v>25.421076602464819</v>
      </c>
      <c r="C71" s="64">
        <v>177.8</v>
      </c>
      <c r="D71" s="64">
        <v>6</v>
      </c>
      <c r="E71" s="64"/>
      <c r="F71" s="64"/>
      <c r="G71" s="64"/>
      <c r="H71" s="163">
        <f t="shared" si="8"/>
        <v>32.383537073203591</v>
      </c>
      <c r="I71" s="187">
        <f t="shared" si="9"/>
        <v>1196.2170951239211</v>
      </c>
      <c r="J71" s="188">
        <f t="shared" si="10"/>
        <v>134.55760350100348</v>
      </c>
      <c r="K71" s="228">
        <v>177</v>
      </c>
      <c r="L71" s="218">
        <f t="shared" si="11"/>
        <v>6.0777504061947134</v>
      </c>
      <c r="M71" s="218"/>
      <c r="N71" s="218"/>
      <c r="O71" s="218"/>
      <c r="P71" s="218"/>
      <c r="Q71" s="218"/>
      <c r="R71" s="218"/>
      <c r="S71" s="64">
        <v>2392</v>
      </c>
      <c r="T71">
        <v>269.10000000000002</v>
      </c>
    </row>
    <row r="72" spans="1:20" x14ac:dyDescent="0.25">
      <c r="A72" s="64" t="str">
        <f t="shared" si="6"/>
        <v>CIRF  177.8*6.3</v>
      </c>
      <c r="B72" s="163">
        <f t="shared" si="7"/>
        <v>26.645520193183067</v>
      </c>
      <c r="C72" s="64">
        <v>177.8</v>
      </c>
      <c r="D72" s="64">
        <v>6.3</v>
      </c>
      <c r="E72" s="64"/>
      <c r="F72" s="64"/>
      <c r="G72" s="64"/>
      <c r="H72" s="163">
        <f t="shared" si="8"/>
        <v>33.943337825710913</v>
      </c>
      <c r="I72" s="187">
        <f t="shared" si="9"/>
        <v>1249.6214363032107</v>
      </c>
      <c r="J72" s="188">
        <f t="shared" si="10"/>
        <v>140.56484097898883</v>
      </c>
      <c r="K72" s="228">
        <v>185</v>
      </c>
      <c r="L72" s="218">
        <f t="shared" si="11"/>
        <v>6.0675303872333437</v>
      </c>
      <c r="M72" s="218"/>
      <c r="N72" s="218"/>
      <c r="O72" s="218"/>
      <c r="P72" s="218"/>
      <c r="Q72" s="218"/>
      <c r="R72" s="218"/>
      <c r="S72" s="64">
        <v>2499</v>
      </c>
      <c r="T72">
        <v>281.10000000000002</v>
      </c>
    </row>
    <row r="73" spans="1:20" x14ac:dyDescent="0.25">
      <c r="A73" s="64" t="str">
        <f t="shared" si="6"/>
        <v>CIRF  177.8*8</v>
      </c>
      <c r="B73" s="163">
        <f t="shared" si="7"/>
        <v>33.500184765995527</v>
      </c>
      <c r="C73" s="64">
        <v>177.8</v>
      </c>
      <c r="D73" s="64">
        <v>8</v>
      </c>
      <c r="E73" s="64"/>
      <c r="F73" s="64"/>
      <c r="G73" s="64"/>
      <c r="H73" s="163">
        <f t="shared" si="8"/>
        <v>42.675394606363731</v>
      </c>
      <c r="I73" s="187">
        <f t="shared" si="9"/>
        <v>1541.4373869515891</v>
      </c>
      <c r="J73" s="188">
        <f t="shared" si="10"/>
        <v>173.39003227801902</v>
      </c>
      <c r="K73" s="228">
        <v>231</v>
      </c>
      <c r="L73" s="218">
        <f t="shared" si="11"/>
        <v>6.0099958402647848</v>
      </c>
      <c r="M73" s="218"/>
      <c r="N73" s="218"/>
      <c r="O73" s="218"/>
      <c r="P73" s="218"/>
      <c r="Q73" s="218"/>
      <c r="R73" s="218"/>
      <c r="S73" s="64">
        <v>3083</v>
      </c>
      <c r="T73">
        <v>346.8</v>
      </c>
    </row>
    <row r="74" spans="1:20" x14ac:dyDescent="0.25">
      <c r="A74" s="64" t="str">
        <f t="shared" si="6"/>
        <v>CIRF  177.8*10</v>
      </c>
      <c r="B74" s="163">
        <f t="shared" si="7"/>
        <v>41.382000910880834</v>
      </c>
      <c r="C74" s="64">
        <v>177.8</v>
      </c>
      <c r="D74" s="64">
        <v>10</v>
      </c>
      <c r="E74" s="64"/>
      <c r="F74" s="64"/>
      <c r="G74" s="64"/>
      <c r="H74" s="163">
        <f t="shared" si="8"/>
        <v>52.715924727236725</v>
      </c>
      <c r="I74" s="187">
        <f t="shared" si="9"/>
        <v>1861.9818130869653</v>
      </c>
      <c r="J74" s="188">
        <f t="shared" si="10"/>
        <v>209.44677312564289</v>
      </c>
      <c r="K74" s="228">
        <v>282</v>
      </c>
      <c r="L74" s="218">
        <f t="shared" si="11"/>
        <v>5.9431515208683692</v>
      </c>
      <c r="M74" s="218"/>
      <c r="N74" s="218"/>
      <c r="O74" s="218"/>
      <c r="P74" s="218"/>
      <c r="Q74" s="218"/>
      <c r="R74" s="218"/>
      <c r="S74" s="64">
        <v>3724</v>
      </c>
      <c r="T74">
        <v>418.9</v>
      </c>
    </row>
    <row r="75" spans="1:20" x14ac:dyDescent="0.25">
      <c r="A75" s="64" t="str">
        <f t="shared" si="6"/>
        <v>CIRF  177.8*12</v>
      </c>
      <c r="B75" s="163">
        <f t="shared" si="7"/>
        <v>49.066525037120691</v>
      </c>
      <c r="C75" s="64">
        <v>177.8</v>
      </c>
      <c r="D75" s="64">
        <v>12</v>
      </c>
      <c r="E75" s="64"/>
      <c r="F75" s="64"/>
      <c r="G75" s="64"/>
      <c r="H75" s="163">
        <f t="shared" si="8"/>
        <v>62.505127435822537</v>
      </c>
      <c r="I75" s="187">
        <f t="shared" si="9"/>
        <v>2159.0552371445538</v>
      </c>
      <c r="J75" s="188">
        <f t="shared" si="10"/>
        <v>242.86335625922987</v>
      </c>
      <c r="K75" s="228">
        <v>330</v>
      </c>
      <c r="L75" s="218">
        <f t="shared" si="11"/>
        <v>5.8772485058911705</v>
      </c>
      <c r="M75" s="218"/>
      <c r="N75" s="218"/>
      <c r="O75" s="218"/>
      <c r="P75" s="218"/>
      <c r="Q75" s="218"/>
      <c r="R75" s="218"/>
      <c r="S75" s="64">
        <v>4318</v>
      </c>
      <c r="T75">
        <v>485.7</v>
      </c>
    </row>
    <row r="76" spans="1:20" x14ac:dyDescent="0.25">
      <c r="A76" s="64" t="str">
        <f t="shared" si="6"/>
        <v>CIRF  177.8*12.5</v>
      </c>
      <c r="B76" s="163">
        <f t="shared" si="7"/>
        <v>50.956829190767301</v>
      </c>
      <c r="C76" s="64">
        <v>177.8</v>
      </c>
      <c r="D76" s="64">
        <v>12.5</v>
      </c>
      <c r="E76" s="64"/>
      <c r="F76" s="64"/>
      <c r="G76" s="64"/>
      <c r="H76" s="163">
        <f t="shared" si="8"/>
        <v>64.913158204799103</v>
      </c>
      <c r="I76" s="187">
        <f t="shared" si="9"/>
        <v>2229.7945724270867</v>
      </c>
      <c r="J76" s="188">
        <f t="shared" si="10"/>
        <v>250.82053683094335</v>
      </c>
      <c r="K76" s="228">
        <v>342</v>
      </c>
      <c r="L76" s="218">
        <f t="shared" si="11"/>
        <v>5.8609235620335474</v>
      </c>
      <c r="M76" s="218"/>
      <c r="N76" s="218"/>
      <c r="O76" s="218"/>
      <c r="P76" s="218"/>
      <c r="Q76" s="218"/>
      <c r="R76" s="218"/>
      <c r="S76" s="64">
        <v>4460</v>
      </c>
      <c r="T76">
        <v>501.6</v>
      </c>
    </row>
    <row r="77" spans="1:20" x14ac:dyDescent="0.25">
      <c r="A77" s="219" t="str">
        <f t="shared" si="6"/>
        <v>CIRF  193.7*4</v>
      </c>
      <c r="B77" s="168">
        <f t="shared" si="7"/>
        <v>18.71314796851987</v>
      </c>
      <c r="C77" s="167">
        <v>193.7</v>
      </c>
      <c r="D77" s="167">
        <v>4</v>
      </c>
      <c r="E77" s="167"/>
      <c r="F77" s="167"/>
      <c r="G77" s="167"/>
      <c r="H77" s="168">
        <f t="shared" si="8"/>
        <v>23.838405055439324</v>
      </c>
      <c r="I77" s="184">
        <f t="shared" si="9"/>
        <v>1072.7905053279765</v>
      </c>
      <c r="J77" s="184">
        <f t="shared" si="10"/>
        <v>110.76825042106107</v>
      </c>
      <c r="K77" s="229">
        <v>144</v>
      </c>
      <c r="L77" s="220">
        <f t="shared" si="11"/>
        <v>6.7083986539262845</v>
      </c>
      <c r="M77" s="220"/>
      <c r="N77" s="220"/>
      <c r="O77" s="220"/>
      <c r="P77" s="220"/>
      <c r="Q77" s="220"/>
      <c r="R77" s="220"/>
      <c r="S77" s="167">
        <v>2146</v>
      </c>
      <c r="T77" s="221">
        <v>221.5</v>
      </c>
    </row>
    <row r="78" spans="1:20" x14ac:dyDescent="0.25">
      <c r="A78" s="222" t="str">
        <f t="shared" si="6"/>
        <v>CIRF  193.7*5</v>
      </c>
      <c r="B78" s="174">
        <f t="shared" si="7"/>
        <v>23.268127448996463</v>
      </c>
      <c r="C78" s="173">
        <v>193.7</v>
      </c>
      <c r="D78" s="173">
        <v>5</v>
      </c>
      <c r="E78" s="173"/>
      <c r="F78" s="173"/>
      <c r="G78" s="173"/>
      <c r="H78" s="174">
        <f t="shared" si="8"/>
        <v>29.640926686619697</v>
      </c>
      <c r="I78" s="185">
        <f t="shared" si="9"/>
        <v>1320.232439921308</v>
      </c>
      <c r="J78" s="185">
        <f t="shared" si="10"/>
        <v>136.31723695625277</v>
      </c>
      <c r="K78" s="230">
        <v>178</v>
      </c>
      <c r="L78" s="223">
        <f t="shared" si="11"/>
        <v>6.6738941031454777</v>
      </c>
      <c r="M78" s="223"/>
      <c r="N78" s="223"/>
      <c r="O78" s="223"/>
      <c r="P78" s="223"/>
      <c r="Q78" s="223"/>
      <c r="R78" s="223"/>
      <c r="S78" s="173">
        <v>2640</v>
      </c>
      <c r="T78" s="224">
        <v>272.60000000000002</v>
      </c>
    </row>
    <row r="79" spans="1:20" x14ac:dyDescent="0.25">
      <c r="A79" s="222" t="str">
        <f t="shared" si="6"/>
        <v>CIRF  193.7*6</v>
      </c>
      <c r="B79" s="174">
        <f t="shared" si="7"/>
        <v>27.773783924811649</v>
      </c>
      <c r="C79" s="173">
        <v>193.7</v>
      </c>
      <c r="D79" s="173">
        <v>6</v>
      </c>
      <c r="E79" s="173"/>
      <c r="F79" s="173"/>
      <c r="G79" s="173"/>
      <c r="H79" s="174">
        <f t="shared" si="8"/>
        <v>35.380616464728213</v>
      </c>
      <c r="I79" s="185">
        <f t="shared" si="9"/>
        <v>1559.7230765504301</v>
      </c>
      <c r="J79" s="185">
        <f t="shared" si="10"/>
        <v>161.04523247810326</v>
      </c>
      <c r="K79" s="230">
        <v>211</v>
      </c>
      <c r="L79" s="223">
        <f t="shared" si="11"/>
        <v>6.6395867717803023</v>
      </c>
      <c r="M79" s="223"/>
      <c r="N79" s="223"/>
      <c r="O79" s="223"/>
      <c r="P79" s="223"/>
      <c r="Q79" s="223"/>
      <c r="R79" s="223"/>
      <c r="S79" s="173">
        <v>3119</v>
      </c>
      <c r="T79" s="224">
        <v>322.10000000000002</v>
      </c>
    </row>
    <row r="80" spans="1:20" x14ac:dyDescent="0.25">
      <c r="A80" s="222" t="str">
        <f t="shared" si="6"/>
        <v>CIRF  193.7*6.3</v>
      </c>
      <c r="B80" s="174">
        <f t="shared" si="7"/>
        <v>29.115862881647249</v>
      </c>
      <c r="C80" s="173">
        <v>193.7</v>
      </c>
      <c r="D80" s="173">
        <v>6.3</v>
      </c>
      <c r="E80" s="173"/>
      <c r="F80" s="173"/>
      <c r="G80" s="173"/>
      <c r="H80" s="174">
        <f t="shared" si="8"/>
        <v>37.090271186811783</v>
      </c>
      <c r="I80" s="185">
        <f t="shared" si="9"/>
        <v>1630.0455562599525</v>
      </c>
      <c r="J80" s="185">
        <f t="shared" si="10"/>
        <v>168.3062009561128</v>
      </c>
      <c r="K80" s="230">
        <v>221</v>
      </c>
      <c r="L80" s="223">
        <f t="shared" si="11"/>
        <v>6.629333488368192</v>
      </c>
      <c r="M80" s="223"/>
      <c r="N80" s="223"/>
      <c r="O80" s="223"/>
      <c r="P80" s="223"/>
      <c r="Q80" s="223"/>
      <c r="R80" s="223"/>
      <c r="S80" s="173">
        <v>3260</v>
      </c>
      <c r="T80" s="224">
        <v>336.6</v>
      </c>
    </row>
    <row r="81" spans="1:20" x14ac:dyDescent="0.25">
      <c r="A81" s="222" t="str">
        <f t="shared" si="6"/>
        <v>CIRF  193.7*8</v>
      </c>
      <c r="B81" s="174">
        <f t="shared" si="7"/>
        <v>36.637127862458009</v>
      </c>
      <c r="C81" s="173">
        <v>193.7</v>
      </c>
      <c r="D81" s="173">
        <v>8</v>
      </c>
      <c r="E81" s="173"/>
      <c r="F81" s="173"/>
      <c r="G81" s="173"/>
      <c r="H81" s="174">
        <f t="shared" si="8"/>
        <v>46.671500461729948</v>
      </c>
      <c r="I81" s="185">
        <f t="shared" si="9"/>
        <v>2015.5373337338401</v>
      </c>
      <c r="J81" s="185">
        <f t="shared" si="10"/>
        <v>208.10917230086113</v>
      </c>
      <c r="K81" s="230">
        <v>276</v>
      </c>
      <c r="L81" s="223">
        <f t="shared" si="11"/>
        <v>6.5715761047103447</v>
      </c>
      <c r="M81" s="223"/>
      <c r="N81" s="223"/>
      <c r="O81" s="223"/>
      <c r="P81" s="223"/>
      <c r="Q81" s="223"/>
      <c r="R81" s="223"/>
      <c r="S81" s="173">
        <v>4031</v>
      </c>
      <c r="T81" s="224">
        <v>416.2</v>
      </c>
    </row>
    <row r="82" spans="1:20" x14ac:dyDescent="0.25">
      <c r="A82" s="222" t="str">
        <f t="shared" si="6"/>
        <v>CIRF  193.7*10</v>
      </c>
      <c r="B82" s="174">
        <f t="shared" si="7"/>
        <v>45.303179781458937</v>
      </c>
      <c r="C82" s="173">
        <v>193.7</v>
      </c>
      <c r="D82" s="173">
        <v>10</v>
      </c>
      <c r="E82" s="173"/>
      <c r="F82" s="173"/>
      <c r="G82" s="173"/>
      <c r="H82" s="174">
        <f t="shared" si="8"/>
        <v>57.711057046444502</v>
      </c>
      <c r="I82" s="185">
        <f t="shared" si="9"/>
        <v>2441.5881829578443</v>
      </c>
      <c r="J82" s="185">
        <f t="shared" si="10"/>
        <v>252.09996726461995</v>
      </c>
      <c r="K82" s="230">
        <v>338</v>
      </c>
      <c r="L82" s="223">
        <f t="shared" si="11"/>
        <v>6.504391785555355</v>
      </c>
      <c r="M82" s="223"/>
      <c r="N82" s="223"/>
      <c r="O82" s="223"/>
      <c r="P82" s="223"/>
      <c r="Q82" s="223"/>
      <c r="R82" s="223"/>
      <c r="S82" s="173">
        <v>4883</v>
      </c>
      <c r="T82" s="224">
        <v>504.2</v>
      </c>
    </row>
    <row r="83" spans="1:20" x14ac:dyDescent="0.25">
      <c r="A83" s="222" t="str">
        <f t="shared" si="6"/>
        <v>CIRF  193.7*12</v>
      </c>
      <c r="B83" s="174">
        <f t="shared" si="7"/>
        <v>53.771939681814402</v>
      </c>
      <c r="C83" s="173">
        <v>193.7</v>
      </c>
      <c r="D83" s="173">
        <v>12</v>
      </c>
      <c r="E83" s="173"/>
      <c r="F83" s="173"/>
      <c r="G83" s="173"/>
      <c r="H83" s="174">
        <f t="shared" si="8"/>
        <v>68.499286218871845</v>
      </c>
      <c r="I83" s="185">
        <f t="shared" si="9"/>
        <v>2839.2003710126087</v>
      </c>
      <c r="J83" s="185">
        <f t="shared" si="10"/>
        <v>293.15440072406903</v>
      </c>
      <c r="K83" s="230">
        <v>397</v>
      </c>
      <c r="L83" s="223">
        <f t="shared" si="11"/>
        <v>6.4380596844080271</v>
      </c>
      <c r="M83" s="223"/>
      <c r="N83" s="223"/>
      <c r="O83" s="223"/>
      <c r="P83" s="223"/>
      <c r="Q83" s="223"/>
      <c r="R83" s="223"/>
      <c r="S83" s="173">
        <v>5678</v>
      </c>
      <c r="T83" s="224">
        <v>586.29999999999995</v>
      </c>
    </row>
    <row r="84" spans="1:20" x14ac:dyDescent="0.25">
      <c r="A84" s="225" t="str">
        <f t="shared" si="6"/>
        <v>CIRF  193.7*12.5</v>
      </c>
      <c r="B84" s="180">
        <f t="shared" si="7"/>
        <v>55.858302778989916</v>
      </c>
      <c r="C84" s="179">
        <v>193.7</v>
      </c>
      <c r="D84" s="179">
        <v>12.5</v>
      </c>
      <c r="E84" s="179"/>
      <c r="F84" s="179"/>
      <c r="G84" s="179"/>
      <c r="H84" s="180">
        <f t="shared" si="8"/>
        <v>71.157073603808811</v>
      </c>
      <c r="I84" s="186">
        <f t="shared" si="9"/>
        <v>2934.3122493710439</v>
      </c>
      <c r="J84" s="186">
        <f t="shared" si="10"/>
        <v>302.97493540227606</v>
      </c>
      <c r="K84" s="231">
        <v>411</v>
      </c>
      <c r="L84" s="226">
        <f t="shared" si="11"/>
        <v>6.4216129204429624</v>
      </c>
      <c r="M84" s="226"/>
      <c r="N84" s="226"/>
      <c r="O84" s="226"/>
      <c r="P84" s="226"/>
      <c r="Q84" s="226"/>
      <c r="R84" s="226"/>
      <c r="S84" s="179">
        <v>5869</v>
      </c>
      <c r="T84" s="227">
        <v>605.9</v>
      </c>
    </row>
    <row r="85" spans="1:20" x14ac:dyDescent="0.25">
      <c r="A85" s="64" t="str">
        <f t="shared" si="6"/>
        <v>CIRF  219.1*4</v>
      </c>
      <c r="B85" s="163">
        <f t="shared" si="7"/>
        <v>21.218756605316958</v>
      </c>
      <c r="C85" s="64">
        <v>219.1</v>
      </c>
      <c r="D85" s="64">
        <v>4</v>
      </c>
      <c r="E85" s="64"/>
      <c r="F85" s="64"/>
      <c r="G85" s="64"/>
      <c r="H85" s="163">
        <f t="shared" si="8"/>
        <v>27.030263191486569</v>
      </c>
      <c r="I85" s="187">
        <f t="shared" si="9"/>
        <v>1563.8362148217459</v>
      </c>
      <c r="J85" s="187">
        <f t="shared" si="10"/>
        <v>142.7509096140343</v>
      </c>
      <c r="K85" s="228">
        <v>185</v>
      </c>
      <c r="L85" s="218">
        <f t="shared" si="11"/>
        <v>7.6062482539028409</v>
      </c>
      <c r="M85" s="218"/>
      <c r="N85" s="218"/>
      <c r="O85" s="218"/>
      <c r="P85" s="218"/>
      <c r="Q85" s="218"/>
      <c r="R85" s="218"/>
      <c r="S85" s="64">
        <v>3128</v>
      </c>
      <c r="T85">
        <v>285.5</v>
      </c>
    </row>
    <row r="86" spans="1:20" x14ac:dyDescent="0.25">
      <c r="A86" s="64" t="str">
        <f t="shared" si="6"/>
        <v>CIRF  219.1*5</v>
      </c>
      <c r="B86" s="163">
        <f t="shared" si="7"/>
        <v>26.400138244992807</v>
      </c>
      <c r="C86" s="64">
        <v>219.1</v>
      </c>
      <c r="D86" s="64">
        <v>5</v>
      </c>
      <c r="E86" s="64"/>
      <c r="F86" s="64"/>
      <c r="G86" s="64"/>
      <c r="H86" s="163">
        <f t="shared" si="8"/>
        <v>33.630749356678734</v>
      </c>
      <c r="I86" s="187">
        <f t="shared" si="9"/>
        <v>1928.0428733154195</v>
      </c>
      <c r="J86" s="187">
        <f t="shared" si="10"/>
        <v>175.99661098269462</v>
      </c>
      <c r="K86" s="228">
        <v>229</v>
      </c>
      <c r="L86" s="218">
        <f t="shared" si="11"/>
        <v>7.5716419949704434</v>
      </c>
      <c r="M86" s="218"/>
      <c r="N86" s="218"/>
      <c r="O86" s="218"/>
      <c r="P86" s="218"/>
      <c r="Q86" s="218"/>
      <c r="R86" s="218"/>
      <c r="S86" s="64">
        <v>3856</v>
      </c>
      <c r="T86">
        <v>352</v>
      </c>
    </row>
    <row r="87" spans="1:20" x14ac:dyDescent="0.25">
      <c r="A87" s="64" t="str">
        <f t="shared" si="6"/>
        <v>CIRF  219.1*6</v>
      </c>
      <c r="B87" s="163">
        <f t="shared" si="7"/>
        <v>31.532196880007302</v>
      </c>
      <c r="C87" s="64">
        <v>219.1</v>
      </c>
      <c r="D87" s="64">
        <v>6</v>
      </c>
      <c r="E87" s="64"/>
      <c r="F87" s="64"/>
      <c r="G87" s="64"/>
      <c r="H87" s="163">
        <f t="shared" si="8"/>
        <v>40.168403668799108</v>
      </c>
      <c r="I87" s="187">
        <f t="shared" si="9"/>
        <v>2281.9474303276893</v>
      </c>
      <c r="J87" s="187">
        <f t="shared" si="10"/>
        <v>208.3019105730433</v>
      </c>
      <c r="K87" s="228">
        <v>273</v>
      </c>
      <c r="L87" s="218">
        <f t="shared" si="11"/>
        <v>7.5372085349949032</v>
      </c>
      <c r="M87" s="218"/>
      <c r="N87" s="218"/>
      <c r="O87" s="218"/>
      <c r="P87" s="218"/>
      <c r="Q87" s="218"/>
      <c r="R87" s="218"/>
      <c r="S87" s="64">
        <v>4564</v>
      </c>
      <c r="T87">
        <v>416.6</v>
      </c>
    </row>
    <row r="88" spans="1:20" x14ac:dyDescent="0.25">
      <c r="A88" s="64" t="str">
        <f t="shared" si="6"/>
        <v>CIRF  219.1*6.3</v>
      </c>
      <c r="B88" s="163">
        <f t="shared" si="7"/>
        <v>33.062196484602651</v>
      </c>
      <c r="C88" s="64">
        <v>219.1</v>
      </c>
      <c r="D88" s="64">
        <v>6.3</v>
      </c>
      <c r="E88" s="64"/>
      <c r="F88" s="64"/>
      <c r="G88" s="64"/>
      <c r="H88" s="163">
        <f t="shared" si="8"/>
        <v>42.117447751086182</v>
      </c>
      <c r="I88" s="187">
        <f t="shared" si="9"/>
        <v>2386.139258337234</v>
      </c>
      <c r="J88" s="187">
        <f t="shared" si="10"/>
        <v>217.81280313438921</v>
      </c>
      <c r="K88" s="228">
        <v>285</v>
      </c>
      <c r="L88" s="218">
        <f t="shared" si="11"/>
        <v>7.5269125476519259</v>
      </c>
      <c r="M88" s="218"/>
      <c r="N88" s="218"/>
      <c r="O88" s="218"/>
      <c r="P88" s="218"/>
      <c r="Q88" s="218"/>
      <c r="R88" s="218"/>
      <c r="S88" s="64">
        <v>4772</v>
      </c>
      <c r="T88">
        <v>435.6</v>
      </c>
    </row>
    <row r="89" spans="1:20" x14ac:dyDescent="0.25">
      <c r="A89" s="64" t="str">
        <f t="shared" si="6"/>
        <v>CIRF  219.1*8</v>
      </c>
      <c r="B89" s="163">
        <f t="shared" si="7"/>
        <v>41.648345136052157</v>
      </c>
      <c r="C89" s="64">
        <v>219.1</v>
      </c>
      <c r="D89" s="64">
        <v>8</v>
      </c>
      <c r="E89" s="64"/>
      <c r="F89" s="64"/>
      <c r="G89" s="64"/>
      <c r="H89" s="163">
        <f t="shared" si="8"/>
        <v>53.055216733824402</v>
      </c>
      <c r="I89" s="187">
        <f t="shared" si="9"/>
        <v>2959.63287346987</v>
      </c>
      <c r="J89" s="187">
        <f t="shared" si="10"/>
        <v>270.16274518209678</v>
      </c>
      <c r="K89" s="228">
        <v>357</v>
      </c>
      <c r="L89" s="218">
        <f t="shared" si="11"/>
        <v>7.468869559712501</v>
      </c>
      <c r="M89" s="218"/>
      <c r="N89" s="218"/>
      <c r="O89" s="218"/>
      <c r="P89" s="218"/>
      <c r="Q89" s="218"/>
      <c r="R89" s="218"/>
      <c r="S89" s="64">
        <v>5919</v>
      </c>
      <c r="T89">
        <v>540.29999999999995</v>
      </c>
    </row>
    <row r="90" spans="1:20" x14ac:dyDescent="0.25">
      <c r="A90" s="64" t="str">
        <f t="shared" si="6"/>
        <v>CIRF  219.1*10</v>
      </c>
      <c r="B90" s="163">
        <f t="shared" si="7"/>
        <v>51.567201373451624</v>
      </c>
      <c r="C90" s="64">
        <v>219.1</v>
      </c>
      <c r="D90" s="64">
        <v>10</v>
      </c>
      <c r="E90" s="64"/>
      <c r="F90" s="64"/>
      <c r="G90" s="64"/>
      <c r="H90" s="163">
        <f t="shared" si="8"/>
        <v>65.690702386562577</v>
      </c>
      <c r="I90" s="187">
        <f t="shared" si="9"/>
        <v>3598.4389618160981</v>
      </c>
      <c r="J90" s="187">
        <f t="shared" si="10"/>
        <v>328.474574332825</v>
      </c>
      <c r="K90" s="228">
        <v>438</v>
      </c>
      <c r="L90" s="218">
        <f t="shared" si="11"/>
        <v>7.4012507388954196</v>
      </c>
      <c r="M90" s="218"/>
      <c r="N90" s="218"/>
      <c r="O90" s="218"/>
      <c r="P90" s="218"/>
      <c r="Q90" s="218"/>
      <c r="R90" s="218"/>
      <c r="S90" s="64">
        <v>7197</v>
      </c>
      <c r="T90">
        <v>656.9</v>
      </c>
    </row>
    <row r="91" spans="1:20" x14ac:dyDescent="0.25">
      <c r="A91" s="64" t="str">
        <f t="shared" si="6"/>
        <v>CIRF  219.1*12</v>
      </c>
      <c r="B91" s="163">
        <f t="shared" si="7"/>
        <v>61.28876559220565</v>
      </c>
      <c r="C91" s="64">
        <v>219.1</v>
      </c>
      <c r="D91" s="64">
        <v>12</v>
      </c>
      <c r="E91" s="64"/>
      <c r="F91" s="64"/>
      <c r="G91" s="64"/>
      <c r="H91" s="163">
        <f t="shared" si="8"/>
        <v>78.074860627013564</v>
      </c>
      <c r="I91" s="187">
        <f t="shared" si="9"/>
        <v>4199.8819536446981</v>
      </c>
      <c r="J91" s="187">
        <f t="shared" si="10"/>
        <v>383.37580590093091</v>
      </c>
      <c r="K91" s="228">
        <v>515</v>
      </c>
      <c r="L91" s="218">
        <f t="shared" si="11"/>
        <v>7.3343719908387515</v>
      </c>
      <c r="M91" s="218"/>
      <c r="N91" s="218"/>
      <c r="O91" s="218"/>
      <c r="P91" s="218"/>
      <c r="Q91" s="218"/>
      <c r="R91" s="218"/>
      <c r="S91" s="64">
        <v>8400</v>
      </c>
      <c r="T91">
        <v>766.8</v>
      </c>
    </row>
    <row r="92" spans="1:20" x14ac:dyDescent="0.25">
      <c r="A92" s="64" t="str">
        <f t="shared" si="6"/>
        <v>CIRF  219.1*12.5</v>
      </c>
      <c r="B92" s="163">
        <f t="shared" si="7"/>
        <v>63.688329768980779</v>
      </c>
      <c r="C92" s="64">
        <v>219.1</v>
      </c>
      <c r="D92" s="64">
        <v>12.5</v>
      </c>
      <c r="E92" s="64"/>
      <c r="F92" s="64"/>
      <c r="G92" s="64"/>
      <c r="H92" s="163">
        <f t="shared" si="8"/>
        <v>81.131630278956408</v>
      </c>
      <c r="I92" s="187">
        <f t="shared" si="9"/>
        <v>4344.5795326759244</v>
      </c>
      <c r="J92" s="187">
        <f t="shared" si="10"/>
        <v>396.58416546562523</v>
      </c>
      <c r="K92" s="228">
        <v>534</v>
      </c>
      <c r="L92" s="218">
        <f t="shared" si="11"/>
        <v>7.3177703229877338</v>
      </c>
      <c r="M92" s="218"/>
      <c r="N92" s="218"/>
      <c r="O92" s="218"/>
      <c r="P92" s="218"/>
      <c r="Q92" s="218"/>
      <c r="R92" s="218"/>
      <c r="S92" s="64">
        <v>8689</v>
      </c>
      <c r="T92">
        <v>793.2</v>
      </c>
    </row>
    <row r="93" spans="1:20" x14ac:dyDescent="0.25">
      <c r="A93" s="219" t="str">
        <f t="shared" si="6"/>
        <v>CIRF  244.5*5</v>
      </c>
      <c r="B93" s="168">
        <f t="shared" si="7"/>
        <v>29.532149040989154</v>
      </c>
      <c r="C93" s="167">
        <v>244.5</v>
      </c>
      <c r="D93" s="167">
        <v>5</v>
      </c>
      <c r="E93" s="167"/>
      <c r="F93" s="167"/>
      <c r="G93" s="167"/>
      <c r="H93" s="168">
        <f t="shared" si="8"/>
        <v>37.620572026737776</v>
      </c>
      <c r="I93" s="184">
        <f t="shared" si="9"/>
        <v>2698.5824136216925</v>
      </c>
      <c r="J93" s="184">
        <f t="shared" si="10"/>
        <v>220.74293771956582</v>
      </c>
      <c r="K93" s="229">
        <v>287</v>
      </c>
      <c r="L93" s="220">
        <f t="shared" si="11"/>
        <v>8.4694487719095388</v>
      </c>
      <c r="M93" s="220"/>
      <c r="N93" s="220"/>
      <c r="O93" s="220"/>
      <c r="P93" s="220"/>
      <c r="Q93" s="220"/>
      <c r="R93" s="220"/>
      <c r="S93" s="167">
        <v>5397</v>
      </c>
      <c r="T93" s="221">
        <v>441.5</v>
      </c>
    </row>
    <row r="94" spans="1:20" x14ac:dyDescent="0.25">
      <c r="A94" s="222" t="str">
        <f t="shared" si="6"/>
        <v>CIRF  244.5*6</v>
      </c>
      <c r="B94" s="174">
        <f t="shared" si="7"/>
        <v>35.290609835202901</v>
      </c>
      <c r="C94" s="173">
        <v>244.5</v>
      </c>
      <c r="D94" s="173">
        <v>6</v>
      </c>
      <c r="E94" s="173"/>
      <c r="F94" s="173"/>
      <c r="G94" s="173"/>
      <c r="H94" s="174">
        <f t="shared" si="8"/>
        <v>44.956190872869939</v>
      </c>
      <c r="I94" s="185">
        <f t="shared" si="9"/>
        <v>3198.5346389371621</v>
      </c>
      <c r="J94" s="185">
        <f t="shared" si="10"/>
        <v>261.63882527093347</v>
      </c>
      <c r="K94" s="230">
        <v>341</v>
      </c>
      <c r="L94" s="223">
        <f t="shared" si="11"/>
        <v>8.4349162710722858</v>
      </c>
      <c r="M94" s="223"/>
      <c r="N94" s="223"/>
      <c r="O94" s="223"/>
      <c r="P94" s="223"/>
      <c r="Q94" s="223"/>
      <c r="R94" s="223"/>
      <c r="S94" s="173">
        <v>6397</v>
      </c>
      <c r="T94" s="224">
        <v>523.29999999999995</v>
      </c>
    </row>
    <row r="95" spans="1:20" x14ac:dyDescent="0.25">
      <c r="A95" s="222" t="str">
        <f t="shared" si="6"/>
        <v>CIRF  244.5*6.3</v>
      </c>
      <c r="B95" s="174">
        <f t="shared" si="7"/>
        <v>37.008530087558064</v>
      </c>
      <c r="C95" s="173">
        <v>244.5</v>
      </c>
      <c r="D95" s="173">
        <v>6.3</v>
      </c>
      <c r="E95" s="173"/>
      <c r="F95" s="173"/>
      <c r="G95" s="173"/>
      <c r="H95" s="174">
        <f t="shared" si="8"/>
        <v>47.144624315360588</v>
      </c>
      <c r="I95" s="185">
        <f t="shared" si="9"/>
        <v>3346.0266548476966</v>
      </c>
      <c r="J95" s="185">
        <f t="shared" si="10"/>
        <v>273.7036118484823</v>
      </c>
      <c r="K95" s="230">
        <v>358</v>
      </c>
      <c r="L95" s="223">
        <f t="shared" si="11"/>
        <v>8.4245867851189011</v>
      </c>
      <c r="M95" s="223"/>
      <c r="N95" s="223"/>
      <c r="O95" s="223"/>
      <c r="P95" s="223"/>
      <c r="Q95" s="223"/>
      <c r="R95" s="223"/>
      <c r="S95" s="173">
        <v>6692</v>
      </c>
      <c r="T95" s="224">
        <v>547.4</v>
      </c>
    </row>
    <row r="96" spans="1:20" x14ac:dyDescent="0.25">
      <c r="A96" s="222" t="str">
        <f t="shared" si="6"/>
        <v>CIRF  244.5*8</v>
      </c>
      <c r="B96" s="174">
        <f t="shared" si="7"/>
        <v>46.659562409646334</v>
      </c>
      <c r="C96" s="173">
        <v>244.5</v>
      </c>
      <c r="D96" s="173">
        <v>8</v>
      </c>
      <c r="E96" s="173"/>
      <c r="F96" s="173"/>
      <c r="G96" s="173"/>
      <c r="H96" s="174">
        <f t="shared" si="8"/>
        <v>59.438933005918891</v>
      </c>
      <c r="I96" s="185">
        <f t="shared" si="9"/>
        <v>4160.4466904158571</v>
      </c>
      <c r="J96" s="185">
        <f t="shared" si="10"/>
        <v>340.32283766182877</v>
      </c>
      <c r="K96" s="230">
        <v>448</v>
      </c>
      <c r="L96" s="223">
        <f t="shared" si="11"/>
        <v>8.3663201289455813</v>
      </c>
      <c r="M96" s="223"/>
      <c r="N96" s="223"/>
      <c r="O96" s="223"/>
      <c r="P96" s="223"/>
      <c r="Q96" s="223"/>
      <c r="R96" s="223"/>
      <c r="S96" s="173">
        <v>8321</v>
      </c>
      <c r="T96" s="224">
        <v>680.6</v>
      </c>
    </row>
    <row r="97" spans="1:20" x14ac:dyDescent="0.25">
      <c r="A97" s="222" t="str">
        <f t="shared" si="6"/>
        <v>CIRF  244.5*10</v>
      </c>
      <c r="B97" s="174">
        <f t="shared" si="7"/>
        <v>57.831222965444312</v>
      </c>
      <c r="C97" s="173">
        <v>244.5</v>
      </c>
      <c r="D97" s="173">
        <v>10</v>
      </c>
      <c r="E97" s="173"/>
      <c r="F97" s="173"/>
      <c r="G97" s="173"/>
      <c r="H97" s="174">
        <f t="shared" si="8"/>
        <v>73.670347726680646</v>
      </c>
      <c r="I97" s="185">
        <f t="shared" si="9"/>
        <v>5073.1473423122106</v>
      </c>
      <c r="J97" s="185">
        <f t="shared" si="10"/>
        <v>414.98137769425028</v>
      </c>
      <c r="K97" s="230">
        <v>550</v>
      </c>
      <c r="L97" s="223">
        <f t="shared" si="11"/>
        <v>8.2983620371733604</v>
      </c>
      <c r="M97" s="223"/>
      <c r="N97" s="223"/>
      <c r="O97" s="223"/>
      <c r="P97" s="223"/>
      <c r="Q97" s="223"/>
      <c r="R97" s="223"/>
      <c r="S97" s="173">
        <v>10150</v>
      </c>
      <c r="T97" s="224">
        <v>830</v>
      </c>
    </row>
    <row r="98" spans="1:20" x14ac:dyDescent="0.25">
      <c r="A98" s="222" t="str">
        <f t="shared" si="6"/>
        <v>CIRF  244.5*12</v>
      </c>
      <c r="B98" s="174">
        <f t="shared" si="7"/>
        <v>68.805591502596855</v>
      </c>
      <c r="C98" s="173">
        <v>244.5</v>
      </c>
      <c r="D98" s="173">
        <v>12</v>
      </c>
      <c r="E98" s="173"/>
      <c r="F98" s="173"/>
      <c r="G98" s="173"/>
      <c r="H98" s="174">
        <f t="shared" si="8"/>
        <v>87.650435035155226</v>
      </c>
      <c r="I98" s="185">
        <f t="shared" si="9"/>
        <v>5938.3443643927149</v>
      </c>
      <c r="J98" s="185">
        <f t="shared" si="10"/>
        <v>485.75414023662285</v>
      </c>
      <c r="K98" s="230">
        <v>649</v>
      </c>
      <c r="L98" s="223">
        <f t="shared" si="11"/>
        <v>8.2310577995783749</v>
      </c>
      <c r="M98" s="223"/>
      <c r="N98" s="223"/>
      <c r="O98" s="223"/>
      <c r="P98" s="223"/>
      <c r="Q98" s="223"/>
      <c r="R98" s="223"/>
      <c r="S98" s="173">
        <v>11880</v>
      </c>
      <c r="T98" s="224">
        <v>971.5</v>
      </c>
    </row>
    <row r="99" spans="1:20" x14ac:dyDescent="0.25">
      <c r="A99" s="225" t="str">
        <f t="shared" si="6"/>
        <v>CIRF  244.5*12.5</v>
      </c>
      <c r="B99" s="180">
        <f t="shared" si="7"/>
        <v>71.518356758971649</v>
      </c>
      <c r="C99" s="179">
        <v>244.5</v>
      </c>
      <c r="D99" s="179">
        <v>12.5</v>
      </c>
      <c r="E99" s="179"/>
      <c r="F99" s="179"/>
      <c r="G99" s="179"/>
      <c r="H99" s="180">
        <f t="shared" si="8"/>
        <v>91.106186954104004</v>
      </c>
      <c r="I99" s="186">
        <f t="shared" si="9"/>
        <v>6147.4184354115905</v>
      </c>
      <c r="J99" s="186">
        <f t="shared" si="10"/>
        <v>502.85631373509938</v>
      </c>
      <c r="K99" s="231">
        <v>673</v>
      </c>
      <c r="L99" s="226">
        <f t="shared" si="11"/>
        <v>8.2143357917728199</v>
      </c>
      <c r="M99" s="226"/>
      <c r="N99" s="226"/>
      <c r="O99" s="226"/>
      <c r="P99" s="226"/>
      <c r="Q99" s="226"/>
      <c r="R99" s="226"/>
      <c r="S99" s="179">
        <v>12290</v>
      </c>
      <c r="T99" s="227">
        <v>1006</v>
      </c>
    </row>
    <row r="100" spans="1:20" x14ac:dyDescent="0.25">
      <c r="A100" s="64" t="str">
        <f t="shared" si="6"/>
        <v>CIRF  273*5</v>
      </c>
      <c r="B100" s="163">
        <f t="shared" si="7"/>
        <v>33.04641312311103</v>
      </c>
      <c r="C100" s="64">
        <v>273</v>
      </c>
      <c r="D100" s="64">
        <v>5</v>
      </c>
      <c r="E100" s="64"/>
      <c r="F100" s="64"/>
      <c r="G100" s="64"/>
      <c r="H100" s="163">
        <f t="shared" si="8"/>
        <v>42.097341558103224</v>
      </c>
      <c r="I100" s="187">
        <f t="shared" si="9"/>
        <v>3780.8148670101987</v>
      </c>
      <c r="J100" s="187">
        <f t="shared" si="10"/>
        <v>276.98277413994128</v>
      </c>
      <c r="K100" s="228">
        <v>359</v>
      </c>
      <c r="L100" s="218">
        <f t="shared" si="11"/>
        <v>9.4768797607651436</v>
      </c>
      <c r="M100" s="218"/>
      <c r="N100" s="218"/>
      <c r="O100" s="218"/>
      <c r="P100" s="218"/>
      <c r="Q100" s="218"/>
      <c r="R100" s="218"/>
      <c r="S100" s="64">
        <v>7562</v>
      </c>
      <c r="T100">
        <v>554</v>
      </c>
    </row>
    <row r="101" spans="1:20" x14ac:dyDescent="0.25">
      <c r="A101" s="64" t="str">
        <f t="shared" si="6"/>
        <v>CIRF  273*6</v>
      </c>
      <c r="B101" s="163">
        <f t="shared" si="7"/>
        <v>39.507726733749166</v>
      </c>
      <c r="C101" s="64">
        <v>273</v>
      </c>
      <c r="D101" s="64">
        <v>6</v>
      </c>
      <c r="E101" s="64"/>
      <c r="F101" s="64"/>
      <c r="G101" s="64"/>
      <c r="H101" s="163">
        <f t="shared" si="8"/>
        <v>50.328314310508489</v>
      </c>
      <c r="I101" s="187">
        <f t="shared" si="9"/>
        <v>4487.0837727462722</v>
      </c>
      <c r="J101" s="187">
        <f t="shared" si="10"/>
        <v>328.72408591547781</v>
      </c>
      <c r="K101" s="228">
        <v>428</v>
      </c>
      <c r="L101" s="218">
        <f t="shared" si="11"/>
        <v>9.442258734010629</v>
      </c>
      <c r="M101" s="218"/>
      <c r="N101" s="218"/>
      <c r="O101" s="218"/>
      <c r="P101" s="218"/>
      <c r="Q101" s="218"/>
      <c r="R101" s="218"/>
      <c r="S101" s="64">
        <v>8974</v>
      </c>
      <c r="T101">
        <v>657.4</v>
      </c>
    </row>
    <row r="102" spans="1:20" x14ac:dyDescent="0.25">
      <c r="A102" s="64" t="str">
        <f t="shared" si="6"/>
        <v>CIRF  273*6.3</v>
      </c>
      <c r="B102" s="163">
        <f t="shared" si="7"/>
        <v>41.436502831031703</v>
      </c>
      <c r="C102" s="64">
        <v>273</v>
      </c>
      <c r="D102" s="64">
        <v>6.3</v>
      </c>
      <c r="E102" s="64"/>
      <c r="F102" s="64"/>
      <c r="G102" s="64"/>
      <c r="H102" s="163">
        <f t="shared" si="8"/>
        <v>52.78535392488115</v>
      </c>
      <c r="I102" s="187">
        <f t="shared" si="9"/>
        <v>4695.8233545390203</v>
      </c>
      <c r="J102" s="187">
        <f t="shared" si="10"/>
        <v>344.01636296989159</v>
      </c>
      <c r="K102" s="228">
        <v>448</v>
      </c>
      <c r="L102" s="218">
        <f t="shared" si="11"/>
        <v>9.4318993315238444</v>
      </c>
      <c r="M102" s="218"/>
      <c r="N102" s="218"/>
      <c r="O102" s="218"/>
      <c r="P102" s="218"/>
      <c r="Q102" s="218"/>
      <c r="R102" s="218"/>
      <c r="S102" s="64">
        <v>9392</v>
      </c>
      <c r="T102">
        <v>688</v>
      </c>
    </row>
    <row r="103" spans="1:20" x14ac:dyDescent="0.25">
      <c r="A103" s="64" t="str">
        <f t="shared" si="6"/>
        <v>CIRF  273*8</v>
      </c>
      <c r="B103" s="163">
        <f t="shared" si="7"/>
        <v>52.282384941041343</v>
      </c>
      <c r="C103" s="64">
        <v>273</v>
      </c>
      <c r="D103" s="64">
        <v>8</v>
      </c>
      <c r="E103" s="64"/>
      <c r="F103" s="64"/>
      <c r="G103" s="64"/>
      <c r="H103" s="163">
        <f t="shared" si="8"/>
        <v>66.601764256103621</v>
      </c>
      <c r="I103" s="187">
        <f t="shared" si="9"/>
        <v>5851.7142597465836</v>
      </c>
      <c r="J103" s="187">
        <f t="shared" si="10"/>
        <v>428.6970153660501</v>
      </c>
      <c r="K103" s="228">
        <v>562</v>
      </c>
      <c r="L103" s="218">
        <f t="shared" si="11"/>
        <v>9.3734332024077496</v>
      </c>
      <c r="M103" s="218"/>
      <c r="N103" s="218"/>
      <c r="O103" s="218"/>
      <c r="P103" s="218"/>
      <c r="Q103" s="218"/>
      <c r="R103" s="218"/>
      <c r="S103" s="64">
        <v>11700</v>
      </c>
      <c r="T103">
        <v>857.4</v>
      </c>
    </row>
    <row r="104" spans="1:20" x14ac:dyDescent="0.25">
      <c r="A104" s="64" t="str">
        <f t="shared" si="6"/>
        <v>CIRF  273*10</v>
      </c>
      <c r="B104" s="163">
        <f t="shared" si="7"/>
        <v>64.859751129688078</v>
      </c>
      <c r="C104" s="64">
        <v>273</v>
      </c>
      <c r="D104" s="64">
        <v>10</v>
      </c>
      <c r="E104" s="64"/>
      <c r="F104" s="64"/>
      <c r="G104" s="64"/>
      <c r="H104" s="163">
        <f t="shared" si="8"/>
        <v>82.623886789411557</v>
      </c>
      <c r="I104" s="187">
        <f t="shared" si="9"/>
        <v>7154.0925175196871</v>
      </c>
      <c r="J104" s="187">
        <f t="shared" si="10"/>
        <v>524.10934194283425</v>
      </c>
      <c r="K104" s="228">
        <v>692</v>
      </c>
      <c r="L104" s="218">
        <f t="shared" si="11"/>
        <v>9.3051732923143362</v>
      </c>
      <c r="M104" s="218"/>
      <c r="N104" s="218"/>
      <c r="O104" s="218"/>
      <c r="P104" s="218"/>
      <c r="Q104" s="218"/>
      <c r="R104" s="218"/>
      <c r="S104" s="64">
        <v>14310</v>
      </c>
      <c r="T104">
        <v>1048</v>
      </c>
    </row>
    <row r="105" spans="1:20" x14ac:dyDescent="0.25">
      <c r="A105" s="64" t="str">
        <f t="shared" si="6"/>
        <v>CIRF  273*12</v>
      </c>
      <c r="B105" s="163">
        <f t="shared" si="7"/>
        <v>77.239825299689372</v>
      </c>
      <c r="C105" s="64">
        <v>273</v>
      </c>
      <c r="D105" s="64">
        <v>12</v>
      </c>
      <c r="E105" s="64"/>
      <c r="F105" s="64"/>
      <c r="G105" s="64"/>
      <c r="H105" s="163">
        <f t="shared" si="8"/>
        <v>98.394681910432325</v>
      </c>
      <c r="I105" s="187">
        <f t="shared" si="9"/>
        <v>8396.1412007695781</v>
      </c>
      <c r="J105" s="187">
        <f t="shared" si="10"/>
        <v>615.10191947029875</v>
      </c>
      <c r="K105" s="228">
        <v>818</v>
      </c>
      <c r="L105" s="218">
        <f t="shared" si="11"/>
        <v>9.2374915426212976</v>
      </c>
      <c r="M105" s="218"/>
      <c r="N105" s="218"/>
      <c r="O105" s="218"/>
      <c r="P105" s="218"/>
      <c r="Q105" s="218"/>
      <c r="R105" s="218"/>
      <c r="S105" s="64">
        <v>16790</v>
      </c>
      <c r="T105">
        <v>1230</v>
      </c>
    </row>
    <row r="106" spans="1:20" x14ac:dyDescent="0.25">
      <c r="A106" s="64" t="str">
        <f t="shared" si="6"/>
        <v>CIRF  273*12.5</v>
      </c>
      <c r="B106" s="163">
        <f t="shared" si="7"/>
        <v>80.304016964276343</v>
      </c>
      <c r="C106" s="64">
        <v>273</v>
      </c>
      <c r="D106" s="64">
        <v>12.5</v>
      </c>
      <c r="E106" s="64"/>
      <c r="F106" s="64"/>
      <c r="G106" s="64"/>
      <c r="H106" s="163">
        <f t="shared" si="8"/>
        <v>102.29811078251764</v>
      </c>
      <c r="I106" s="187">
        <f t="shared" si="9"/>
        <v>8697.4493150488888</v>
      </c>
      <c r="J106" s="187">
        <f t="shared" si="10"/>
        <v>637.17577399625554</v>
      </c>
      <c r="K106" s="228">
        <v>849</v>
      </c>
      <c r="L106" s="218">
        <f t="shared" si="11"/>
        <v>9.220662937121169</v>
      </c>
      <c r="M106" s="218"/>
      <c r="N106" s="218"/>
      <c r="O106" s="218"/>
      <c r="P106" s="218"/>
      <c r="Q106" s="218"/>
      <c r="R106" s="218"/>
      <c r="S106" s="64">
        <v>17390</v>
      </c>
      <c r="T106">
        <v>1274</v>
      </c>
    </row>
    <row r="107" spans="1:20" x14ac:dyDescent="0.25">
      <c r="A107" s="219" t="str">
        <f t="shared" si="6"/>
        <v>CIRF  323.9*5</v>
      </c>
      <c r="B107" s="168">
        <f t="shared" si="7"/>
        <v>39.322765466269068</v>
      </c>
      <c r="C107" s="167">
        <v>323.89999999999998</v>
      </c>
      <c r="D107" s="167">
        <v>5</v>
      </c>
      <c r="E107" s="167"/>
      <c r="F107" s="167"/>
      <c r="G107" s="167"/>
      <c r="H107" s="168">
        <f t="shared" si="8"/>
        <v>50.092694861489257</v>
      </c>
      <c r="I107" s="184">
        <f t="shared" si="9"/>
        <v>6369.4245327079143</v>
      </c>
      <c r="J107" s="184">
        <f t="shared" si="10"/>
        <v>393.29574144537906</v>
      </c>
      <c r="K107" s="229">
        <v>509</v>
      </c>
      <c r="L107" s="220">
        <f t="shared" si="11"/>
        <v>11.276203372589553</v>
      </c>
      <c r="M107" s="220"/>
      <c r="N107" s="220"/>
      <c r="O107" s="220"/>
      <c r="P107" s="220"/>
      <c r="Q107" s="220"/>
      <c r="R107" s="220"/>
      <c r="S107" s="167">
        <v>12740</v>
      </c>
      <c r="T107" s="221">
        <v>786.6</v>
      </c>
    </row>
    <row r="108" spans="1:20" x14ac:dyDescent="0.25">
      <c r="A108" s="222" t="str">
        <f t="shared" si="6"/>
        <v>CIRF  323.9*6</v>
      </c>
      <c r="B108" s="174">
        <f t="shared" si="7"/>
        <v>47.039349545538833</v>
      </c>
      <c r="C108" s="173">
        <v>323.89999999999998</v>
      </c>
      <c r="D108" s="173">
        <v>6</v>
      </c>
      <c r="E108" s="173"/>
      <c r="F108" s="173"/>
      <c r="G108" s="173"/>
      <c r="H108" s="174">
        <f t="shared" si="8"/>
        <v>59.922738274571756</v>
      </c>
      <c r="I108" s="185">
        <f t="shared" si="9"/>
        <v>7572.4671461610042</v>
      </c>
      <c r="J108" s="185">
        <f t="shared" si="10"/>
        <v>467.58055857740067</v>
      </c>
      <c r="K108" s="230">
        <v>606</v>
      </c>
      <c r="L108" s="223">
        <f t="shared" si="11"/>
        <v>11.241463983841255</v>
      </c>
      <c r="M108" s="223"/>
      <c r="N108" s="223"/>
      <c r="O108" s="223"/>
      <c r="P108" s="223"/>
      <c r="Q108" s="223"/>
      <c r="R108" s="223"/>
      <c r="S108" s="173">
        <v>15140</v>
      </c>
      <c r="T108" s="224">
        <v>935.2</v>
      </c>
    </row>
    <row r="109" spans="1:20" x14ac:dyDescent="0.25">
      <c r="A109" s="222" t="str">
        <f t="shared" si="6"/>
        <v>CIRF  323.9*6.3</v>
      </c>
      <c r="B109" s="174">
        <f t="shared" si="7"/>
        <v>49.344706783410864</v>
      </c>
      <c r="C109" s="173">
        <v>323.89999999999998</v>
      </c>
      <c r="D109" s="173">
        <v>6.3</v>
      </c>
      <c r="E109" s="173"/>
      <c r="F109" s="173"/>
      <c r="G109" s="173"/>
      <c r="H109" s="174">
        <f t="shared" si="8"/>
        <v>62.859499087147597</v>
      </c>
      <c r="I109" s="185">
        <f t="shared" si="9"/>
        <v>7928.8968501994586</v>
      </c>
      <c r="J109" s="185">
        <f t="shared" si="10"/>
        <v>489.58918494593752</v>
      </c>
      <c r="K109" s="230">
        <v>636</v>
      </c>
      <c r="L109" s="223">
        <f t="shared" si="11"/>
        <v>11.231064620061627</v>
      </c>
      <c r="M109" s="223"/>
      <c r="N109" s="223"/>
      <c r="O109" s="223"/>
      <c r="P109" s="223"/>
      <c r="Q109" s="223"/>
      <c r="R109" s="223"/>
      <c r="S109" s="173">
        <v>15860</v>
      </c>
      <c r="T109" s="224">
        <v>979.2</v>
      </c>
    </row>
    <row r="110" spans="1:20" x14ac:dyDescent="0.25">
      <c r="A110" s="222" t="str">
        <f t="shared" si="6"/>
        <v>CIRF  323.9*8</v>
      </c>
      <c r="B110" s="174">
        <f t="shared" si="7"/>
        <v>62.324548690094204</v>
      </c>
      <c r="C110" s="173">
        <v>323.89999999999998</v>
      </c>
      <c r="D110" s="173">
        <v>8</v>
      </c>
      <c r="E110" s="173"/>
      <c r="F110" s="173"/>
      <c r="G110" s="173"/>
      <c r="H110" s="174">
        <f t="shared" si="8"/>
        <v>79.394329541521273</v>
      </c>
      <c r="I110" s="185">
        <f t="shared" si="9"/>
        <v>9910.0806001313485</v>
      </c>
      <c r="J110" s="185">
        <f t="shared" si="10"/>
        <v>611.92223526590601</v>
      </c>
      <c r="K110" s="230">
        <v>799</v>
      </c>
      <c r="L110" s="223">
        <f t="shared" si="11"/>
        <v>11.172332455669229</v>
      </c>
      <c r="M110" s="223"/>
      <c r="N110" s="223"/>
      <c r="O110" s="223"/>
      <c r="P110" s="223"/>
      <c r="Q110" s="223"/>
      <c r="R110" s="223"/>
      <c r="S110" s="173">
        <v>19820</v>
      </c>
      <c r="T110" s="224">
        <v>1224</v>
      </c>
    </row>
    <row r="111" spans="1:20" x14ac:dyDescent="0.25">
      <c r="A111" s="222" t="str">
        <f t="shared" si="6"/>
        <v>CIRF  323.9*10</v>
      </c>
      <c r="B111" s="174">
        <f t="shared" si="7"/>
        <v>77.41245581600414</v>
      </c>
      <c r="C111" s="173">
        <v>323.89999999999998</v>
      </c>
      <c r="D111" s="173">
        <v>10</v>
      </c>
      <c r="E111" s="173"/>
      <c r="F111" s="173"/>
      <c r="G111" s="173"/>
      <c r="H111" s="174">
        <f t="shared" si="8"/>
        <v>98.614593396183608</v>
      </c>
      <c r="I111" s="185">
        <f t="shared" si="9"/>
        <v>12158.342374387992</v>
      </c>
      <c r="J111" s="185">
        <f t="shared" si="10"/>
        <v>750.74667331818409</v>
      </c>
      <c r="K111" s="230">
        <v>986</v>
      </c>
      <c r="L111" s="223">
        <f t="shared" si="11"/>
        <v>11.1036711271543</v>
      </c>
      <c r="M111" s="223"/>
      <c r="N111" s="223"/>
      <c r="O111" s="223"/>
      <c r="P111" s="223"/>
      <c r="Q111" s="223"/>
      <c r="R111" s="223"/>
      <c r="S111" s="173">
        <v>24320</v>
      </c>
      <c r="T111" s="224">
        <v>1501</v>
      </c>
    </row>
    <row r="112" spans="1:20" x14ac:dyDescent="0.25">
      <c r="A112" s="222" t="str">
        <f t="shared" si="6"/>
        <v>CIRF  323.9*12</v>
      </c>
      <c r="B112" s="174">
        <f t="shared" si="7"/>
        <v>92.303070923268706</v>
      </c>
      <c r="C112" s="173">
        <v>323.89999999999998</v>
      </c>
      <c r="D112" s="173">
        <v>12</v>
      </c>
      <c r="E112" s="173"/>
      <c r="F112" s="173"/>
      <c r="G112" s="173"/>
      <c r="H112" s="174">
        <f t="shared" si="8"/>
        <v>117.58352983855886</v>
      </c>
      <c r="I112" s="185">
        <f t="shared" si="9"/>
        <v>14319.5589005935</v>
      </c>
      <c r="J112" s="185">
        <f t="shared" si="10"/>
        <v>884.19628901472674</v>
      </c>
      <c r="K112" s="230">
        <v>1168</v>
      </c>
      <c r="L112" s="223">
        <f t="shared" si="11"/>
        <v>11.035488774857233</v>
      </c>
      <c r="M112" s="223"/>
      <c r="N112" s="223"/>
      <c r="O112" s="223"/>
      <c r="P112" s="223"/>
      <c r="Q112" s="223"/>
      <c r="R112" s="223"/>
      <c r="S112" s="173">
        <v>28640</v>
      </c>
      <c r="T112" s="224">
        <v>1768</v>
      </c>
    </row>
    <row r="113" spans="1:20" x14ac:dyDescent="0.25">
      <c r="A113" s="225" t="str">
        <f t="shared" si="6"/>
        <v>CIRF  323.9*12.5</v>
      </c>
      <c r="B113" s="180">
        <f t="shared" si="7"/>
        <v>95.99489782217141</v>
      </c>
      <c r="C113" s="179">
        <v>323.89999999999998</v>
      </c>
      <c r="D113" s="179">
        <v>12.5</v>
      </c>
      <c r="E113" s="179"/>
      <c r="F113" s="179"/>
      <c r="G113" s="179"/>
      <c r="H113" s="180">
        <f t="shared" si="8"/>
        <v>122.28649404098269</v>
      </c>
      <c r="I113" s="186">
        <f t="shared" si="9"/>
        <v>14846.529625485296</v>
      </c>
      <c r="J113" s="186">
        <f t="shared" si="10"/>
        <v>916.73538903891915</v>
      </c>
      <c r="K113" s="231">
        <v>1213</v>
      </c>
      <c r="L113" s="226">
        <f t="shared" si="11"/>
        <v>11.018519070183617</v>
      </c>
      <c r="M113" s="226"/>
      <c r="N113" s="226"/>
      <c r="O113" s="226"/>
      <c r="P113" s="226"/>
      <c r="Q113" s="226"/>
      <c r="R113" s="226"/>
      <c r="S113" s="179">
        <v>29690</v>
      </c>
      <c r="T113" s="227">
        <v>1833</v>
      </c>
    </row>
    <row r="114" spans="1:20" x14ac:dyDescent="0.25">
      <c r="A114" s="64" t="str">
        <f t="shared" si="6"/>
        <v>CIRF  355.6*5</v>
      </c>
      <c r="B114" s="163">
        <f t="shared" si="7"/>
        <v>43.231613585681828</v>
      </c>
      <c r="C114" s="64">
        <v>355.6</v>
      </c>
      <c r="D114" s="64">
        <v>5</v>
      </c>
      <c r="E114" s="64"/>
      <c r="F114" s="64"/>
      <c r="G114" s="64"/>
      <c r="H114" s="163">
        <f t="shared" si="8"/>
        <v>55.072119217429076</v>
      </c>
      <c r="I114" s="187">
        <f t="shared" si="9"/>
        <v>8463.576903937168</v>
      </c>
      <c r="J114" s="187">
        <f t="shared" si="10"/>
        <v>476.0166987591208</v>
      </c>
      <c r="K114" s="228">
        <v>615</v>
      </c>
      <c r="L114" s="218">
        <f t="shared" si="11"/>
        <v>12.396842339886394</v>
      </c>
      <c r="M114" s="218"/>
      <c r="N114" s="218"/>
      <c r="O114" s="218"/>
      <c r="P114" s="218"/>
      <c r="Q114" s="218"/>
      <c r="R114" s="218"/>
      <c r="S114" s="64">
        <v>16930</v>
      </c>
      <c r="T114">
        <v>952</v>
      </c>
    </row>
    <row r="115" spans="1:20" x14ac:dyDescent="0.25">
      <c r="A115" s="64" t="str">
        <f t="shared" si="6"/>
        <v>CIRF  355.6*6</v>
      </c>
      <c r="B115" s="163">
        <f t="shared" si="7"/>
        <v>51.729967288834075</v>
      </c>
      <c r="C115" s="64">
        <v>355.6</v>
      </c>
      <c r="D115" s="64">
        <v>6</v>
      </c>
      <c r="E115" s="64"/>
      <c r="F115" s="64"/>
      <c r="G115" s="64"/>
      <c r="H115" s="163">
        <f t="shared" si="8"/>
        <v>65.898047501699452</v>
      </c>
      <c r="I115" s="187">
        <f t="shared" si="9"/>
        <v>10070.552798819212</v>
      </c>
      <c r="J115" s="187">
        <f t="shared" si="10"/>
        <v>566.39779520917944</v>
      </c>
      <c r="K115" s="228">
        <v>733</v>
      </c>
      <c r="L115" s="218">
        <f t="shared" si="11"/>
        <v>12.362046756099899</v>
      </c>
      <c r="M115" s="218"/>
      <c r="N115" s="218"/>
      <c r="O115" s="218"/>
      <c r="P115" s="218"/>
      <c r="Q115" s="218"/>
      <c r="R115" s="218"/>
      <c r="S115" s="64">
        <v>20140</v>
      </c>
      <c r="T115">
        <v>1133</v>
      </c>
    </row>
    <row r="116" spans="1:20" x14ac:dyDescent="0.25">
      <c r="A116" s="64" t="str">
        <f t="shared" si="6"/>
        <v>CIRF  355.6*6.3</v>
      </c>
      <c r="B116" s="163">
        <f t="shared" si="7"/>
        <v>54.269855413870921</v>
      </c>
      <c r="C116" s="64">
        <v>355.6</v>
      </c>
      <c r="D116" s="64">
        <v>6.3</v>
      </c>
      <c r="E116" s="64"/>
      <c r="F116" s="64"/>
      <c r="G116" s="64"/>
      <c r="H116" s="163">
        <f t="shared" si="8"/>
        <v>69.133573775631746</v>
      </c>
      <c r="I116" s="187">
        <f t="shared" si="9"/>
        <v>10547.206404198918</v>
      </c>
      <c r="J116" s="187">
        <f t="shared" si="10"/>
        <v>593.20620946000656</v>
      </c>
      <c r="K116" s="228">
        <v>769</v>
      </c>
      <c r="L116" s="218">
        <f t="shared" si="11"/>
        <v>12.351628435149756</v>
      </c>
      <c r="M116" s="218"/>
      <c r="N116" s="218"/>
      <c r="O116" s="218"/>
      <c r="P116" s="218"/>
      <c r="Q116" s="218"/>
      <c r="R116" s="218"/>
      <c r="S116" s="64">
        <v>21090</v>
      </c>
      <c r="T116">
        <v>1186</v>
      </c>
    </row>
    <row r="117" spans="1:20" x14ac:dyDescent="0.25">
      <c r="A117" s="64" t="str">
        <f t="shared" si="6"/>
        <v>CIRF  355.6*8</v>
      </c>
      <c r="B117" s="163">
        <f t="shared" si="7"/>
        <v>68.578705681154588</v>
      </c>
      <c r="C117" s="64">
        <v>355.6</v>
      </c>
      <c r="D117" s="64">
        <v>8</v>
      </c>
      <c r="E117" s="64"/>
      <c r="F117" s="64"/>
      <c r="G117" s="64"/>
      <c r="H117" s="163">
        <f t="shared" si="8"/>
        <v>87.361408511024948</v>
      </c>
      <c r="I117" s="187">
        <f t="shared" si="9"/>
        <v>13201.374635199711</v>
      </c>
      <c r="J117" s="187">
        <f t="shared" si="10"/>
        <v>742.48451266590041</v>
      </c>
      <c r="K117" s="228">
        <v>967</v>
      </c>
      <c r="L117" s="218">
        <f t="shared" si="11"/>
        <v>12.292770232945871</v>
      </c>
      <c r="M117" s="218"/>
      <c r="N117" s="218"/>
      <c r="O117" s="218"/>
      <c r="P117" s="218"/>
      <c r="Q117" s="218"/>
      <c r="R117" s="218"/>
      <c r="S117" s="64">
        <v>26400</v>
      </c>
      <c r="T117">
        <v>1485</v>
      </c>
    </row>
    <row r="118" spans="1:20" x14ac:dyDescent="0.25">
      <c r="A118" s="64" t="str">
        <f t="shared" si="6"/>
        <v>CIRF  355.6*10</v>
      </c>
      <c r="B118" s="163">
        <f t="shared" si="7"/>
        <v>85.230152054829659</v>
      </c>
      <c r="C118" s="64">
        <v>355.6</v>
      </c>
      <c r="D118" s="64">
        <v>10</v>
      </c>
      <c r="E118" s="64"/>
      <c r="F118" s="64"/>
      <c r="G118" s="64"/>
      <c r="H118" s="163">
        <f t="shared" si="8"/>
        <v>108.57344210806325</v>
      </c>
      <c r="I118" s="187">
        <f t="shared" si="9"/>
        <v>16223.499728243667</v>
      </c>
      <c r="J118" s="187">
        <f t="shared" si="10"/>
        <v>912.45780248839515</v>
      </c>
      <c r="K118" s="228">
        <v>1195</v>
      </c>
      <c r="L118" s="218">
        <f t="shared" si="11"/>
        <v>12.223919175125465</v>
      </c>
      <c r="M118" s="218"/>
      <c r="N118" s="218"/>
      <c r="O118" s="218"/>
      <c r="P118" s="218"/>
      <c r="Q118" s="218"/>
      <c r="R118" s="218"/>
      <c r="S118" s="64">
        <v>32450</v>
      </c>
      <c r="T118">
        <v>1825</v>
      </c>
    </row>
    <row r="119" spans="1:20" x14ac:dyDescent="0.25">
      <c r="A119" s="64" t="str">
        <f t="shared" si="6"/>
        <v>CIRF  355.6*12</v>
      </c>
      <c r="B119" s="163">
        <f t="shared" si="7"/>
        <v>101.68430640985927</v>
      </c>
      <c r="C119" s="64">
        <v>355.6</v>
      </c>
      <c r="D119" s="64">
        <v>12</v>
      </c>
      <c r="E119" s="64"/>
      <c r="F119" s="64"/>
      <c r="G119" s="64"/>
      <c r="H119" s="163">
        <f t="shared" si="8"/>
        <v>129.53414829281436</v>
      </c>
      <c r="I119" s="187">
        <f t="shared" si="9"/>
        <v>19139.473521982738</v>
      </c>
      <c r="J119" s="187">
        <f t="shared" si="10"/>
        <v>1076.4608280080279</v>
      </c>
      <c r="K119" s="228">
        <v>1417</v>
      </c>
      <c r="L119" s="218">
        <f t="shared" si="11"/>
        <v>12.155500812389427</v>
      </c>
      <c r="M119" s="218"/>
      <c r="N119" s="218"/>
      <c r="O119" s="218"/>
      <c r="P119" s="218"/>
      <c r="Q119" s="218"/>
      <c r="R119" s="218"/>
      <c r="S119" s="64">
        <v>38280</v>
      </c>
      <c r="T119">
        <v>2153</v>
      </c>
    </row>
    <row r="120" spans="1:20" x14ac:dyDescent="0.25">
      <c r="A120" s="64" t="str">
        <f t="shared" si="6"/>
        <v>CIRF  355.6*12.5</v>
      </c>
      <c r="B120" s="163">
        <f t="shared" si="7"/>
        <v>105.76701812070333</v>
      </c>
      <c r="C120" s="64">
        <v>355.6</v>
      </c>
      <c r="D120" s="64">
        <v>12.5</v>
      </c>
      <c r="E120" s="64"/>
      <c r="F120" s="64"/>
      <c r="G120" s="64"/>
      <c r="H120" s="163">
        <f t="shared" si="8"/>
        <v>134.73505493083226</v>
      </c>
      <c r="I120" s="187">
        <f t="shared" si="9"/>
        <v>19852.176252511541</v>
      </c>
      <c r="J120" s="187">
        <f t="shared" si="10"/>
        <v>1116.5453460355197</v>
      </c>
      <c r="K120" s="228">
        <v>1472</v>
      </c>
      <c r="L120" s="218">
        <f t="shared" si="11"/>
        <v>12.138464688748739</v>
      </c>
      <c r="M120" s="218"/>
      <c r="N120" s="218"/>
      <c r="O120" s="218"/>
      <c r="P120" s="218"/>
      <c r="Q120" s="218"/>
      <c r="R120" s="218"/>
      <c r="S120" s="64">
        <v>39700</v>
      </c>
      <c r="T120">
        <v>2233</v>
      </c>
    </row>
    <row r="121" spans="1:20" x14ac:dyDescent="0.25">
      <c r="A121" s="64" t="str">
        <f t="shared" si="6"/>
        <v>CIRF  355.6*16</v>
      </c>
      <c r="B121" s="163">
        <f t="shared" si="7"/>
        <v>134.00073906398211</v>
      </c>
      <c r="C121" s="64">
        <v>355.6</v>
      </c>
      <c r="D121" s="64">
        <v>16</v>
      </c>
      <c r="E121" s="64"/>
      <c r="F121" s="64"/>
      <c r="G121" s="64"/>
      <c r="H121" s="163">
        <f t="shared" si="8"/>
        <v>170.70157842545493</v>
      </c>
      <c r="I121" s="187">
        <f t="shared" si="9"/>
        <v>24662.998191225426</v>
      </c>
      <c r="J121" s="187">
        <f t="shared" si="10"/>
        <v>1387.1202582241522</v>
      </c>
      <c r="K121" s="228">
        <v>1847</v>
      </c>
      <c r="L121" s="218">
        <f t="shared" si="11"/>
        <v>12.01999168052957</v>
      </c>
      <c r="M121" s="218"/>
      <c r="N121" s="218"/>
      <c r="O121" s="218"/>
      <c r="P121" s="218"/>
      <c r="Q121" s="218"/>
      <c r="R121" s="218"/>
      <c r="S121" s="64">
        <v>49330</v>
      </c>
      <c r="T121">
        <v>2774</v>
      </c>
    </row>
    <row r="122" spans="1:20" x14ac:dyDescent="0.25">
      <c r="A122" s="64" t="str">
        <f t="shared" si="6"/>
        <v>CIRF  355.6*20</v>
      </c>
      <c r="B122" s="163">
        <f t="shared" si="7"/>
        <v>165.52800364352333</v>
      </c>
      <c r="C122" s="64">
        <v>355.6</v>
      </c>
      <c r="D122" s="64">
        <v>20</v>
      </c>
      <c r="E122" s="64"/>
      <c r="F122" s="64"/>
      <c r="G122" s="64"/>
      <c r="H122" s="163">
        <f t="shared" si="8"/>
        <v>210.8636989089469</v>
      </c>
      <c r="I122" s="187">
        <f t="shared" si="9"/>
        <v>29791.709009391445</v>
      </c>
      <c r="J122" s="187">
        <f t="shared" si="10"/>
        <v>1675.5741850051431</v>
      </c>
      <c r="K122" s="228">
        <v>2255</v>
      </c>
      <c r="L122" s="218">
        <f t="shared" si="11"/>
        <v>11.886303041736738</v>
      </c>
      <c r="M122" s="218"/>
      <c r="N122" s="218"/>
      <c r="O122" s="218"/>
      <c r="P122" s="218"/>
      <c r="Q122" s="218"/>
      <c r="R122" s="218"/>
      <c r="S122" s="64">
        <v>59580</v>
      </c>
      <c r="T122">
        <v>3351</v>
      </c>
    </row>
    <row r="123" spans="1:20" x14ac:dyDescent="0.25">
      <c r="A123" s="219" t="str">
        <f t="shared" si="6"/>
        <v>CIRF  406.4*6</v>
      </c>
      <c r="B123" s="168">
        <f t="shared" si="7"/>
        <v>59.246793199225365</v>
      </c>
      <c r="C123" s="167">
        <v>406.4</v>
      </c>
      <c r="D123" s="167">
        <v>6</v>
      </c>
      <c r="E123" s="167"/>
      <c r="F123" s="167"/>
      <c r="G123" s="167"/>
      <c r="H123" s="168">
        <f t="shared" si="8"/>
        <v>75.473621909841228</v>
      </c>
      <c r="I123" s="184">
        <f t="shared" si="9"/>
        <v>15128.325238442518</v>
      </c>
      <c r="J123" s="184">
        <f t="shared" si="10"/>
        <v>744.50419480524204</v>
      </c>
      <c r="K123" s="229">
        <v>962</v>
      </c>
      <c r="L123" s="220">
        <f t="shared" si="11"/>
        <v>14.157867070996257</v>
      </c>
      <c r="M123" s="220"/>
      <c r="N123" s="220"/>
      <c r="O123" s="220"/>
      <c r="P123" s="220"/>
      <c r="Q123" s="220"/>
      <c r="R123" s="220"/>
      <c r="S123" s="167">
        <v>30260</v>
      </c>
      <c r="T123" s="221">
        <v>1489</v>
      </c>
    </row>
    <row r="124" spans="1:20" x14ac:dyDescent="0.25">
      <c r="A124" s="222" t="str">
        <f t="shared" si="6"/>
        <v>CIRF  406.4*6.3</v>
      </c>
      <c r="B124" s="174">
        <f t="shared" si="7"/>
        <v>62.16252261978174</v>
      </c>
      <c r="C124" s="173">
        <v>406.4</v>
      </c>
      <c r="D124" s="173">
        <v>6.3</v>
      </c>
      <c r="E124" s="173"/>
      <c r="F124" s="173"/>
      <c r="G124" s="173"/>
      <c r="H124" s="174">
        <f t="shared" si="8"/>
        <v>79.187926904180557</v>
      </c>
      <c r="I124" s="185">
        <f t="shared" si="9"/>
        <v>15849.433874399147</v>
      </c>
      <c r="J124" s="185">
        <f t="shared" si="10"/>
        <v>779.991824527517</v>
      </c>
      <c r="K124" s="230">
        <v>1009</v>
      </c>
      <c r="L124" s="223">
        <f t="shared" si="11"/>
        <v>14.147424677304345</v>
      </c>
      <c r="M124" s="223"/>
      <c r="N124" s="223"/>
      <c r="O124" s="223"/>
      <c r="P124" s="223"/>
      <c r="Q124" s="223"/>
      <c r="R124" s="223"/>
      <c r="S124" s="173">
        <v>31700</v>
      </c>
      <c r="T124" s="224">
        <v>1560</v>
      </c>
    </row>
    <row r="125" spans="1:20" x14ac:dyDescent="0.25">
      <c r="A125" s="222" t="str">
        <f t="shared" si="6"/>
        <v>CIRF  406.4*8</v>
      </c>
      <c r="B125" s="174">
        <f t="shared" si="7"/>
        <v>78.601140228343013</v>
      </c>
      <c r="C125" s="173">
        <v>406.4</v>
      </c>
      <c r="D125" s="173">
        <v>8</v>
      </c>
      <c r="E125" s="173"/>
      <c r="F125" s="173"/>
      <c r="G125" s="173"/>
      <c r="H125" s="174">
        <f t="shared" si="8"/>
        <v>100.12884105521402</v>
      </c>
      <c r="I125" s="185">
        <f t="shared" si="9"/>
        <v>19873.892784930253</v>
      </c>
      <c r="J125" s="185">
        <f t="shared" si="10"/>
        <v>978.04590477018962</v>
      </c>
      <c r="K125" s="230">
        <v>1270</v>
      </c>
      <c r="L125" s="223">
        <f t="shared" si="11"/>
        <v>14.08840658129939</v>
      </c>
      <c r="M125" s="223"/>
      <c r="N125" s="223"/>
      <c r="O125" s="223"/>
      <c r="P125" s="223"/>
      <c r="Q125" s="223"/>
      <c r="R125" s="223"/>
      <c r="S125" s="173">
        <v>39750</v>
      </c>
      <c r="T125" s="224">
        <v>1956</v>
      </c>
    </row>
    <row r="126" spans="1:20" x14ac:dyDescent="0.25">
      <c r="A126" s="222" t="str">
        <f t="shared" si="6"/>
        <v>CIRF  406.4*10</v>
      </c>
      <c r="B126" s="174">
        <f t="shared" si="7"/>
        <v>97.758195238815034</v>
      </c>
      <c r="C126" s="173">
        <v>406.4</v>
      </c>
      <c r="D126" s="173">
        <v>10</v>
      </c>
      <c r="E126" s="173"/>
      <c r="F126" s="173"/>
      <c r="G126" s="173"/>
      <c r="H126" s="174">
        <f t="shared" si="8"/>
        <v>124.5327327882994</v>
      </c>
      <c r="I126" s="185">
        <f t="shared" si="9"/>
        <v>24475.812741491711</v>
      </c>
      <c r="J126" s="185">
        <f t="shared" si="10"/>
        <v>1204.5183435773479</v>
      </c>
      <c r="K126" s="230">
        <v>1572</v>
      </c>
      <c r="L126" s="223">
        <f t="shared" si="11"/>
        <v>14.019315247186647</v>
      </c>
      <c r="M126" s="223"/>
      <c r="N126" s="223"/>
      <c r="O126" s="223"/>
      <c r="P126" s="223"/>
      <c r="Q126" s="223"/>
      <c r="R126" s="223"/>
      <c r="S126" s="173">
        <v>48950</v>
      </c>
      <c r="T126" s="224">
        <v>2409</v>
      </c>
    </row>
    <row r="127" spans="1:20" x14ac:dyDescent="0.25">
      <c r="A127" s="222" t="str">
        <f t="shared" si="6"/>
        <v>CIRF  406.4*12</v>
      </c>
      <c r="B127" s="174">
        <f t="shared" si="7"/>
        <v>116.7179582306418</v>
      </c>
      <c r="C127" s="173">
        <v>406.4</v>
      </c>
      <c r="D127" s="173">
        <v>12</v>
      </c>
      <c r="E127" s="173"/>
      <c r="F127" s="173"/>
      <c r="G127" s="173"/>
      <c r="H127" s="174">
        <f t="shared" si="8"/>
        <v>148.68529710909783</v>
      </c>
      <c r="I127" s="185">
        <f t="shared" si="9"/>
        <v>28937.013575134933</v>
      </c>
      <c r="J127" s="185">
        <f t="shared" si="10"/>
        <v>1424.0656286975852</v>
      </c>
      <c r="K127" s="230">
        <v>1867</v>
      </c>
      <c r="L127" s="223">
        <f t="shared" si="11"/>
        <v>13.950598553467159</v>
      </c>
      <c r="M127" s="223"/>
      <c r="N127" s="223"/>
      <c r="O127" s="223"/>
      <c r="P127" s="223"/>
      <c r="Q127" s="223"/>
      <c r="R127" s="223"/>
      <c r="S127" s="173">
        <v>57870</v>
      </c>
      <c r="T127" s="224">
        <v>2848</v>
      </c>
    </row>
    <row r="128" spans="1:20" x14ac:dyDescent="0.25">
      <c r="A128" s="222" t="str">
        <f t="shared" si="6"/>
        <v>CIRF  406.4*12.5</v>
      </c>
      <c r="B128" s="174">
        <f t="shared" si="7"/>
        <v>121.42707210068505</v>
      </c>
      <c r="C128" s="173">
        <v>406.4</v>
      </c>
      <c r="D128" s="173">
        <v>12.5</v>
      </c>
      <c r="E128" s="173"/>
      <c r="F128" s="173"/>
      <c r="G128" s="173"/>
      <c r="H128" s="174">
        <f t="shared" si="8"/>
        <v>154.68416828112746</v>
      </c>
      <c r="I128" s="185">
        <f t="shared" si="9"/>
        <v>30030.666728705204</v>
      </c>
      <c r="J128" s="185">
        <f t="shared" si="10"/>
        <v>1477.8871421606891</v>
      </c>
      <c r="K128" s="230">
        <v>1940</v>
      </c>
      <c r="L128" s="223">
        <f t="shared" si="11"/>
        <v>13.933478567823617</v>
      </c>
      <c r="M128" s="223"/>
      <c r="N128" s="223"/>
      <c r="O128" s="223"/>
      <c r="P128" s="223"/>
      <c r="Q128" s="223"/>
      <c r="R128" s="223"/>
      <c r="S128" s="173">
        <v>60060</v>
      </c>
      <c r="T128" s="224">
        <v>2956</v>
      </c>
    </row>
    <row r="129" spans="1:20" x14ac:dyDescent="0.25">
      <c r="A129" s="222" t="str">
        <f t="shared" si="6"/>
        <v>CIRF  406.4*16</v>
      </c>
      <c r="B129" s="174">
        <f t="shared" si="7"/>
        <v>154.04560815835885</v>
      </c>
      <c r="C129" s="173">
        <v>406.4</v>
      </c>
      <c r="D129" s="173">
        <v>16</v>
      </c>
      <c r="E129" s="173"/>
      <c r="F129" s="173"/>
      <c r="G129" s="173"/>
      <c r="H129" s="174">
        <f t="shared" si="8"/>
        <v>196.23644351383291</v>
      </c>
      <c r="I129" s="185">
        <f t="shared" si="9"/>
        <v>37448.820945250998</v>
      </c>
      <c r="J129" s="185">
        <f t="shared" si="10"/>
        <v>1842.953786675738</v>
      </c>
      <c r="K129" s="230">
        <v>2440</v>
      </c>
      <c r="L129" s="223">
        <f t="shared" si="11"/>
        <v>13.814311419683573</v>
      </c>
      <c r="M129" s="223"/>
      <c r="N129" s="223"/>
      <c r="O129" s="223"/>
      <c r="P129" s="223"/>
      <c r="Q129" s="223"/>
      <c r="R129" s="223"/>
      <c r="S129" s="173">
        <v>74900</v>
      </c>
      <c r="T129" s="224">
        <v>3686</v>
      </c>
    </row>
    <row r="130" spans="1:20" x14ac:dyDescent="0.25">
      <c r="A130" s="222" t="str">
        <f t="shared" si="6"/>
        <v>CIRF  406.4*20</v>
      </c>
      <c r="B130" s="174">
        <f t="shared" si="7"/>
        <v>190.58409001149408</v>
      </c>
      <c r="C130" s="173">
        <v>406.4</v>
      </c>
      <c r="D130" s="173">
        <v>20</v>
      </c>
      <c r="E130" s="173"/>
      <c r="F130" s="173"/>
      <c r="G130" s="173"/>
      <c r="H130" s="174">
        <f t="shared" si="8"/>
        <v>242.7822802694192</v>
      </c>
      <c r="I130" s="185">
        <f t="shared" si="9"/>
        <v>45432.139445552748</v>
      </c>
      <c r="J130" s="185">
        <f t="shared" si="10"/>
        <v>2235.833634131533</v>
      </c>
      <c r="K130" s="230">
        <v>2989</v>
      </c>
      <c r="L130" s="223">
        <f t="shared" si="11"/>
        <v>13.67959063714993</v>
      </c>
      <c r="M130" s="223"/>
      <c r="N130" s="223"/>
      <c r="O130" s="223"/>
      <c r="P130" s="223"/>
      <c r="Q130" s="223"/>
      <c r="R130" s="223"/>
      <c r="S130" s="173">
        <v>90860</v>
      </c>
      <c r="T130" s="224">
        <v>4472</v>
      </c>
    </row>
    <row r="131" spans="1:20" x14ac:dyDescent="0.25">
      <c r="A131" s="225" t="str">
        <f t="shared" si="6"/>
        <v>CIRF  406.4*25</v>
      </c>
      <c r="B131" s="180">
        <f t="shared" si="7"/>
        <v>235.14742472303274</v>
      </c>
      <c r="C131" s="179">
        <v>406.4</v>
      </c>
      <c r="D131" s="179">
        <v>25</v>
      </c>
      <c r="E131" s="179"/>
      <c r="F131" s="179"/>
      <c r="G131" s="179"/>
      <c r="H131" s="180">
        <f t="shared" si="8"/>
        <v>299.55085951978691</v>
      </c>
      <c r="I131" s="186">
        <f t="shared" si="9"/>
        <v>54702.090795088508</v>
      </c>
      <c r="J131" s="186">
        <f t="shared" si="10"/>
        <v>2692.0320273173479</v>
      </c>
      <c r="K131" s="231">
        <v>3642</v>
      </c>
      <c r="L131" s="226">
        <f t="shared" si="11"/>
        <v>13.513463656664786</v>
      </c>
      <c r="M131" s="226"/>
      <c r="N131" s="226"/>
      <c r="O131" s="226"/>
      <c r="P131" s="226"/>
      <c r="Q131" s="226"/>
      <c r="R131" s="226"/>
      <c r="S131" s="179">
        <v>109400</v>
      </c>
      <c r="T131" s="227">
        <v>5384</v>
      </c>
    </row>
    <row r="132" spans="1:20" x14ac:dyDescent="0.25">
      <c r="A132" s="64" t="str">
        <f t="shared" ref="A132:A195" si="12">$B$3&amp;"  "&amp;C132&amp;"*"&amp;D132</f>
        <v>CIRF  457*6</v>
      </c>
      <c r="B132" s="163">
        <f t="shared" ref="B132:B195" si="13">H132*0.785</f>
        <v>66.734025306819746</v>
      </c>
      <c r="C132" s="64">
        <v>457</v>
      </c>
      <c r="D132" s="64">
        <v>6</v>
      </c>
      <c r="E132" s="64"/>
      <c r="F132" s="64"/>
      <c r="G132" s="64"/>
      <c r="H132" s="163">
        <f t="shared" ref="H132:H195" si="14">(C132^2-(C132-2*D132)^2)*PI()*0.01/4</f>
        <v>85.011497206139794</v>
      </c>
      <c r="I132" s="187">
        <f t="shared" ref="I132:I195" si="15">(C132^4-(C132-2*D132)^4)*PI()*0.0001/64</f>
        <v>21618.104946406831</v>
      </c>
      <c r="J132" s="187">
        <f t="shared" ref="J132:J195" si="16">I132/(C132*0.5*0.1)</f>
        <v>946.08774382524416</v>
      </c>
      <c r="K132" s="228">
        <v>1220</v>
      </c>
      <c r="L132" s="218">
        <f t="shared" ref="L132:L195" si="17">SQRT(I132/H132)</f>
        <v>15.946668931159261</v>
      </c>
      <c r="M132" s="218"/>
      <c r="N132" s="218"/>
      <c r="O132" s="218"/>
      <c r="P132" s="218"/>
      <c r="Q132" s="218"/>
      <c r="R132" s="218"/>
      <c r="S132" s="64">
        <v>43240</v>
      </c>
      <c r="T132">
        <v>1892</v>
      </c>
    </row>
    <row r="133" spans="1:20" x14ac:dyDescent="0.25">
      <c r="A133" s="64" t="str">
        <f t="shared" si="12"/>
        <v>CIRF  457*6.3</v>
      </c>
      <c r="B133" s="163">
        <f t="shared" si="13"/>
        <v>70.024116332755852</v>
      </c>
      <c r="C133" s="64">
        <v>457</v>
      </c>
      <c r="D133" s="64">
        <v>6.3</v>
      </c>
      <c r="E133" s="64"/>
      <c r="F133" s="64"/>
      <c r="G133" s="64"/>
      <c r="H133" s="163">
        <f t="shared" si="14"/>
        <v>89.202695965294069</v>
      </c>
      <c r="I133" s="187">
        <f t="shared" si="15"/>
        <v>22654.15974469257</v>
      </c>
      <c r="J133" s="187">
        <f t="shared" si="16"/>
        <v>991.42931048982791</v>
      </c>
      <c r="K133" s="228">
        <v>1280</v>
      </c>
      <c r="L133" s="218">
        <f t="shared" si="17"/>
        <v>15.936207986845547</v>
      </c>
      <c r="M133" s="218"/>
      <c r="N133" s="218"/>
      <c r="O133" s="218"/>
      <c r="P133" s="218"/>
      <c r="Q133" s="218"/>
      <c r="R133" s="218"/>
      <c r="S133" s="64">
        <v>45310</v>
      </c>
      <c r="T133">
        <v>1983</v>
      </c>
    </row>
    <row r="134" spans="1:20" x14ac:dyDescent="0.25">
      <c r="A134" s="64" t="str">
        <f t="shared" si="12"/>
        <v>CIRF  457*8</v>
      </c>
      <c r="B134" s="163">
        <f t="shared" si="13"/>
        <v>88.584116371802125</v>
      </c>
      <c r="C134" s="64">
        <v>457</v>
      </c>
      <c r="D134" s="64">
        <v>8</v>
      </c>
      <c r="E134" s="64"/>
      <c r="F134" s="64"/>
      <c r="G134" s="64"/>
      <c r="H134" s="163">
        <f t="shared" si="14"/>
        <v>112.84600811694538</v>
      </c>
      <c r="I134" s="187">
        <f t="shared" si="15"/>
        <v>28446.362783629735</v>
      </c>
      <c r="J134" s="187">
        <f t="shared" si="16"/>
        <v>1244.9174084739489</v>
      </c>
      <c r="K134" s="228">
        <v>1613</v>
      </c>
      <c r="L134" s="218">
        <f t="shared" si="17"/>
        <v>15.877066794594018</v>
      </c>
      <c r="M134" s="218"/>
      <c r="N134" s="218"/>
      <c r="O134" s="218"/>
      <c r="P134" s="218"/>
      <c r="Q134" s="218"/>
      <c r="R134" s="218"/>
      <c r="S134" s="64">
        <v>56890</v>
      </c>
      <c r="T134">
        <v>2490</v>
      </c>
    </row>
    <row r="135" spans="1:20" x14ac:dyDescent="0.25">
      <c r="A135" s="64" t="str">
        <f t="shared" si="12"/>
        <v>CIRF  457*10</v>
      </c>
      <c r="B135" s="163">
        <f t="shared" si="13"/>
        <v>110.23691541813906</v>
      </c>
      <c r="C135" s="64">
        <v>457</v>
      </c>
      <c r="D135" s="64">
        <v>10</v>
      </c>
      <c r="E135" s="64"/>
      <c r="F135" s="64"/>
      <c r="G135" s="64"/>
      <c r="H135" s="163">
        <f t="shared" si="14"/>
        <v>140.42919161546376</v>
      </c>
      <c r="I135" s="187">
        <f t="shared" si="15"/>
        <v>35091.324083319683</v>
      </c>
      <c r="J135" s="187">
        <f t="shared" si="16"/>
        <v>1535.7253428148656</v>
      </c>
      <c r="K135" s="228">
        <v>1998</v>
      </c>
      <c r="L135" s="218">
        <f t="shared" si="17"/>
        <v>15.807790800741261</v>
      </c>
      <c r="M135" s="218"/>
      <c r="N135" s="218"/>
      <c r="O135" s="218"/>
      <c r="P135" s="218"/>
      <c r="Q135" s="218"/>
      <c r="R135" s="218"/>
      <c r="S135" s="64">
        <v>70180</v>
      </c>
      <c r="T135">
        <v>3071</v>
      </c>
    </row>
    <row r="136" spans="1:20" x14ac:dyDescent="0.25">
      <c r="A136" s="64" t="str">
        <f t="shared" si="12"/>
        <v>CIRF  457*12</v>
      </c>
      <c r="B136" s="163">
        <f t="shared" si="13"/>
        <v>131.69242244583054</v>
      </c>
      <c r="C136" s="64">
        <v>457</v>
      </c>
      <c r="D136" s="64">
        <v>12</v>
      </c>
      <c r="E136" s="64"/>
      <c r="F136" s="64"/>
      <c r="G136" s="64"/>
      <c r="H136" s="163">
        <f t="shared" si="14"/>
        <v>167.76104770169496</v>
      </c>
      <c r="I136" s="187">
        <f t="shared" si="15"/>
        <v>41556.298827496481</v>
      </c>
      <c r="J136" s="187">
        <f t="shared" si="16"/>
        <v>1818.6564038291676</v>
      </c>
      <c r="K136" s="228">
        <v>2377</v>
      </c>
      <c r="L136" s="218">
        <f t="shared" si="17"/>
        <v>15.738845256244181</v>
      </c>
      <c r="M136" s="218"/>
      <c r="N136" s="218"/>
      <c r="O136" s="218"/>
      <c r="P136" s="218"/>
      <c r="Q136" s="218"/>
      <c r="R136" s="218"/>
      <c r="S136" s="64">
        <v>83110</v>
      </c>
      <c r="T136">
        <v>3637</v>
      </c>
    </row>
    <row r="137" spans="1:20" x14ac:dyDescent="0.25">
      <c r="A137" s="64" t="str">
        <f t="shared" si="12"/>
        <v>CIRF  457*12.5</v>
      </c>
      <c r="B137" s="163">
        <f t="shared" si="13"/>
        <v>137.02547232484008</v>
      </c>
      <c r="C137" s="64">
        <v>457</v>
      </c>
      <c r="D137" s="64">
        <v>12.5</v>
      </c>
      <c r="E137" s="64"/>
      <c r="F137" s="64"/>
      <c r="G137" s="64"/>
      <c r="H137" s="163">
        <f t="shared" si="14"/>
        <v>174.55474181508291</v>
      </c>
      <c r="I137" s="187">
        <f t="shared" si="15"/>
        <v>43144.804631147672</v>
      </c>
      <c r="J137" s="187">
        <f t="shared" si="16"/>
        <v>1888.1752573806421</v>
      </c>
      <c r="K137" s="228">
        <v>2470</v>
      </c>
      <c r="L137" s="218">
        <f t="shared" si="17"/>
        <v>15.721661012755616</v>
      </c>
      <c r="M137" s="218"/>
      <c r="N137" s="218"/>
      <c r="O137" s="218"/>
      <c r="P137" s="218"/>
      <c r="Q137" s="218"/>
      <c r="R137" s="218"/>
      <c r="S137" s="64">
        <v>86290</v>
      </c>
      <c r="T137">
        <v>3776</v>
      </c>
    </row>
    <row r="138" spans="1:20" x14ac:dyDescent="0.25">
      <c r="A138" s="64" t="str">
        <f t="shared" si="12"/>
        <v>CIRF  457*16</v>
      </c>
      <c r="B138" s="163">
        <f t="shared" si="13"/>
        <v>174.01156044527721</v>
      </c>
      <c r="C138" s="64">
        <v>457</v>
      </c>
      <c r="D138" s="64">
        <v>16</v>
      </c>
      <c r="E138" s="64"/>
      <c r="F138" s="64"/>
      <c r="G138" s="64"/>
      <c r="H138" s="163">
        <f t="shared" si="14"/>
        <v>221.6707776372958</v>
      </c>
      <c r="I138" s="187">
        <f t="shared" si="15"/>
        <v>53959.377780942596</v>
      </c>
      <c r="J138" s="187">
        <f t="shared" si="16"/>
        <v>2361.4607343957373</v>
      </c>
      <c r="K138" s="228">
        <v>3113</v>
      </c>
      <c r="L138" s="218">
        <f t="shared" si="17"/>
        <v>15.60196301751802</v>
      </c>
      <c r="M138" s="218"/>
      <c r="N138" s="218"/>
      <c r="O138" s="218"/>
      <c r="P138" s="218"/>
      <c r="Q138" s="218"/>
      <c r="R138" s="218"/>
      <c r="S138" s="64">
        <v>107900</v>
      </c>
      <c r="T138">
        <v>4723</v>
      </c>
    </row>
    <row r="139" spans="1:20" x14ac:dyDescent="0.25">
      <c r="A139" s="64" t="str">
        <f t="shared" si="12"/>
        <v>CIRF  457*20</v>
      </c>
      <c r="B139" s="163">
        <f t="shared" si="13"/>
        <v>215.54153037014211</v>
      </c>
      <c r="C139" s="64">
        <v>457</v>
      </c>
      <c r="D139" s="64">
        <v>20</v>
      </c>
      <c r="E139" s="64"/>
      <c r="F139" s="64"/>
      <c r="G139" s="64"/>
      <c r="H139" s="163">
        <f t="shared" si="14"/>
        <v>274.57519792374791</v>
      </c>
      <c r="I139" s="187">
        <f t="shared" si="15"/>
        <v>65681.476314337153</v>
      </c>
      <c r="J139" s="187">
        <f t="shared" si="16"/>
        <v>2874.4628583954986</v>
      </c>
      <c r="K139" s="228">
        <v>3822</v>
      </c>
      <c r="L139" s="218">
        <f t="shared" si="17"/>
        <v>15.466455637928169</v>
      </c>
      <c r="M139" s="218"/>
      <c r="N139" s="218"/>
      <c r="O139" s="218"/>
      <c r="P139" s="218"/>
      <c r="Q139" s="218"/>
      <c r="R139" s="218"/>
      <c r="S139" s="64">
        <v>131400</v>
      </c>
      <c r="T139">
        <v>5749</v>
      </c>
    </row>
    <row r="140" spans="1:20" x14ac:dyDescent="0.25">
      <c r="A140" s="64" t="str">
        <f t="shared" si="12"/>
        <v>CIRF  457*25</v>
      </c>
      <c r="B140" s="163">
        <f t="shared" si="13"/>
        <v>266.34422517134271</v>
      </c>
      <c r="C140" s="64">
        <v>457</v>
      </c>
      <c r="D140" s="64">
        <v>25</v>
      </c>
      <c r="E140" s="64"/>
      <c r="F140" s="64"/>
      <c r="G140" s="64"/>
      <c r="H140" s="163">
        <f t="shared" si="14"/>
        <v>339.2920065876977</v>
      </c>
      <c r="I140" s="187">
        <f t="shared" si="15"/>
        <v>79415.111176924751</v>
      </c>
      <c r="J140" s="187">
        <f t="shared" si="16"/>
        <v>3475.4972068676038</v>
      </c>
      <c r="K140" s="228">
        <v>4671</v>
      </c>
      <c r="L140" s="218">
        <f t="shared" si="17"/>
        <v>15.299060428666852</v>
      </c>
      <c r="M140" s="218"/>
      <c r="N140" s="218"/>
      <c r="O140" s="218"/>
      <c r="P140" s="218"/>
      <c r="Q140" s="218"/>
      <c r="R140" s="218"/>
      <c r="S140" s="64">
        <v>158800</v>
      </c>
      <c r="T140">
        <v>6951</v>
      </c>
    </row>
    <row r="141" spans="1:20" x14ac:dyDescent="0.25">
      <c r="A141" s="64" t="str">
        <f t="shared" si="12"/>
        <v>CIRF  457*30</v>
      </c>
      <c r="B141" s="163">
        <f t="shared" si="13"/>
        <v>315.91384485600923</v>
      </c>
      <c r="C141" s="64">
        <v>457</v>
      </c>
      <c r="D141" s="64">
        <v>30</v>
      </c>
      <c r="E141" s="64"/>
      <c r="F141" s="64"/>
      <c r="G141" s="64"/>
      <c r="H141" s="163">
        <f t="shared" si="14"/>
        <v>402.43801892485254</v>
      </c>
      <c r="I141" s="187">
        <f t="shared" si="15"/>
        <v>92172.894711977249</v>
      </c>
      <c r="J141" s="187">
        <f t="shared" si="16"/>
        <v>4033.8247138720894</v>
      </c>
      <c r="K141" s="228">
        <v>5479</v>
      </c>
      <c r="L141" s="218">
        <f t="shared" si="17"/>
        <v>15.133943636739234</v>
      </c>
      <c r="M141" s="218"/>
      <c r="N141" s="218"/>
      <c r="O141" s="218"/>
      <c r="P141" s="218"/>
      <c r="Q141" s="218"/>
      <c r="R141" s="218"/>
      <c r="S141" s="64">
        <v>184300</v>
      </c>
      <c r="T141">
        <v>8068</v>
      </c>
    </row>
    <row r="142" spans="1:20" x14ac:dyDescent="0.25">
      <c r="A142" s="219" t="str">
        <f t="shared" si="12"/>
        <v>CIRF  508*6</v>
      </c>
      <c r="B142" s="168">
        <f t="shared" si="13"/>
        <v>74.280445020007789</v>
      </c>
      <c r="C142" s="167">
        <v>508</v>
      </c>
      <c r="D142" s="167">
        <v>6</v>
      </c>
      <c r="E142" s="167"/>
      <c r="F142" s="167"/>
      <c r="G142" s="167"/>
      <c r="H142" s="168">
        <f t="shared" si="14"/>
        <v>94.624770726124567</v>
      </c>
      <c r="I142" s="184">
        <f t="shared" si="15"/>
        <v>29811.534017265549</v>
      </c>
      <c r="J142" s="184">
        <f t="shared" si="16"/>
        <v>1173.6824416246277</v>
      </c>
      <c r="K142" s="229">
        <v>1512</v>
      </c>
      <c r="L142" s="220">
        <f t="shared" si="17"/>
        <v>17.749647883831386</v>
      </c>
      <c r="M142" s="220"/>
      <c r="N142" s="220"/>
      <c r="O142" s="220"/>
      <c r="P142" s="220"/>
      <c r="Q142" s="220"/>
      <c r="R142" s="220"/>
      <c r="S142" s="167">
        <v>59620</v>
      </c>
      <c r="T142" s="221">
        <v>2347</v>
      </c>
    </row>
    <row r="143" spans="1:20" x14ac:dyDescent="0.25">
      <c r="A143" s="222" t="str">
        <f t="shared" si="12"/>
        <v>CIRF  508*6.3</v>
      </c>
      <c r="B143" s="174">
        <f t="shared" si="13"/>
        <v>77.947857031603348</v>
      </c>
      <c r="C143" s="173">
        <v>508</v>
      </c>
      <c r="D143" s="173">
        <v>6.3</v>
      </c>
      <c r="E143" s="173"/>
      <c r="F143" s="173"/>
      <c r="G143" s="173"/>
      <c r="H143" s="174">
        <f t="shared" si="14"/>
        <v>99.296633161278152</v>
      </c>
      <c r="I143" s="185">
        <f t="shared" si="15"/>
        <v>31246.488271667135</v>
      </c>
      <c r="J143" s="185">
        <f t="shared" si="16"/>
        <v>1230.1767036089423</v>
      </c>
      <c r="K143" s="230">
        <v>1586</v>
      </c>
      <c r="L143" s="223">
        <f t="shared" si="17"/>
        <v>17.739172049450332</v>
      </c>
      <c r="M143" s="223"/>
      <c r="N143" s="223"/>
      <c r="O143" s="223"/>
      <c r="P143" s="223"/>
      <c r="Q143" s="223"/>
      <c r="R143" s="223"/>
      <c r="S143" s="173">
        <v>62490</v>
      </c>
      <c r="T143" s="224">
        <v>2460</v>
      </c>
    </row>
    <row r="144" spans="1:20" x14ac:dyDescent="0.25">
      <c r="A144" s="222" t="str">
        <f t="shared" si="12"/>
        <v>CIRF  508*8</v>
      </c>
      <c r="B144" s="174">
        <f t="shared" si="13"/>
        <v>98.646009322719507</v>
      </c>
      <c r="C144" s="173">
        <v>508</v>
      </c>
      <c r="D144" s="173">
        <v>8</v>
      </c>
      <c r="E144" s="173"/>
      <c r="F144" s="173"/>
      <c r="G144" s="173"/>
      <c r="H144" s="174">
        <f t="shared" si="14"/>
        <v>125.66370614359172</v>
      </c>
      <c r="I144" s="185">
        <f t="shared" si="15"/>
        <v>39279.961266363905</v>
      </c>
      <c r="J144" s="185">
        <f t="shared" si="16"/>
        <v>1546.4551679670828</v>
      </c>
      <c r="K144" s="230">
        <v>2000</v>
      </c>
      <c r="L144" s="223">
        <f t="shared" si="17"/>
        <v>17.679932126566552</v>
      </c>
      <c r="M144" s="223"/>
      <c r="N144" s="223"/>
      <c r="O144" s="223"/>
      <c r="P144" s="223"/>
      <c r="Q144" s="223"/>
      <c r="R144" s="223"/>
      <c r="S144" s="173">
        <v>78560</v>
      </c>
      <c r="T144" s="224">
        <v>3093</v>
      </c>
    </row>
    <row r="145" spans="1:20" x14ac:dyDescent="0.25">
      <c r="A145" s="222" t="str">
        <f t="shared" si="12"/>
        <v>CIRF  508*10</v>
      </c>
      <c r="B145" s="174">
        <f t="shared" si="13"/>
        <v>122.81428160678578</v>
      </c>
      <c r="C145" s="173">
        <v>508</v>
      </c>
      <c r="D145" s="173">
        <v>10</v>
      </c>
      <c r="E145" s="173"/>
      <c r="F145" s="173"/>
      <c r="G145" s="173"/>
      <c r="H145" s="174">
        <f t="shared" si="14"/>
        <v>156.4513141487717</v>
      </c>
      <c r="I145" s="185">
        <f t="shared" si="15"/>
        <v>48520.246056958567</v>
      </c>
      <c r="J145" s="185">
        <f t="shared" si="16"/>
        <v>1910.2459077542742</v>
      </c>
      <c r="K145" s="230">
        <v>2480</v>
      </c>
      <c r="L145" s="223">
        <f t="shared" si="17"/>
        <v>17.610508226624241</v>
      </c>
      <c r="M145" s="223"/>
      <c r="N145" s="223"/>
      <c r="O145" s="223"/>
      <c r="P145" s="223"/>
      <c r="Q145" s="223"/>
      <c r="R145" s="223"/>
      <c r="S145" s="173">
        <v>97040</v>
      </c>
      <c r="T145" s="224">
        <v>3820</v>
      </c>
    </row>
    <row r="146" spans="1:20" x14ac:dyDescent="0.25">
      <c r="A146" s="222" t="str">
        <f t="shared" si="12"/>
        <v>CIRF  508*12</v>
      </c>
      <c r="B146" s="174">
        <f t="shared" si="13"/>
        <v>146.78526187220663</v>
      </c>
      <c r="C146" s="173">
        <v>508</v>
      </c>
      <c r="D146" s="173">
        <v>12</v>
      </c>
      <c r="E146" s="173"/>
      <c r="F146" s="173"/>
      <c r="G146" s="173"/>
      <c r="H146" s="174">
        <f t="shared" si="14"/>
        <v>186.98759474166448</v>
      </c>
      <c r="I146" s="185">
        <f t="shared" si="15"/>
        <v>57536.082902010166</v>
      </c>
      <c r="J146" s="185">
        <f t="shared" si="16"/>
        <v>2265.2001142523686</v>
      </c>
      <c r="K146" s="230">
        <v>2953</v>
      </c>
      <c r="L146" s="223">
        <f t="shared" si="17"/>
        <v>17.541379649275026</v>
      </c>
      <c r="M146" s="223"/>
      <c r="N146" s="223"/>
      <c r="O146" s="223"/>
      <c r="P146" s="223"/>
      <c r="Q146" s="223"/>
      <c r="R146" s="223"/>
      <c r="S146" s="173">
        <v>115100</v>
      </c>
      <c r="T146" s="224">
        <v>4530</v>
      </c>
    </row>
    <row r="147" spans="1:20" x14ac:dyDescent="0.25">
      <c r="A147" s="222" t="str">
        <f t="shared" si="12"/>
        <v>CIRF  508*12.5</v>
      </c>
      <c r="B147" s="174">
        <f t="shared" si="13"/>
        <v>152.74718006064847</v>
      </c>
      <c r="C147" s="173">
        <v>508</v>
      </c>
      <c r="D147" s="173">
        <v>12.5</v>
      </c>
      <c r="E147" s="173"/>
      <c r="F147" s="173"/>
      <c r="G147" s="173"/>
      <c r="H147" s="174">
        <f t="shared" si="14"/>
        <v>194.58239498171781</v>
      </c>
      <c r="I147" s="185">
        <f t="shared" si="15"/>
        <v>59755.402200907498</v>
      </c>
      <c r="J147" s="185">
        <f t="shared" si="16"/>
        <v>2352.5748897995077</v>
      </c>
      <c r="K147" s="230">
        <v>3070</v>
      </c>
      <c r="L147" s="223">
        <f t="shared" si="17"/>
        <v>17.52414405898331</v>
      </c>
      <c r="M147" s="223"/>
      <c r="N147" s="223"/>
      <c r="O147" s="223"/>
      <c r="P147" s="223"/>
      <c r="Q147" s="223"/>
      <c r="R147" s="223"/>
      <c r="S147" s="173">
        <v>119500</v>
      </c>
      <c r="T147" s="224">
        <v>4705</v>
      </c>
    </row>
    <row r="148" spans="1:20" x14ac:dyDescent="0.25">
      <c r="A148" s="222" t="str">
        <f t="shared" si="12"/>
        <v>CIRF  508*16</v>
      </c>
      <c r="B148" s="174">
        <f t="shared" si="13"/>
        <v>194.13534634711198</v>
      </c>
      <c r="C148" s="173">
        <v>508</v>
      </c>
      <c r="D148" s="173">
        <v>16</v>
      </c>
      <c r="E148" s="173"/>
      <c r="F148" s="173"/>
      <c r="G148" s="173"/>
      <c r="H148" s="174">
        <f t="shared" si="14"/>
        <v>247.30617369058851</v>
      </c>
      <c r="I148" s="185">
        <f t="shared" si="15"/>
        <v>74909.040010879267</v>
      </c>
      <c r="J148" s="185">
        <f t="shared" si="16"/>
        <v>2949.1748035779237</v>
      </c>
      <c r="K148" s="230">
        <v>3874</v>
      </c>
      <c r="L148" s="223">
        <f t="shared" si="17"/>
        <v>17.40402252354323</v>
      </c>
      <c r="M148" s="223"/>
      <c r="N148" s="223"/>
      <c r="O148" s="223"/>
      <c r="P148" s="223"/>
      <c r="Q148" s="223"/>
      <c r="R148" s="223"/>
      <c r="S148" s="173">
        <v>149800</v>
      </c>
      <c r="T148" s="224">
        <v>5898</v>
      </c>
    </row>
    <row r="149" spans="1:20" x14ac:dyDescent="0.25">
      <c r="A149" s="222" t="str">
        <f t="shared" si="12"/>
        <v>CIRF  508*20</v>
      </c>
      <c r="B149" s="174">
        <f t="shared" si="13"/>
        <v>240.69626274743561</v>
      </c>
      <c r="C149" s="173">
        <v>508</v>
      </c>
      <c r="D149" s="173">
        <v>20</v>
      </c>
      <c r="E149" s="173"/>
      <c r="F149" s="173"/>
      <c r="G149" s="173"/>
      <c r="H149" s="174">
        <f t="shared" si="14"/>
        <v>306.61944299036384</v>
      </c>
      <c r="I149" s="185">
        <f t="shared" si="15"/>
        <v>91427.785510866684</v>
      </c>
      <c r="J149" s="185">
        <f t="shared" si="16"/>
        <v>3599.5191146010502</v>
      </c>
      <c r="K149" s="230">
        <v>4766</v>
      </c>
      <c r="L149" s="223">
        <f t="shared" si="17"/>
        <v>17.267889274604467</v>
      </c>
      <c r="M149" s="223"/>
      <c r="N149" s="223"/>
      <c r="O149" s="223"/>
      <c r="P149" s="223"/>
      <c r="Q149" s="223"/>
      <c r="R149" s="223"/>
      <c r="S149" s="173">
        <v>182900</v>
      </c>
      <c r="T149" s="224">
        <v>7199</v>
      </c>
    </row>
    <row r="150" spans="1:20" x14ac:dyDescent="0.25">
      <c r="A150" s="222" t="str">
        <f t="shared" si="12"/>
        <v>CIRF  508*25</v>
      </c>
      <c r="B150" s="174">
        <f t="shared" si="13"/>
        <v>297.7876406429595</v>
      </c>
      <c r="C150" s="173">
        <v>508</v>
      </c>
      <c r="D150" s="173">
        <v>25</v>
      </c>
      <c r="E150" s="173"/>
      <c r="F150" s="173"/>
      <c r="G150" s="173"/>
      <c r="H150" s="174">
        <f t="shared" si="14"/>
        <v>379.34731292096751</v>
      </c>
      <c r="I150" s="185">
        <f t="shared" si="15"/>
        <v>110918.30919324401</v>
      </c>
      <c r="J150" s="185">
        <f t="shared" si="16"/>
        <v>4366.8625666631497</v>
      </c>
      <c r="K150" s="230">
        <v>5837</v>
      </c>
      <c r="L150" s="223">
        <f t="shared" si="17"/>
        <v>17.099488296437414</v>
      </c>
      <c r="M150" s="223"/>
      <c r="N150" s="223"/>
      <c r="O150" s="223"/>
      <c r="P150" s="223"/>
      <c r="Q150" s="223"/>
      <c r="R150" s="223"/>
      <c r="S150" s="173">
        <v>221800</v>
      </c>
      <c r="T150" s="224">
        <v>8734</v>
      </c>
    </row>
    <row r="151" spans="1:20" x14ac:dyDescent="0.25">
      <c r="A151" s="225" t="str">
        <f t="shared" si="12"/>
        <v>CIRF  508*30</v>
      </c>
      <c r="B151" s="180">
        <f t="shared" si="13"/>
        <v>353.64594342194943</v>
      </c>
      <c r="C151" s="179">
        <v>508</v>
      </c>
      <c r="D151" s="179">
        <v>30</v>
      </c>
      <c r="E151" s="179"/>
      <c r="F151" s="179"/>
      <c r="G151" s="179"/>
      <c r="H151" s="180">
        <f t="shared" si="14"/>
        <v>450.50438652477635</v>
      </c>
      <c r="I151" s="186">
        <f t="shared" si="15"/>
        <v>129173.12274824914</v>
      </c>
      <c r="J151" s="186">
        <f t="shared" si="16"/>
        <v>5085.5560137105958</v>
      </c>
      <c r="K151" s="231">
        <v>6864</v>
      </c>
      <c r="L151" s="226">
        <f t="shared" si="17"/>
        <v>16.933103672983286</v>
      </c>
      <c r="M151" s="226"/>
      <c r="N151" s="226"/>
      <c r="O151" s="226"/>
      <c r="P151" s="226"/>
      <c r="Q151" s="226"/>
      <c r="R151" s="226"/>
      <c r="S151" s="179">
        <v>258300</v>
      </c>
      <c r="T151" s="227">
        <v>10170</v>
      </c>
    </row>
    <row r="152" spans="1:20" x14ac:dyDescent="0.25">
      <c r="A152" s="64" t="str">
        <f t="shared" si="12"/>
        <v>CIRF  610*6</v>
      </c>
      <c r="B152" s="163">
        <f t="shared" si="13"/>
        <v>89.373284446383877</v>
      </c>
      <c r="C152" s="64">
        <v>610</v>
      </c>
      <c r="D152" s="64">
        <v>6</v>
      </c>
      <c r="E152" s="64"/>
      <c r="F152" s="64"/>
      <c r="G152" s="64"/>
      <c r="H152" s="163">
        <f t="shared" si="14"/>
        <v>113.85131776609411</v>
      </c>
      <c r="I152" s="187">
        <f t="shared" si="15"/>
        <v>51923.601236993709</v>
      </c>
      <c r="J152" s="187">
        <f t="shared" si="16"/>
        <v>1702.4131553112691</v>
      </c>
      <c r="K152" s="228">
        <v>2189</v>
      </c>
      <c r="L152" s="218">
        <f t="shared" si="17"/>
        <v>21.355678401774082</v>
      </c>
      <c r="M152" s="218"/>
      <c r="N152" s="218"/>
      <c r="O152" s="218"/>
      <c r="P152" s="218"/>
      <c r="Q152" s="218"/>
      <c r="R152" s="218"/>
      <c r="S152" s="64">
        <v>103800</v>
      </c>
      <c r="T152">
        <v>3405</v>
      </c>
    </row>
    <row r="153" spans="1:20" x14ac:dyDescent="0.25">
      <c r="A153" s="64" t="str">
        <f t="shared" si="12"/>
        <v>CIRF  610*6.3</v>
      </c>
      <c r="B153" s="163">
        <f t="shared" si="13"/>
        <v>93.795338429298383</v>
      </c>
      <c r="C153" s="64">
        <v>610</v>
      </c>
      <c r="D153" s="64">
        <v>6.3</v>
      </c>
      <c r="E153" s="64"/>
      <c r="F153" s="64"/>
      <c r="G153" s="64"/>
      <c r="H153" s="163">
        <f t="shared" si="14"/>
        <v>119.48450755324635</v>
      </c>
      <c r="I153" s="187">
        <f t="shared" si="15"/>
        <v>54439.140019647872</v>
      </c>
      <c r="J153" s="187">
        <f t="shared" si="16"/>
        <v>1784.8898367097663</v>
      </c>
      <c r="K153" s="228">
        <v>2296</v>
      </c>
      <c r="L153" s="218">
        <f t="shared" si="17"/>
        <v>21.345180369348022</v>
      </c>
      <c r="M153" s="218"/>
      <c r="N153" s="218"/>
      <c r="O153" s="218"/>
      <c r="P153" s="218"/>
      <c r="Q153" s="218"/>
      <c r="R153" s="218"/>
      <c r="S153" s="64">
        <v>108900</v>
      </c>
      <c r="T153">
        <v>3570</v>
      </c>
    </row>
    <row r="154" spans="1:20" x14ac:dyDescent="0.25">
      <c r="A154" s="64" t="str">
        <f t="shared" si="12"/>
        <v>CIRF  610*8</v>
      </c>
      <c r="B154" s="163">
        <f t="shared" si="13"/>
        <v>118.76979522455429</v>
      </c>
      <c r="C154" s="64">
        <v>610</v>
      </c>
      <c r="D154" s="64">
        <v>8</v>
      </c>
      <c r="E154" s="64"/>
      <c r="F154" s="64"/>
      <c r="G154" s="64"/>
      <c r="H154" s="163">
        <f t="shared" si="14"/>
        <v>151.29910219688443</v>
      </c>
      <c r="I154" s="187">
        <f t="shared" si="15"/>
        <v>68551.353718875383</v>
      </c>
      <c r="J154" s="187">
        <f t="shared" si="16"/>
        <v>2247.58536783198</v>
      </c>
      <c r="K154" s="228">
        <v>2899</v>
      </c>
      <c r="L154" s="218">
        <f t="shared" si="17"/>
        <v>21.285793384320915</v>
      </c>
      <c r="M154" s="218"/>
      <c r="N154" s="218"/>
      <c r="O154" s="218"/>
      <c r="P154" s="218"/>
      <c r="Q154" s="218"/>
      <c r="R154" s="218"/>
      <c r="S154" s="64">
        <v>137100</v>
      </c>
      <c r="T154">
        <v>4495</v>
      </c>
    </row>
    <row r="155" spans="1:20" x14ac:dyDescent="0.25">
      <c r="A155" s="64" t="str">
        <f t="shared" si="12"/>
        <v>CIRF  610*10</v>
      </c>
      <c r="B155" s="163">
        <f t="shared" si="13"/>
        <v>147.96901398407928</v>
      </c>
      <c r="C155" s="64">
        <v>610</v>
      </c>
      <c r="D155" s="64">
        <v>10</v>
      </c>
      <c r="E155" s="64"/>
      <c r="F155" s="64"/>
      <c r="G155" s="64"/>
      <c r="H155" s="163">
        <f t="shared" si="14"/>
        <v>188.4955592153876</v>
      </c>
      <c r="I155" s="187">
        <f t="shared" si="15"/>
        <v>84846.563591826343</v>
      </c>
      <c r="J155" s="187">
        <f t="shared" si="16"/>
        <v>2781.8545439943064</v>
      </c>
      <c r="K155" s="228">
        <v>3600</v>
      </c>
      <c r="L155" s="218">
        <f t="shared" si="17"/>
        <v>21.216149509277127</v>
      </c>
      <c r="M155" s="218"/>
      <c r="N155" s="218"/>
      <c r="O155" s="218"/>
      <c r="P155" s="218"/>
      <c r="Q155" s="218"/>
      <c r="R155" s="218"/>
      <c r="S155" s="64">
        <v>169700</v>
      </c>
      <c r="T155">
        <v>5564</v>
      </c>
    </row>
    <row r="156" spans="1:20" x14ac:dyDescent="0.25">
      <c r="A156" s="64" t="str">
        <f t="shared" si="12"/>
        <v>CIRF  610*12</v>
      </c>
      <c r="B156" s="163">
        <f t="shared" si="13"/>
        <v>176.97094072495878</v>
      </c>
      <c r="C156" s="64">
        <v>610</v>
      </c>
      <c r="D156" s="64">
        <v>12</v>
      </c>
      <c r="E156" s="64"/>
      <c r="F156" s="64"/>
      <c r="G156" s="64"/>
      <c r="H156" s="163">
        <f t="shared" si="14"/>
        <v>225.44068882160354</v>
      </c>
      <c r="I156" s="187">
        <f t="shared" si="15"/>
        <v>100813.69443068879</v>
      </c>
      <c r="J156" s="187">
        <f t="shared" si="16"/>
        <v>3305.3670305143864</v>
      </c>
      <c r="K156" s="228">
        <v>4292</v>
      </c>
      <c r="L156" s="218">
        <f t="shared" si="17"/>
        <v>21.146749159149735</v>
      </c>
      <c r="M156" s="218"/>
      <c r="N156" s="218"/>
      <c r="O156" s="218"/>
      <c r="P156" s="218"/>
      <c r="Q156" s="218"/>
      <c r="R156" s="218"/>
      <c r="S156" s="64">
        <v>201600</v>
      </c>
      <c r="T156">
        <v>6611</v>
      </c>
    </row>
    <row r="157" spans="1:20" x14ac:dyDescent="0.25">
      <c r="A157" s="64" t="str">
        <f t="shared" si="12"/>
        <v>CIRF  610*12.5</v>
      </c>
      <c r="B157" s="163">
        <f t="shared" si="13"/>
        <v>184.19059553226535</v>
      </c>
      <c r="C157" s="64">
        <v>610</v>
      </c>
      <c r="D157" s="64">
        <v>12.5</v>
      </c>
      <c r="E157" s="64"/>
      <c r="F157" s="64"/>
      <c r="G157" s="64"/>
      <c r="H157" s="163">
        <f t="shared" si="14"/>
        <v>234.63770131498768</v>
      </c>
      <c r="I157" s="187">
        <f t="shared" si="15"/>
        <v>104754.73499489286</v>
      </c>
      <c r="J157" s="187">
        <f t="shared" si="16"/>
        <v>3434.5814752423889</v>
      </c>
      <c r="K157" s="228">
        <v>4463</v>
      </c>
      <c r="L157" s="218">
        <f t="shared" si="17"/>
        <v>21.12943740377391</v>
      </c>
      <c r="M157" s="218"/>
      <c r="N157" s="218"/>
      <c r="O157" s="218"/>
      <c r="P157" s="218"/>
      <c r="Q157" s="218"/>
      <c r="R157" s="218"/>
      <c r="S157" s="64">
        <v>209500</v>
      </c>
      <c r="T157">
        <v>6869</v>
      </c>
    </row>
    <row r="158" spans="1:20" x14ac:dyDescent="0.25">
      <c r="A158" s="64" t="str">
        <f t="shared" si="12"/>
        <v>CIRF  610*16</v>
      </c>
      <c r="B158" s="163">
        <f t="shared" si="13"/>
        <v>234.38291815078156</v>
      </c>
      <c r="C158" s="64">
        <v>610</v>
      </c>
      <c r="D158" s="64">
        <v>16</v>
      </c>
      <c r="E158" s="64"/>
      <c r="F158" s="64"/>
      <c r="G158" s="64"/>
      <c r="H158" s="163">
        <f t="shared" si="14"/>
        <v>298.57696579717395</v>
      </c>
      <c r="I158" s="187">
        <f t="shared" si="15"/>
        <v>131781.4225090697</v>
      </c>
      <c r="J158" s="187">
        <f t="shared" si="16"/>
        <v>4320.7023773465471</v>
      </c>
      <c r="K158" s="228">
        <v>5647</v>
      </c>
      <c r="L158" s="218">
        <f t="shared" si="17"/>
        <v>21.008688678734806</v>
      </c>
      <c r="M158" s="218"/>
      <c r="N158" s="218"/>
      <c r="O158" s="218"/>
      <c r="P158" s="218"/>
      <c r="Q158" s="218"/>
      <c r="R158" s="218"/>
      <c r="S158" s="64">
        <v>263600</v>
      </c>
      <c r="T158">
        <v>8641</v>
      </c>
    </row>
    <row r="159" spans="1:20" x14ac:dyDescent="0.25">
      <c r="A159" s="64" t="str">
        <f t="shared" si="12"/>
        <v>CIRF  610*20</v>
      </c>
      <c r="B159" s="163">
        <f t="shared" si="13"/>
        <v>291.00572750202252</v>
      </c>
      <c r="C159" s="64">
        <v>610</v>
      </c>
      <c r="D159" s="64">
        <v>20</v>
      </c>
      <c r="E159" s="64"/>
      <c r="F159" s="64"/>
      <c r="G159" s="64"/>
      <c r="H159" s="163">
        <f t="shared" si="14"/>
        <v>370.70793312359558</v>
      </c>
      <c r="I159" s="187">
        <f t="shared" si="15"/>
        <v>161489.64336696634</v>
      </c>
      <c r="J159" s="187">
        <f t="shared" si="16"/>
        <v>5294.742405474306</v>
      </c>
      <c r="K159" s="228">
        <v>6965</v>
      </c>
      <c r="L159" s="218">
        <f t="shared" si="17"/>
        <v>20.871631464741803</v>
      </c>
      <c r="M159" s="218"/>
      <c r="N159" s="218"/>
      <c r="O159" s="218"/>
      <c r="P159" s="218"/>
      <c r="Q159" s="218"/>
      <c r="R159" s="218"/>
      <c r="S159" s="64">
        <v>323000</v>
      </c>
      <c r="T159">
        <v>10590</v>
      </c>
    </row>
    <row r="160" spans="1:20" x14ac:dyDescent="0.25">
      <c r="A160" s="64" t="str">
        <f t="shared" si="12"/>
        <v>CIRF  610*25</v>
      </c>
      <c r="B160" s="163">
        <f t="shared" si="13"/>
        <v>360.67447158619325</v>
      </c>
      <c r="C160" s="64">
        <v>610</v>
      </c>
      <c r="D160" s="64">
        <v>25</v>
      </c>
      <c r="E160" s="64"/>
      <c r="F160" s="64"/>
      <c r="G160" s="64"/>
      <c r="H160" s="163">
        <f t="shared" si="14"/>
        <v>459.4579255875073</v>
      </c>
      <c r="I160" s="187">
        <f t="shared" si="15"/>
        <v>196906.43723459606</v>
      </c>
      <c r="J160" s="187">
        <f t="shared" si="16"/>
        <v>6455.948761790035</v>
      </c>
      <c r="K160" s="228">
        <v>8561</v>
      </c>
      <c r="L160" s="218">
        <f t="shared" si="17"/>
        <v>20.701751133660164</v>
      </c>
      <c r="M160" s="218"/>
      <c r="N160" s="218"/>
      <c r="O160" s="218"/>
      <c r="P160" s="218"/>
      <c r="Q160" s="218"/>
      <c r="R160" s="218"/>
      <c r="S160" s="64">
        <v>393800</v>
      </c>
      <c r="T160">
        <v>12910</v>
      </c>
    </row>
    <row r="161" spans="1:20" x14ac:dyDescent="0.25">
      <c r="A161" s="64" t="str">
        <f t="shared" si="12"/>
        <v>CIRF  610*30</v>
      </c>
      <c r="B161" s="163">
        <f t="shared" si="13"/>
        <v>429.11014055382981</v>
      </c>
      <c r="C161" s="64">
        <v>610</v>
      </c>
      <c r="D161" s="64">
        <v>30</v>
      </c>
      <c r="E161" s="64"/>
      <c r="F161" s="64"/>
      <c r="G161" s="64"/>
      <c r="H161" s="163">
        <f t="shared" si="14"/>
        <v>546.63712172462397</v>
      </c>
      <c r="I161" s="187">
        <f t="shared" si="15"/>
        <v>230475.8764471446</v>
      </c>
      <c r="J161" s="187">
        <f t="shared" si="16"/>
        <v>7556.5861130211342</v>
      </c>
      <c r="K161" s="228">
        <v>10101</v>
      </c>
      <c r="L161" s="218">
        <f t="shared" si="17"/>
        <v>20.533509198381072</v>
      </c>
      <c r="M161" s="218"/>
      <c r="N161" s="218"/>
      <c r="O161" s="218"/>
      <c r="P161" s="218"/>
      <c r="Q161" s="218"/>
      <c r="R161" s="218"/>
      <c r="S161" s="64">
        <v>461000</v>
      </c>
      <c r="T161">
        <v>15110</v>
      </c>
    </row>
    <row r="162" spans="1:20" x14ac:dyDescent="0.25">
      <c r="A162" s="219" t="str">
        <f t="shared" si="12"/>
        <v>CIRF  711*6</v>
      </c>
      <c r="B162" s="168">
        <f t="shared" si="13"/>
        <v>104.31815485877588</v>
      </c>
      <c r="C162" s="167">
        <v>711</v>
      </c>
      <c r="D162" s="167">
        <v>6</v>
      </c>
      <c r="E162" s="167"/>
      <c r="F162" s="167"/>
      <c r="G162" s="167"/>
      <c r="H162" s="168">
        <f t="shared" si="14"/>
        <v>132.88936924684825</v>
      </c>
      <c r="I162" s="184">
        <f t="shared" si="15"/>
        <v>82567.653459009554</v>
      </c>
      <c r="J162" s="184">
        <f t="shared" si="16"/>
        <v>2322.5781563715764</v>
      </c>
      <c r="K162" s="229">
        <v>2982</v>
      </c>
      <c r="L162" s="220">
        <f t="shared" si="17"/>
        <v>24.926416709988622</v>
      </c>
      <c r="M162" s="220"/>
      <c r="N162" s="220"/>
      <c r="O162" s="220"/>
      <c r="P162" s="220"/>
      <c r="Q162" s="220"/>
      <c r="R162" s="220"/>
      <c r="S162" s="167">
        <v>165100</v>
      </c>
      <c r="T162" s="221">
        <v>4645</v>
      </c>
    </row>
    <row r="163" spans="1:20" x14ac:dyDescent="0.25">
      <c r="A163" s="222" t="str">
        <f t="shared" si="12"/>
        <v>CIRF  711*6.3</v>
      </c>
      <c r="B163" s="174">
        <f t="shared" si="13"/>
        <v>109.48745236231007</v>
      </c>
      <c r="C163" s="173">
        <v>711</v>
      </c>
      <c r="D163" s="173">
        <v>6.3</v>
      </c>
      <c r="E163" s="173"/>
      <c r="F163" s="173"/>
      <c r="G163" s="173"/>
      <c r="H163" s="174">
        <f t="shared" si="14"/>
        <v>139.4744616080383</v>
      </c>
      <c r="I163" s="185">
        <f t="shared" si="15"/>
        <v>86586.056096947257</v>
      </c>
      <c r="J163" s="185">
        <f t="shared" si="16"/>
        <v>2435.613392319191</v>
      </c>
      <c r="K163" s="230">
        <v>3129</v>
      </c>
      <c r="L163" s="223">
        <f t="shared" si="17"/>
        <v>24.915903054073716</v>
      </c>
      <c r="M163" s="223"/>
      <c r="N163" s="223"/>
      <c r="O163" s="223"/>
      <c r="P163" s="223"/>
      <c r="Q163" s="223"/>
      <c r="R163" s="223"/>
      <c r="S163" s="173">
        <v>173200</v>
      </c>
      <c r="T163" s="224">
        <v>4871</v>
      </c>
    </row>
    <row r="164" spans="1:20" x14ac:dyDescent="0.25">
      <c r="A164" s="222" t="str">
        <f t="shared" si="12"/>
        <v>CIRF  711*8</v>
      </c>
      <c r="B164" s="174">
        <f t="shared" si="13"/>
        <v>138.69628910774361</v>
      </c>
      <c r="C164" s="173">
        <v>711</v>
      </c>
      <c r="D164" s="173">
        <v>8</v>
      </c>
      <c r="E164" s="173"/>
      <c r="F164" s="173"/>
      <c r="G164" s="173"/>
      <c r="H164" s="174">
        <f t="shared" si="14"/>
        <v>176.68317083788995</v>
      </c>
      <c r="I164" s="185">
        <f t="shared" si="15"/>
        <v>109162.15112444549</v>
      </c>
      <c r="J164" s="185">
        <f t="shared" si="16"/>
        <v>3070.6652918268769</v>
      </c>
      <c r="K164" s="230">
        <v>3954</v>
      </c>
      <c r="L164" s="223">
        <f t="shared" si="17"/>
        <v>24.85641265347838</v>
      </c>
      <c r="M164" s="223"/>
      <c r="N164" s="223"/>
      <c r="O164" s="223"/>
      <c r="P164" s="223"/>
      <c r="Q164" s="223"/>
      <c r="R164" s="223"/>
      <c r="S164" s="173">
        <v>218300</v>
      </c>
      <c r="T164" s="224">
        <v>6141</v>
      </c>
    </row>
    <row r="165" spans="1:20" x14ac:dyDescent="0.25">
      <c r="A165" s="222" t="str">
        <f t="shared" si="12"/>
        <v>CIRF  711*10</v>
      </c>
      <c r="B165" s="174">
        <f t="shared" si="13"/>
        <v>172.87713133806591</v>
      </c>
      <c r="C165" s="173">
        <v>711</v>
      </c>
      <c r="D165" s="173">
        <v>10</v>
      </c>
      <c r="E165" s="173"/>
      <c r="F165" s="173"/>
      <c r="G165" s="173"/>
      <c r="H165" s="174">
        <f t="shared" si="14"/>
        <v>220.22564501664448</v>
      </c>
      <c r="I165" s="185">
        <f t="shared" si="15"/>
        <v>135301.40593915724</v>
      </c>
      <c r="J165" s="185">
        <f t="shared" si="16"/>
        <v>3805.9467212139866</v>
      </c>
      <c r="K165" s="230">
        <v>4914</v>
      </c>
      <c r="L165" s="223">
        <f t="shared" si="17"/>
        <v>24.786614331126387</v>
      </c>
      <c r="M165" s="223"/>
      <c r="N165" s="223"/>
      <c r="O165" s="223"/>
      <c r="P165" s="223"/>
      <c r="Q165" s="223"/>
      <c r="R165" s="223"/>
      <c r="S165" s="173">
        <v>270600</v>
      </c>
      <c r="T165" s="224">
        <v>7612</v>
      </c>
    </row>
    <row r="166" spans="1:20" x14ac:dyDescent="0.25">
      <c r="A166" s="222" t="str">
        <f t="shared" si="12"/>
        <v>CIRF  711*12</v>
      </c>
      <c r="B166" s="174">
        <f t="shared" si="13"/>
        <v>206.86068154974279</v>
      </c>
      <c r="C166" s="173">
        <v>711</v>
      </c>
      <c r="D166" s="173">
        <v>12</v>
      </c>
      <c r="E166" s="173"/>
      <c r="F166" s="173"/>
      <c r="G166" s="173"/>
      <c r="H166" s="174">
        <f t="shared" si="14"/>
        <v>263.51679178311184</v>
      </c>
      <c r="I166" s="185">
        <f t="shared" si="15"/>
        <v>160990.64300004626</v>
      </c>
      <c r="J166" s="185">
        <f t="shared" si="16"/>
        <v>4528.5694233486984</v>
      </c>
      <c r="K166" s="230">
        <v>5864</v>
      </c>
      <c r="L166" s="223">
        <f t="shared" si="17"/>
        <v>24.717023485848777</v>
      </c>
      <c r="M166" s="223"/>
      <c r="N166" s="223"/>
      <c r="O166" s="223"/>
      <c r="P166" s="223"/>
      <c r="Q166" s="223"/>
      <c r="R166" s="223"/>
      <c r="S166" s="173">
        <v>322000</v>
      </c>
      <c r="T166" s="224">
        <v>9057</v>
      </c>
    </row>
    <row r="167" spans="1:20" x14ac:dyDescent="0.25">
      <c r="A167" s="222" t="str">
        <f t="shared" si="12"/>
        <v>CIRF  711*12.5</v>
      </c>
      <c r="B167" s="174">
        <f t="shared" si="13"/>
        <v>215.32574222474869</v>
      </c>
      <c r="C167" s="173">
        <v>711</v>
      </c>
      <c r="D167" s="173">
        <v>12.5</v>
      </c>
      <c r="E167" s="173"/>
      <c r="F167" s="173"/>
      <c r="G167" s="173"/>
      <c r="H167" s="174">
        <f t="shared" si="14"/>
        <v>274.30030856655884</v>
      </c>
      <c r="I167" s="185">
        <f t="shared" si="15"/>
        <v>167343.2464356648</v>
      </c>
      <c r="J167" s="185">
        <f t="shared" si="16"/>
        <v>4707.2643160524549</v>
      </c>
      <c r="K167" s="230">
        <v>6099</v>
      </c>
      <c r="L167" s="223">
        <f t="shared" si="17"/>
        <v>24.699658398447536</v>
      </c>
      <c r="M167" s="223"/>
      <c r="N167" s="223"/>
      <c r="O167" s="223"/>
      <c r="P167" s="223"/>
      <c r="Q167" s="223"/>
      <c r="R167" s="223"/>
      <c r="S167" s="173">
        <v>334700</v>
      </c>
      <c r="T167" s="224">
        <v>9415</v>
      </c>
    </row>
    <row r="168" spans="1:20" x14ac:dyDescent="0.25">
      <c r="A168" s="222" t="str">
        <f t="shared" si="12"/>
        <v>CIRF  711*16</v>
      </c>
      <c r="B168" s="174">
        <f t="shared" si="13"/>
        <v>274.23590591716021</v>
      </c>
      <c r="C168" s="173">
        <v>711</v>
      </c>
      <c r="D168" s="173">
        <v>16</v>
      </c>
      <c r="E168" s="173"/>
      <c r="F168" s="173"/>
      <c r="G168" s="173"/>
      <c r="H168" s="174">
        <f t="shared" si="14"/>
        <v>349.34510307918498</v>
      </c>
      <c r="I168" s="185">
        <f t="shared" si="15"/>
        <v>211039.81345151452</v>
      </c>
      <c r="J168" s="185">
        <f t="shared" si="16"/>
        <v>5936.4223193112375</v>
      </c>
      <c r="K168" s="230">
        <v>7730</v>
      </c>
      <c r="L168" s="223">
        <f t="shared" si="17"/>
        <v>24.57847127060591</v>
      </c>
      <c r="M168" s="223"/>
      <c r="N168" s="223"/>
      <c r="O168" s="223"/>
      <c r="P168" s="223"/>
      <c r="Q168" s="223"/>
      <c r="R168" s="223"/>
      <c r="S168" s="173">
        <v>422100</v>
      </c>
      <c r="T168" s="224">
        <v>11870</v>
      </c>
    </row>
    <row r="169" spans="1:20" x14ac:dyDescent="0.25">
      <c r="A169" s="222" t="str">
        <f t="shared" si="12"/>
        <v>CIRF  711*20</v>
      </c>
      <c r="B169" s="174">
        <f t="shared" si="13"/>
        <v>340.82196220999589</v>
      </c>
      <c r="C169" s="173">
        <v>711</v>
      </c>
      <c r="D169" s="173">
        <v>20</v>
      </c>
      <c r="E169" s="173"/>
      <c r="F169" s="173"/>
      <c r="G169" s="173"/>
      <c r="H169" s="174">
        <f t="shared" si="14"/>
        <v>434.16810472610939</v>
      </c>
      <c r="I169" s="185">
        <f t="shared" si="15"/>
        <v>259350.86006827236</v>
      </c>
      <c r="J169" s="185">
        <f t="shared" si="16"/>
        <v>7295.3828429893765</v>
      </c>
      <c r="K169" s="230">
        <v>9552</v>
      </c>
      <c r="L169" s="223">
        <f t="shared" si="17"/>
        <v>24.440770241545174</v>
      </c>
      <c r="M169" s="223"/>
      <c r="N169" s="223"/>
      <c r="O169" s="223"/>
      <c r="P169" s="223"/>
      <c r="Q169" s="223"/>
      <c r="R169" s="223"/>
      <c r="S169" s="173">
        <v>518700</v>
      </c>
      <c r="T169" s="224">
        <v>14590</v>
      </c>
    </row>
    <row r="170" spans="1:20" x14ac:dyDescent="0.25">
      <c r="A170" s="222" t="str">
        <f t="shared" si="12"/>
        <v>CIRF  711*25</v>
      </c>
      <c r="B170" s="174">
        <f t="shared" si="13"/>
        <v>422.94476497115994</v>
      </c>
      <c r="C170" s="173">
        <v>711</v>
      </c>
      <c r="D170" s="173">
        <v>25</v>
      </c>
      <c r="E170" s="173"/>
      <c r="F170" s="173"/>
      <c r="G170" s="173"/>
      <c r="H170" s="174">
        <f t="shared" si="14"/>
        <v>538.78314009064957</v>
      </c>
      <c r="I170" s="185">
        <f t="shared" si="15"/>
        <v>317357.41257081996</v>
      </c>
      <c r="J170" s="185">
        <f t="shared" si="16"/>
        <v>8927.0720835673674</v>
      </c>
      <c r="K170" s="230">
        <v>11770</v>
      </c>
      <c r="L170" s="223">
        <f t="shared" si="17"/>
        <v>24.269862999201294</v>
      </c>
      <c r="M170" s="223"/>
      <c r="N170" s="223"/>
      <c r="O170" s="223"/>
      <c r="P170" s="223"/>
      <c r="Q170" s="223"/>
      <c r="R170" s="223"/>
      <c r="S170" s="173">
        <v>634700</v>
      </c>
      <c r="T170" s="224">
        <v>17850</v>
      </c>
    </row>
    <row r="171" spans="1:20" x14ac:dyDescent="0.25">
      <c r="A171" s="225" t="str">
        <f t="shared" si="12"/>
        <v>CIRF  711*30</v>
      </c>
      <c r="B171" s="180">
        <f t="shared" si="13"/>
        <v>503.83449261578994</v>
      </c>
      <c r="C171" s="179">
        <v>711</v>
      </c>
      <c r="D171" s="179">
        <v>30</v>
      </c>
      <c r="E171" s="179"/>
      <c r="F171" s="179"/>
      <c r="G171" s="179"/>
      <c r="H171" s="180">
        <f t="shared" si="14"/>
        <v>641.8273791283948</v>
      </c>
      <c r="I171" s="186">
        <f t="shared" si="15"/>
        <v>372790.18976647378</v>
      </c>
      <c r="J171" s="186">
        <f t="shared" si="16"/>
        <v>10486.362581335407</v>
      </c>
      <c r="K171" s="231">
        <v>13922</v>
      </c>
      <c r="L171" s="226">
        <f t="shared" si="17"/>
        <v>24.100337134571376</v>
      </c>
      <c r="M171" s="226"/>
      <c r="N171" s="226"/>
      <c r="O171" s="226"/>
      <c r="P171" s="226"/>
      <c r="Q171" s="226"/>
      <c r="R171" s="226"/>
      <c r="S171" s="179">
        <v>745600</v>
      </c>
      <c r="T171" s="227">
        <v>20970</v>
      </c>
    </row>
    <row r="172" spans="1:20" x14ac:dyDescent="0.25">
      <c r="A172" s="64" t="str">
        <f t="shared" si="12"/>
        <v>CIRF  762*6</v>
      </c>
      <c r="B172" s="163">
        <f t="shared" si="13"/>
        <v>111.86457457196393</v>
      </c>
      <c r="C172" s="64">
        <v>762</v>
      </c>
      <c r="D172" s="64">
        <v>6</v>
      </c>
      <c r="E172" s="64"/>
      <c r="F172" s="64"/>
      <c r="G172" s="64"/>
      <c r="H172" s="163">
        <f t="shared" si="14"/>
        <v>142.50264276683302</v>
      </c>
      <c r="I172" s="187">
        <f t="shared" si="15"/>
        <v>101813.15066440534</v>
      </c>
      <c r="J172" s="187">
        <f t="shared" si="16"/>
        <v>2672.2611722941033</v>
      </c>
      <c r="K172" s="228">
        <v>3429</v>
      </c>
      <c r="L172" s="218">
        <f t="shared" si="17"/>
        <v>26.72947810938328</v>
      </c>
      <c r="M172" s="218"/>
      <c r="N172" s="218"/>
      <c r="O172" s="218"/>
      <c r="P172" s="218"/>
      <c r="Q172" s="218"/>
      <c r="R172" s="218"/>
      <c r="S172" s="64">
        <v>203600</v>
      </c>
      <c r="T172">
        <v>5345</v>
      </c>
    </row>
    <row r="173" spans="1:20" x14ac:dyDescent="0.25">
      <c r="A173" s="64" t="str">
        <f t="shared" si="12"/>
        <v>CIRF  762*6.3</v>
      </c>
      <c r="B173" s="163">
        <f t="shared" si="13"/>
        <v>117.41119306115722</v>
      </c>
      <c r="C173" s="64">
        <v>762</v>
      </c>
      <c r="D173" s="64">
        <v>6.3</v>
      </c>
      <c r="E173" s="64"/>
      <c r="F173" s="64"/>
      <c r="G173" s="64"/>
      <c r="H173" s="163">
        <f t="shared" si="14"/>
        <v>149.56839880402194</v>
      </c>
      <c r="I173" s="187">
        <f t="shared" si="15"/>
        <v>106777.28748007804</v>
      </c>
      <c r="J173" s="187">
        <f t="shared" si="16"/>
        <v>2802.5534771674024</v>
      </c>
      <c r="K173" s="228">
        <v>3598</v>
      </c>
      <c r="L173" s="218">
        <f t="shared" si="17"/>
        <v>26.7189581570839</v>
      </c>
      <c r="M173" s="218"/>
      <c r="N173" s="218"/>
      <c r="O173" s="218"/>
      <c r="P173" s="218"/>
      <c r="Q173" s="218"/>
      <c r="R173" s="218"/>
      <c r="S173" s="64">
        <v>213600</v>
      </c>
      <c r="T173">
        <v>5605</v>
      </c>
    </row>
    <row r="174" spans="1:20" x14ac:dyDescent="0.25">
      <c r="A174" s="64" t="str">
        <f t="shared" si="12"/>
        <v>CIRF  762*8</v>
      </c>
      <c r="B174" s="163">
        <f t="shared" si="13"/>
        <v>148.75818205866102</v>
      </c>
      <c r="C174" s="64">
        <v>762</v>
      </c>
      <c r="D174" s="64">
        <v>8</v>
      </c>
      <c r="E174" s="64"/>
      <c r="F174" s="64"/>
      <c r="G174" s="64"/>
      <c r="H174" s="163">
        <f t="shared" si="14"/>
        <v>189.50086886453633</v>
      </c>
      <c r="I174" s="187">
        <f t="shared" si="15"/>
        <v>134683.0050237476</v>
      </c>
      <c r="J174" s="187">
        <f t="shared" si="16"/>
        <v>3534.9870084973122</v>
      </c>
      <c r="K174" s="228">
        <v>4548</v>
      </c>
      <c r="L174" s="218">
        <f t="shared" si="17"/>
        <v>26.659426100349574</v>
      </c>
      <c r="M174" s="218"/>
      <c r="N174" s="218"/>
      <c r="O174" s="218"/>
      <c r="P174" s="218"/>
      <c r="Q174" s="218"/>
      <c r="R174" s="218"/>
      <c r="S174" s="64">
        <v>269400</v>
      </c>
      <c r="T174">
        <v>7070</v>
      </c>
    </row>
    <row r="175" spans="1:20" x14ac:dyDescent="0.25">
      <c r="A175" s="64" t="str">
        <f t="shared" si="12"/>
        <v>CIRF  762*10</v>
      </c>
      <c r="B175" s="163">
        <f t="shared" si="13"/>
        <v>185.45449752671269</v>
      </c>
      <c r="C175" s="64">
        <v>762</v>
      </c>
      <c r="D175" s="64">
        <v>10</v>
      </c>
      <c r="E175" s="64"/>
      <c r="F175" s="64"/>
      <c r="G175" s="64"/>
      <c r="H175" s="163">
        <f t="shared" si="14"/>
        <v>236.24776754995244</v>
      </c>
      <c r="I175" s="187">
        <f t="shared" si="15"/>
        <v>167028.35289665413</v>
      </c>
      <c r="J175" s="187">
        <f t="shared" si="16"/>
        <v>4383.9462702533892</v>
      </c>
      <c r="K175" s="228">
        <v>5655</v>
      </c>
      <c r="L175" s="218">
        <f t="shared" si="17"/>
        <v>26.589565622627234</v>
      </c>
      <c r="M175" s="218"/>
      <c r="N175" s="218"/>
      <c r="O175" s="218"/>
      <c r="P175" s="218"/>
      <c r="Q175" s="218"/>
      <c r="R175" s="218"/>
      <c r="S175" s="64">
        <v>334100</v>
      </c>
      <c r="T175">
        <v>8768</v>
      </c>
    </row>
    <row r="176" spans="1:20" x14ac:dyDescent="0.25">
      <c r="A176" s="64" t="str">
        <f t="shared" si="12"/>
        <v>CIRF  762*12</v>
      </c>
      <c r="B176" s="163">
        <f t="shared" si="13"/>
        <v>221.95352097611891</v>
      </c>
      <c r="C176" s="64">
        <v>762</v>
      </c>
      <c r="D176" s="64">
        <v>12</v>
      </c>
      <c r="E176" s="64"/>
      <c r="F176" s="64"/>
      <c r="G176" s="64"/>
      <c r="H176" s="163">
        <f t="shared" si="14"/>
        <v>282.74333882308139</v>
      </c>
      <c r="I176" s="187">
        <f t="shared" si="15"/>
        <v>198854.80391096725</v>
      </c>
      <c r="J176" s="187">
        <f t="shared" si="16"/>
        <v>5219.2861918889039</v>
      </c>
      <c r="K176" s="228">
        <v>6751</v>
      </c>
      <c r="L176" s="218">
        <f t="shared" si="17"/>
        <v>26.519898189849823</v>
      </c>
      <c r="M176" s="218"/>
      <c r="N176" s="218"/>
      <c r="O176" s="218"/>
      <c r="P176" s="218"/>
      <c r="Q176" s="218"/>
      <c r="R176" s="218"/>
      <c r="S176" s="64">
        <v>397700</v>
      </c>
      <c r="T176">
        <v>10440</v>
      </c>
    </row>
    <row r="177" spans="1:20" x14ac:dyDescent="0.25">
      <c r="A177" s="64" t="str">
        <f t="shared" si="12"/>
        <v>CIRF  762*12.5</v>
      </c>
      <c r="B177" s="163">
        <f t="shared" si="13"/>
        <v>231.04744996055709</v>
      </c>
      <c r="C177" s="64">
        <v>762</v>
      </c>
      <c r="D177" s="64">
        <v>12.5</v>
      </c>
      <c r="E177" s="64"/>
      <c r="F177" s="64"/>
      <c r="G177" s="64"/>
      <c r="H177" s="163">
        <f t="shared" si="14"/>
        <v>294.32796173319372</v>
      </c>
      <c r="I177" s="187">
        <f t="shared" si="15"/>
        <v>206730.99353704107</v>
      </c>
      <c r="J177" s="187">
        <f t="shared" si="16"/>
        <v>5426.0103290561956</v>
      </c>
      <c r="K177" s="228">
        <v>7023</v>
      </c>
      <c r="L177" s="218">
        <f t="shared" si="17"/>
        <v>26.502511673424468</v>
      </c>
      <c r="M177" s="218"/>
      <c r="N177" s="218"/>
      <c r="O177" s="218"/>
      <c r="P177" s="218"/>
      <c r="Q177" s="218"/>
      <c r="R177" s="218"/>
      <c r="S177" s="64">
        <v>413500</v>
      </c>
      <c r="T177">
        <v>10850</v>
      </c>
    </row>
    <row r="178" spans="1:20" x14ac:dyDescent="0.25">
      <c r="A178" s="64" t="str">
        <f t="shared" si="12"/>
        <v>CIRF  762*16</v>
      </c>
      <c r="B178" s="163">
        <f t="shared" si="13"/>
        <v>294.35969181899497</v>
      </c>
      <c r="C178" s="64">
        <v>762</v>
      </c>
      <c r="D178" s="64">
        <v>16</v>
      </c>
      <c r="E178" s="64"/>
      <c r="F178" s="64"/>
      <c r="G178" s="64"/>
      <c r="H178" s="163">
        <f t="shared" si="14"/>
        <v>374.98049913247769</v>
      </c>
      <c r="I178" s="187">
        <f t="shared" si="15"/>
        <v>260973.30307873484</v>
      </c>
      <c r="J178" s="187">
        <f t="shared" si="16"/>
        <v>6849.6929941925155</v>
      </c>
      <c r="K178" s="228">
        <v>8906</v>
      </c>
      <c r="L178" s="218">
        <f t="shared" si="17"/>
        <v>26.381148572418148</v>
      </c>
      <c r="M178" s="218"/>
      <c r="N178" s="218"/>
      <c r="O178" s="218"/>
      <c r="P178" s="218"/>
      <c r="Q178" s="218"/>
      <c r="R178" s="218"/>
      <c r="S178" s="64">
        <v>521900</v>
      </c>
      <c r="T178">
        <v>13700</v>
      </c>
    </row>
    <row r="179" spans="1:20" x14ac:dyDescent="0.25">
      <c r="A179" s="64" t="str">
        <f t="shared" si="12"/>
        <v>CIRF  762*20</v>
      </c>
      <c r="B179" s="163">
        <f t="shared" si="13"/>
        <v>365.97669458728939</v>
      </c>
      <c r="C179" s="64">
        <v>762</v>
      </c>
      <c r="D179" s="64">
        <v>20</v>
      </c>
      <c r="E179" s="64"/>
      <c r="F179" s="64"/>
      <c r="G179" s="64"/>
      <c r="H179" s="163">
        <f t="shared" si="14"/>
        <v>466.21234979272532</v>
      </c>
      <c r="I179" s="187">
        <f t="shared" si="15"/>
        <v>321082.77636399888</v>
      </c>
      <c r="J179" s="187">
        <f t="shared" si="16"/>
        <v>8427.3694583726738</v>
      </c>
      <c r="K179" s="228">
        <v>11014</v>
      </c>
      <c r="L179" s="218">
        <f t="shared" si="17"/>
        <v>26.243189592730531</v>
      </c>
      <c r="M179" s="218"/>
      <c r="N179" s="218"/>
      <c r="O179" s="218"/>
      <c r="P179" s="218"/>
      <c r="Q179" s="218"/>
      <c r="R179" s="218"/>
      <c r="S179" s="64">
        <v>642200</v>
      </c>
      <c r="T179">
        <v>16850</v>
      </c>
    </row>
    <row r="180" spans="1:20" x14ac:dyDescent="0.25">
      <c r="A180" s="64" t="str">
        <f t="shared" si="12"/>
        <v>CIRF  762*25</v>
      </c>
      <c r="B180" s="163">
        <f t="shared" si="13"/>
        <v>454.38818044277679</v>
      </c>
      <c r="C180" s="64">
        <v>762</v>
      </c>
      <c r="D180" s="64">
        <v>25</v>
      </c>
      <c r="E180" s="64"/>
      <c r="F180" s="64"/>
      <c r="G180" s="64"/>
      <c r="H180" s="163">
        <f t="shared" si="14"/>
        <v>578.83844642391944</v>
      </c>
      <c r="I180" s="187">
        <f t="shared" si="15"/>
        <v>393461.09266831103</v>
      </c>
      <c r="J180" s="187">
        <f t="shared" si="16"/>
        <v>10327.062799693202</v>
      </c>
      <c r="K180" s="228">
        <v>13584</v>
      </c>
      <c r="L180" s="218">
        <f t="shared" si="17"/>
        <v>26.071871816193021</v>
      </c>
      <c r="M180" s="218"/>
      <c r="N180" s="218"/>
      <c r="O180" s="218"/>
      <c r="P180" s="218"/>
      <c r="Q180" s="218"/>
      <c r="R180" s="218"/>
      <c r="S180" s="64">
        <v>786900</v>
      </c>
      <c r="T180">
        <v>20650</v>
      </c>
    </row>
    <row r="181" spans="1:20" x14ac:dyDescent="0.25">
      <c r="A181" s="64" t="str">
        <f t="shared" si="12"/>
        <v>CIRF  762*30</v>
      </c>
      <c r="B181" s="163">
        <f t="shared" si="13"/>
        <v>541.56659118173013</v>
      </c>
      <c r="C181" s="64">
        <v>762</v>
      </c>
      <c r="D181" s="64">
        <v>30</v>
      </c>
      <c r="E181" s="64"/>
      <c r="F181" s="64"/>
      <c r="G181" s="64"/>
      <c r="H181" s="163">
        <f t="shared" si="14"/>
        <v>689.89374672831855</v>
      </c>
      <c r="I181" s="187">
        <f t="shared" si="15"/>
        <v>462853.16414876265</v>
      </c>
      <c r="J181" s="187">
        <f t="shared" si="16"/>
        <v>12148.377011778546</v>
      </c>
      <c r="K181" s="228">
        <v>16084</v>
      </c>
      <c r="L181" s="218">
        <f t="shared" si="17"/>
        <v>25.901833911906703</v>
      </c>
      <c r="M181" s="218"/>
      <c r="N181" s="218"/>
      <c r="O181" s="218"/>
      <c r="P181" s="218"/>
      <c r="Q181" s="218"/>
      <c r="R181" s="218"/>
      <c r="S181" s="64">
        <v>925700</v>
      </c>
      <c r="T181">
        <v>24300</v>
      </c>
    </row>
    <row r="182" spans="1:20" x14ac:dyDescent="0.25">
      <c r="A182" s="219" t="str">
        <f t="shared" si="12"/>
        <v>CIRF  813*8</v>
      </c>
      <c r="B182" s="168">
        <f t="shared" si="13"/>
        <v>158.8200750095784</v>
      </c>
      <c r="C182" s="167">
        <v>813</v>
      </c>
      <c r="D182" s="167">
        <v>8</v>
      </c>
      <c r="E182" s="167"/>
      <c r="F182" s="167"/>
      <c r="G182" s="167"/>
      <c r="H182" s="168">
        <f t="shared" si="14"/>
        <v>202.31856689118268</v>
      </c>
      <c r="I182" s="184">
        <f t="shared" si="15"/>
        <v>163900.54712242461</v>
      </c>
      <c r="J182" s="184">
        <f t="shared" si="16"/>
        <v>4031.9937791494363</v>
      </c>
      <c r="K182" s="229">
        <v>5184</v>
      </c>
      <c r="L182" s="220">
        <f t="shared" si="17"/>
        <v>28.462453337686824</v>
      </c>
      <c r="M182" s="220"/>
      <c r="N182" s="220"/>
      <c r="O182" s="220"/>
      <c r="P182" s="220"/>
      <c r="Q182" s="220"/>
      <c r="R182" s="220"/>
      <c r="S182" s="167">
        <v>327800</v>
      </c>
      <c r="T182" s="221">
        <v>8064</v>
      </c>
    </row>
    <row r="183" spans="1:20" x14ac:dyDescent="0.25">
      <c r="A183" s="222" t="str">
        <f t="shared" si="12"/>
        <v>CIRF  813*10</v>
      </c>
      <c r="B183" s="174">
        <f t="shared" si="13"/>
        <v>198.03186371535944</v>
      </c>
      <c r="C183" s="173">
        <v>813</v>
      </c>
      <c r="D183" s="173">
        <v>10</v>
      </c>
      <c r="E183" s="173"/>
      <c r="F183" s="173"/>
      <c r="G183" s="173"/>
      <c r="H183" s="174">
        <f t="shared" si="14"/>
        <v>252.26989008326041</v>
      </c>
      <c r="I183" s="185">
        <f t="shared" si="15"/>
        <v>203363.90317963171</v>
      </c>
      <c r="J183" s="185">
        <f t="shared" si="16"/>
        <v>5002.8020462394015</v>
      </c>
      <c r="K183" s="230">
        <v>6448</v>
      </c>
      <c r="L183" s="223">
        <f t="shared" si="17"/>
        <v>28.392538632535132</v>
      </c>
      <c r="M183" s="223"/>
      <c r="N183" s="223"/>
      <c r="O183" s="223"/>
      <c r="P183" s="223"/>
      <c r="Q183" s="223"/>
      <c r="R183" s="223"/>
      <c r="S183" s="173">
        <v>406700</v>
      </c>
      <c r="T183" s="224">
        <v>10010</v>
      </c>
    </row>
    <row r="184" spans="1:20" x14ac:dyDescent="0.25">
      <c r="A184" s="222" t="str">
        <f t="shared" si="12"/>
        <v>CIRF  813*12</v>
      </c>
      <c r="B184" s="174">
        <f t="shared" si="13"/>
        <v>237.046360402495</v>
      </c>
      <c r="C184" s="173">
        <v>813</v>
      </c>
      <c r="D184" s="173">
        <v>12</v>
      </c>
      <c r="E184" s="173"/>
      <c r="F184" s="173"/>
      <c r="G184" s="173"/>
      <c r="H184" s="174">
        <f t="shared" si="14"/>
        <v>301.96988586305093</v>
      </c>
      <c r="I184" s="185">
        <f t="shared" si="15"/>
        <v>242234.58050397949</v>
      </c>
      <c r="J184" s="185">
        <f t="shared" si="16"/>
        <v>5959.0302707006022</v>
      </c>
      <c r="K184" s="230">
        <v>7700</v>
      </c>
      <c r="L184" s="223">
        <f t="shared" si="17"/>
        <v>28.322804416229687</v>
      </c>
      <c r="M184" s="223"/>
      <c r="N184" s="223"/>
      <c r="O184" s="223"/>
      <c r="P184" s="223"/>
      <c r="Q184" s="223"/>
      <c r="R184" s="223"/>
      <c r="S184" s="173">
        <v>484500</v>
      </c>
      <c r="T184" s="224">
        <v>11920</v>
      </c>
    </row>
    <row r="185" spans="1:20" x14ac:dyDescent="0.25">
      <c r="A185" s="222" t="str">
        <f t="shared" si="12"/>
        <v>CIRF  813*12.5</v>
      </c>
      <c r="B185" s="174">
        <f t="shared" si="13"/>
        <v>246.76915769636554</v>
      </c>
      <c r="C185" s="173">
        <v>813</v>
      </c>
      <c r="D185" s="173">
        <v>12.5</v>
      </c>
      <c r="E185" s="173"/>
      <c r="F185" s="173"/>
      <c r="G185" s="173"/>
      <c r="H185" s="174">
        <f t="shared" si="14"/>
        <v>314.35561489982871</v>
      </c>
      <c r="I185" s="185">
        <f t="shared" si="15"/>
        <v>251860.34335192759</v>
      </c>
      <c r="J185" s="185">
        <f t="shared" si="16"/>
        <v>6195.8264047214652</v>
      </c>
      <c r="K185" s="230">
        <v>8011</v>
      </c>
      <c r="L185" s="223">
        <f t="shared" si="17"/>
        <v>28.305399219936824</v>
      </c>
      <c r="M185" s="223"/>
      <c r="N185" s="223"/>
      <c r="O185" s="223"/>
      <c r="P185" s="223"/>
      <c r="Q185" s="223"/>
      <c r="R185" s="223"/>
      <c r="S185" s="173">
        <v>503700</v>
      </c>
      <c r="T185" s="224">
        <v>12390</v>
      </c>
    </row>
    <row r="186" spans="1:20" x14ac:dyDescent="0.25">
      <c r="A186" s="222" t="str">
        <f t="shared" si="12"/>
        <v>CIRF  813*16</v>
      </c>
      <c r="B186" s="174">
        <f t="shared" si="13"/>
        <v>314.4834777208298</v>
      </c>
      <c r="C186" s="173">
        <v>813</v>
      </c>
      <c r="D186" s="173">
        <v>16</v>
      </c>
      <c r="E186" s="173"/>
      <c r="F186" s="173"/>
      <c r="G186" s="173"/>
      <c r="H186" s="174">
        <f t="shared" si="14"/>
        <v>400.61589518577046</v>
      </c>
      <c r="I186" s="185">
        <f t="shared" si="15"/>
        <v>318221.72479278204</v>
      </c>
      <c r="J186" s="185">
        <f t="shared" si="16"/>
        <v>7828.3327132295699</v>
      </c>
      <c r="K186" s="230">
        <v>10165</v>
      </c>
      <c r="L186" s="223">
        <f t="shared" si="17"/>
        <v>28.183882805603631</v>
      </c>
      <c r="M186" s="223"/>
      <c r="N186" s="223"/>
      <c r="O186" s="223"/>
      <c r="P186" s="223"/>
      <c r="Q186" s="223"/>
      <c r="R186" s="223"/>
      <c r="S186" s="173">
        <v>636400</v>
      </c>
      <c r="T186" s="224">
        <v>15660</v>
      </c>
    </row>
    <row r="187" spans="1:20" x14ac:dyDescent="0.25">
      <c r="A187" s="222" t="str">
        <f t="shared" si="12"/>
        <v>CIRF  813*20</v>
      </c>
      <c r="B187" s="174">
        <f t="shared" si="13"/>
        <v>391.13142696458283</v>
      </c>
      <c r="C187" s="173">
        <v>813</v>
      </c>
      <c r="D187" s="173">
        <v>20</v>
      </c>
      <c r="E187" s="173"/>
      <c r="F187" s="173"/>
      <c r="G187" s="173"/>
      <c r="H187" s="174">
        <f t="shared" si="14"/>
        <v>498.25659485934119</v>
      </c>
      <c r="I187" s="185">
        <f t="shared" si="15"/>
        <v>391909.33007330704</v>
      </c>
      <c r="J187" s="185">
        <f t="shared" si="16"/>
        <v>9641.065930462657</v>
      </c>
      <c r="K187" s="230">
        <v>12580</v>
      </c>
      <c r="L187" s="223">
        <f t="shared" si="17"/>
        <v>28.045699313798544</v>
      </c>
      <c r="M187" s="223"/>
      <c r="N187" s="223"/>
      <c r="O187" s="223"/>
      <c r="P187" s="223"/>
      <c r="Q187" s="223"/>
      <c r="R187" s="223"/>
      <c r="S187" s="173">
        <v>783800</v>
      </c>
      <c r="T187" s="224">
        <v>19280</v>
      </c>
    </row>
    <row r="188" spans="1:20" x14ac:dyDescent="0.25">
      <c r="A188" s="222" t="str">
        <f t="shared" si="12"/>
        <v>CIRF  813*25</v>
      </c>
      <c r="B188" s="174">
        <f t="shared" si="13"/>
        <v>485.83159591439352</v>
      </c>
      <c r="C188" s="173">
        <v>813</v>
      </c>
      <c r="D188" s="173">
        <v>25</v>
      </c>
      <c r="E188" s="173"/>
      <c r="F188" s="173"/>
      <c r="G188" s="173"/>
      <c r="H188" s="174">
        <f t="shared" si="14"/>
        <v>618.89375275718919</v>
      </c>
      <c r="I188" s="185">
        <f t="shared" si="15"/>
        <v>480856.46375941671</v>
      </c>
      <c r="J188" s="185">
        <f t="shared" si="16"/>
        <v>11829.187300354653</v>
      </c>
      <c r="K188" s="230">
        <v>15529</v>
      </c>
      <c r="L188" s="223">
        <f t="shared" si="17"/>
        <v>27.874024646613197</v>
      </c>
      <c r="M188" s="223"/>
      <c r="N188" s="223"/>
      <c r="O188" s="223"/>
      <c r="P188" s="223"/>
      <c r="Q188" s="223"/>
      <c r="R188" s="223"/>
      <c r="S188" s="173">
        <v>961700</v>
      </c>
      <c r="T188" s="224">
        <v>23660</v>
      </c>
    </row>
    <row r="189" spans="1:20" x14ac:dyDescent="0.25">
      <c r="A189" s="225" t="str">
        <f t="shared" si="12"/>
        <v>CIRF  813*30</v>
      </c>
      <c r="B189" s="180">
        <f t="shared" si="13"/>
        <v>579.29868974767032</v>
      </c>
      <c r="C189" s="179">
        <v>813</v>
      </c>
      <c r="D189" s="179">
        <v>30</v>
      </c>
      <c r="E189" s="179"/>
      <c r="F189" s="179"/>
      <c r="G189" s="179"/>
      <c r="H189" s="180">
        <f t="shared" si="14"/>
        <v>737.96011432824241</v>
      </c>
      <c r="I189" s="186">
        <f t="shared" si="15"/>
        <v>566374.24079535401</v>
      </c>
      <c r="J189" s="186">
        <f t="shared" si="16"/>
        <v>13932.945653022236</v>
      </c>
      <c r="K189" s="231">
        <v>18402</v>
      </c>
      <c r="L189" s="226">
        <f t="shared" si="17"/>
        <v>27.70354219229014</v>
      </c>
      <c r="M189" s="226"/>
      <c r="N189" s="226"/>
      <c r="O189" s="226"/>
      <c r="P189" s="226"/>
      <c r="Q189" s="226"/>
      <c r="R189" s="226"/>
      <c r="S189" s="179">
        <v>1133000</v>
      </c>
      <c r="T189" s="227">
        <v>27870</v>
      </c>
    </row>
    <row r="190" spans="1:20" x14ac:dyDescent="0.25">
      <c r="A190" s="64" t="str">
        <f t="shared" si="12"/>
        <v>CIRF  914*8</v>
      </c>
      <c r="B190" s="163">
        <f t="shared" si="13"/>
        <v>178.74656889276775</v>
      </c>
      <c r="C190" s="64">
        <v>914</v>
      </c>
      <c r="D190" s="64">
        <v>8</v>
      </c>
      <c r="E190" s="64"/>
      <c r="F190" s="64"/>
      <c r="G190" s="64"/>
      <c r="H190" s="163">
        <f t="shared" si="14"/>
        <v>227.70263553218822</v>
      </c>
      <c r="I190" s="187">
        <f t="shared" si="15"/>
        <v>233651.36688546665</v>
      </c>
      <c r="J190" s="187">
        <f t="shared" si="16"/>
        <v>5112.7213760495979</v>
      </c>
      <c r="K190" s="228">
        <v>6567</v>
      </c>
      <c r="L190" s="218">
        <f t="shared" si="17"/>
        <v>32.0331859171079</v>
      </c>
      <c r="M190" s="218"/>
      <c r="N190" s="218"/>
      <c r="O190" s="218"/>
      <c r="P190" s="218"/>
      <c r="Q190" s="218"/>
      <c r="R190" s="218"/>
      <c r="S190" s="64">
        <v>467300</v>
      </c>
      <c r="T190">
        <v>10230</v>
      </c>
    </row>
    <row r="191" spans="1:20" x14ac:dyDescent="0.25">
      <c r="A191" s="64" t="str">
        <f t="shared" si="12"/>
        <v>CIRF  914*10</v>
      </c>
      <c r="B191" s="163">
        <f t="shared" si="13"/>
        <v>222.93998106934609</v>
      </c>
      <c r="C191" s="64">
        <v>914</v>
      </c>
      <c r="D191" s="64">
        <v>10</v>
      </c>
      <c r="E191" s="64"/>
      <c r="F191" s="64"/>
      <c r="G191" s="64"/>
      <c r="H191" s="163">
        <f t="shared" si="14"/>
        <v>283.99997588451731</v>
      </c>
      <c r="I191" s="187">
        <f t="shared" si="15"/>
        <v>290147.15536253771</v>
      </c>
      <c r="J191" s="187">
        <f t="shared" si="16"/>
        <v>6348.9530713903214</v>
      </c>
      <c r="K191" s="228">
        <v>8172</v>
      </c>
      <c r="L191" s="218">
        <f t="shared" si="17"/>
        <v>31.963181944230772</v>
      </c>
      <c r="M191" s="218"/>
      <c r="N191" s="218"/>
      <c r="O191" s="218"/>
      <c r="P191" s="218"/>
      <c r="Q191" s="218"/>
      <c r="R191" s="218"/>
      <c r="S191" s="64">
        <v>580300</v>
      </c>
      <c r="T191">
        <v>12700</v>
      </c>
    </row>
    <row r="192" spans="1:20" x14ac:dyDescent="0.25">
      <c r="A192" s="64" t="str">
        <f t="shared" si="12"/>
        <v>CIRF  914*12</v>
      </c>
      <c r="B192" s="163">
        <f t="shared" si="13"/>
        <v>266.93610122727898</v>
      </c>
      <c r="C192" s="64">
        <v>914</v>
      </c>
      <c r="D192" s="64">
        <v>12</v>
      </c>
      <c r="E192" s="64"/>
      <c r="F192" s="64"/>
      <c r="G192" s="64"/>
      <c r="H192" s="163">
        <f t="shared" si="14"/>
        <v>340.04598882455917</v>
      </c>
      <c r="I192" s="187">
        <f t="shared" si="15"/>
        <v>345889.6791425093</v>
      </c>
      <c r="J192" s="187">
        <f t="shared" si="16"/>
        <v>7568.7019506019533</v>
      </c>
      <c r="K192" s="228">
        <v>9764</v>
      </c>
      <c r="L192" s="218">
        <f t="shared" si="17"/>
        <v>31.893337862318521</v>
      </c>
      <c r="M192" s="218"/>
      <c r="N192" s="218"/>
      <c r="O192" s="218"/>
      <c r="P192" s="218"/>
      <c r="Q192" s="218"/>
      <c r="R192" s="218"/>
      <c r="S192" s="64">
        <v>691800</v>
      </c>
      <c r="T192">
        <v>15140</v>
      </c>
    </row>
    <row r="193" spans="1:20" x14ac:dyDescent="0.25">
      <c r="A193" s="64" t="str">
        <f t="shared" si="12"/>
        <v>CIRF  914*12.5</v>
      </c>
      <c r="B193" s="163">
        <f t="shared" si="13"/>
        <v>277.90430438884886</v>
      </c>
      <c r="C193" s="64">
        <v>914</v>
      </c>
      <c r="D193" s="64">
        <v>12.5</v>
      </c>
      <c r="E193" s="64"/>
      <c r="F193" s="64"/>
      <c r="G193" s="64"/>
      <c r="H193" s="163">
        <f t="shared" si="14"/>
        <v>354.01822215139981</v>
      </c>
      <c r="I193" s="187">
        <f t="shared" si="15"/>
        <v>359708.40128831705</v>
      </c>
      <c r="J193" s="187">
        <f t="shared" si="16"/>
        <v>7871.0809909916197</v>
      </c>
      <c r="K193" s="228">
        <v>10159</v>
      </c>
      <c r="L193" s="218">
        <f t="shared" si="17"/>
        <v>31.875901948023369</v>
      </c>
      <c r="M193" s="218"/>
      <c r="N193" s="218"/>
      <c r="O193" s="218"/>
      <c r="P193" s="218"/>
      <c r="Q193" s="218"/>
      <c r="R193" s="218"/>
      <c r="S193" s="64">
        <v>719400</v>
      </c>
      <c r="T193">
        <v>15740</v>
      </c>
    </row>
    <row r="194" spans="1:20" x14ac:dyDescent="0.25">
      <c r="A194" s="64" t="str">
        <f t="shared" si="12"/>
        <v>CIRF  914*16</v>
      </c>
      <c r="B194" s="163">
        <f t="shared" si="13"/>
        <v>354.3364654872085</v>
      </c>
      <c r="C194" s="64">
        <v>914</v>
      </c>
      <c r="D194" s="64">
        <v>16</v>
      </c>
      <c r="E194" s="64"/>
      <c r="F194" s="64"/>
      <c r="G194" s="64"/>
      <c r="H194" s="163">
        <f t="shared" si="14"/>
        <v>451.38403246778154</v>
      </c>
      <c r="I194" s="187">
        <f t="shared" si="15"/>
        <v>455141.80453807575</v>
      </c>
      <c r="J194" s="187">
        <f t="shared" si="16"/>
        <v>9959.3392677915908</v>
      </c>
      <c r="K194" s="228">
        <v>12904</v>
      </c>
      <c r="L194" s="218">
        <f t="shared" si="17"/>
        <v>31.754133589188037</v>
      </c>
      <c r="M194" s="218"/>
      <c r="N194" s="218"/>
      <c r="O194" s="218"/>
      <c r="P194" s="218"/>
      <c r="Q194" s="218"/>
      <c r="R194" s="218"/>
      <c r="S194" s="64">
        <v>910300</v>
      </c>
      <c r="T194">
        <v>19920</v>
      </c>
    </row>
    <row r="195" spans="1:20" x14ac:dyDescent="0.25">
      <c r="A195" s="64" t="str">
        <f t="shared" si="12"/>
        <v>CIRF  914*20</v>
      </c>
      <c r="B195" s="163">
        <f t="shared" si="13"/>
        <v>440.94766167255625</v>
      </c>
      <c r="C195" s="64">
        <v>914</v>
      </c>
      <c r="D195" s="64">
        <v>20</v>
      </c>
      <c r="E195" s="64"/>
      <c r="F195" s="64"/>
      <c r="G195" s="64"/>
      <c r="H195" s="163">
        <f t="shared" si="14"/>
        <v>561.71676646185506</v>
      </c>
      <c r="I195" s="187">
        <f t="shared" si="15"/>
        <v>561461.18533311493</v>
      </c>
      <c r="J195" s="187">
        <f t="shared" si="16"/>
        <v>12285.802742518925</v>
      </c>
      <c r="K195" s="228">
        <v>15987</v>
      </c>
      <c r="L195" s="218">
        <f t="shared" si="17"/>
        <v>31.615581601482521</v>
      </c>
      <c r="M195" s="218"/>
      <c r="N195" s="218"/>
      <c r="O195" s="218"/>
      <c r="P195" s="218"/>
      <c r="Q195" s="218"/>
      <c r="R195" s="218"/>
      <c r="S195" s="64">
        <v>1123000</v>
      </c>
      <c r="T195">
        <v>24570</v>
      </c>
    </row>
    <row r="196" spans="1:20" x14ac:dyDescent="0.25">
      <c r="A196" s="64" t="str">
        <f t="shared" ref="A196:A224" si="18">$B$3&amp;"  "&amp;C196&amp;"*"&amp;D196</f>
        <v>CIRF  914*25</v>
      </c>
      <c r="B196" s="163">
        <f t="shared" ref="B196:B224" si="19">H196*0.785</f>
        <v>548.10188929936032</v>
      </c>
      <c r="C196" s="64">
        <v>914</v>
      </c>
      <c r="D196" s="64">
        <v>25</v>
      </c>
      <c r="E196" s="64"/>
      <c r="F196" s="64"/>
      <c r="G196" s="64"/>
      <c r="H196" s="163">
        <f t="shared" ref="H196:H224" si="20">(C196^2-(C196-2*D196)^2)*PI()*0.01/4</f>
        <v>698.21896726033162</v>
      </c>
      <c r="I196" s="187">
        <f t="shared" ref="I196:I224" si="21">(C196^4-(C196-2*D196)^4)*PI()*0.0001/64</f>
        <v>690316.87409836275</v>
      </c>
      <c r="J196" s="187">
        <f t="shared" ref="J196:J224" si="22">I196/(C196*0.5*0.1)</f>
        <v>15105.402059045136</v>
      </c>
      <c r="K196" s="228">
        <v>19763</v>
      </c>
      <c r="L196" s="218">
        <f t="shared" ref="L196:L224" si="23">SQRT(I196/H196)</f>
        <v>31.443322025511232</v>
      </c>
      <c r="M196" s="218"/>
      <c r="N196" s="218"/>
      <c r="O196" s="218"/>
      <c r="P196" s="218"/>
      <c r="Q196" s="218"/>
      <c r="R196" s="218"/>
      <c r="S196" s="64">
        <v>1381000</v>
      </c>
      <c r="T196">
        <v>30210</v>
      </c>
    </row>
    <row r="197" spans="1:20" x14ac:dyDescent="0.25">
      <c r="A197" s="64" t="str">
        <f t="shared" si="18"/>
        <v>CIRF  914*30</v>
      </c>
      <c r="B197" s="163">
        <f t="shared" si="19"/>
        <v>654.02304180963029</v>
      </c>
      <c r="C197" s="64">
        <v>914</v>
      </c>
      <c r="D197" s="64">
        <v>30</v>
      </c>
      <c r="E197" s="64"/>
      <c r="F197" s="64"/>
      <c r="G197" s="64"/>
      <c r="H197" s="163">
        <f t="shared" si="20"/>
        <v>833.15037173201313</v>
      </c>
      <c r="I197" s="187">
        <f t="shared" si="21"/>
        <v>814775.24028346362</v>
      </c>
      <c r="J197" s="187">
        <f t="shared" si="22"/>
        <v>17828.779874911674</v>
      </c>
      <c r="K197" s="228">
        <v>23453</v>
      </c>
      <c r="L197" s="218">
        <f t="shared" si="23"/>
        <v>31.272112176826177</v>
      </c>
      <c r="M197" s="218"/>
      <c r="N197" s="218"/>
      <c r="O197" s="218"/>
      <c r="P197" s="218"/>
      <c r="Q197" s="218"/>
      <c r="R197" s="218"/>
      <c r="S197" s="64">
        <v>1630000</v>
      </c>
      <c r="T197">
        <v>35660</v>
      </c>
    </row>
    <row r="198" spans="1:20" x14ac:dyDescent="0.25">
      <c r="A198" s="219" t="str">
        <f t="shared" si="18"/>
        <v>CIRF  1016*8</v>
      </c>
      <c r="B198" s="168">
        <f t="shared" si="19"/>
        <v>198.87035479460255</v>
      </c>
      <c r="C198" s="167">
        <v>1016</v>
      </c>
      <c r="D198" s="167">
        <v>8</v>
      </c>
      <c r="E198" s="167"/>
      <c r="F198" s="167"/>
      <c r="G198" s="167"/>
      <c r="H198" s="168">
        <f t="shared" si="20"/>
        <v>253.33803158548093</v>
      </c>
      <c r="I198" s="184">
        <f t="shared" si="21"/>
        <v>321779.83419861447</v>
      </c>
      <c r="J198" s="184">
        <f t="shared" si="22"/>
        <v>6334.2487046971346</v>
      </c>
      <c r="K198" s="229">
        <v>8129</v>
      </c>
      <c r="L198" s="220">
        <f t="shared" si="23"/>
        <v>35.639304145844378</v>
      </c>
      <c r="M198" s="220"/>
      <c r="N198" s="220"/>
      <c r="O198" s="220"/>
      <c r="P198" s="220"/>
      <c r="Q198" s="220"/>
      <c r="R198" s="220"/>
      <c r="S198" s="167">
        <v>643600</v>
      </c>
      <c r="T198" s="221">
        <v>12670</v>
      </c>
    </row>
    <row r="199" spans="1:20" x14ac:dyDescent="0.25">
      <c r="A199" s="222" t="str">
        <f t="shared" si="18"/>
        <v>CIRF  1016*10</v>
      </c>
      <c r="B199" s="174">
        <f t="shared" si="19"/>
        <v>248.09471344663956</v>
      </c>
      <c r="C199" s="173">
        <v>1016</v>
      </c>
      <c r="D199" s="173">
        <v>10</v>
      </c>
      <c r="E199" s="173"/>
      <c r="F199" s="173"/>
      <c r="G199" s="173"/>
      <c r="H199" s="174">
        <f t="shared" si="20"/>
        <v>316.04422095113318</v>
      </c>
      <c r="I199" s="185">
        <f t="shared" si="21"/>
        <v>399849.66702074523</v>
      </c>
      <c r="J199" s="185">
        <f t="shared" si="22"/>
        <v>7871.0564374162441</v>
      </c>
      <c r="K199" s="230">
        <v>10121</v>
      </c>
      <c r="L199" s="223">
        <f t="shared" si="23"/>
        <v>35.569228273888655</v>
      </c>
      <c r="M199" s="223"/>
      <c r="N199" s="223"/>
      <c r="O199" s="223"/>
      <c r="P199" s="223"/>
      <c r="Q199" s="223"/>
      <c r="R199" s="223"/>
      <c r="S199" s="173">
        <v>799700</v>
      </c>
      <c r="T199" s="224">
        <v>15740</v>
      </c>
    </row>
    <row r="200" spans="1:20" x14ac:dyDescent="0.25">
      <c r="A200" s="222" t="str">
        <f t="shared" si="18"/>
        <v>CIRF  1016*12</v>
      </c>
      <c r="B200" s="174">
        <f t="shared" si="19"/>
        <v>297.12178008003116</v>
      </c>
      <c r="C200" s="173">
        <v>1016</v>
      </c>
      <c r="D200" s="173">
        <v>12</v>
      </c>
      <c r="E200" s="173"/>
      <c r="F200" s="173"/>
      <c r="G200" s="173"/>
      <c r="H200" s="174">
        <f t="shared" si="20"/>
        <v>378.49908290449827</v>
      </c>
      <c r="I200" s="185">
        <f t="shared" si="21"/>
        <v>476984.54427624878</v>
      </c>
      <c r="J200" s="185">
        <f t="shared" si="22"/>
        <v>9389.4595329970216</v>
      </c>
      <c r="K200" s="230">
        <v>12097</v>
      </c>
      <c r="L200" s="223">
        <f t="shared" si="23"/>
        <v>35.499295767662773</v>
      </c>
      <c r="M200" s="223"/>
      <c r="N200" s="223"/>
      <c r="O200" s="223"/>
      <c r="P200" s="223"/>
      <c r="Q200" s="223"/>
      <c r="R200" s="223"/>
      <c r="S200" s="173">
        <v>954000</v>
      </c>
      <c r="T200" s="224">
        <v>18780</v>
      </c>
    </row>
    <row r="201" spans="1:20" x14ac:dyDescent="0.25">
      <c r="A201" s="222" t="str">
        <f t="shared" si="18"/>
        <v>CIRF  1016*12.5</v>
      </c>
      <c r="B201" s="174">
        <f t="shared" si="19"/>
        <v>309.3477198604657</v>
      </c>
      <c r="C201" s="173">
        <v>1016</v>
      </c>
      <c r="D201" s="173">
        <v>12.5</v>
      </c>
      <c r="E201" s="173"/>
      <c r="F201" s="173"/>
      <c r="G201" s="173"/>
      <c r="H201" s="174">
        <f t="shared" si="20"/>
        <v>394.07352848466968</v>
      </c>
      <c r="I201" s="185">
        <f t="shared" si="21"/>
        <v>496123.05571701512</v>
      </c>
      <c r="J201" s="185">
        <f t="shared" si="22"/>
        <v>9766.2018841932095</v>
      </c>
      <c r="K201" s="230">
        <v>12588</v>
      </c>
      <c r="L201" s="223">
        <f t="shared" si="23"/>
        <v>35.481835141379037</v>
      </c>
      <c r="M201" s="223"/>
      <c r="N201" s="223"/>
      <c r="O201" s="223"/>
      <c r="P201" s="223"/>
      <c r="Q201" s="223"/>
      <c r="R201" s="223"/>
      <c r="S201" s="173">
        <v>992200</v>
      </c>
      <c r="T201" s="224">
        <v>19530</v>
      </c>
    </row>
    <row r="202" spans="1:20" x14ac:dyDescent="0.25">
      <c r="A202" s="222" t="str">
        <f t="shared" si="18"/>
        <v>CIRF  1016*16</v>
      </c>
      <c r="B202" s="174">
        <f t="shared" si="19"/>
        <v>394.58403729087803</v>
      </c>
      <c r="C202" s="173">
        <v>1016</v>
      </c>
      <c r="D202" s="173">
        <v>16</v>
      </c>
      <c r="E202" s="173"/>
      <c r="F202" s="173"/>
      <c r="G202" s="173"/>
      <c r="H202" s="174">
        <f t="shared" si="20"/>
        <v>502.6548245743669</v>
      </c>
      <c r="I202" s="185">
        <f t="shared" si="21"/>
        <v>628479.38026182249</v>
      </c>
      <c r="J202" s="185">
        <f t="shared" si="22"/>
        <v>12371.641343736663</v>
      </c>
      <c r="K202" s="230">
        <v>16001</v>
      </c>
      <c r="L202" s="223">
        <f t="shared" si="23"/>
        <v>35.359864253133104</v>
      </c>
      <c r="M202" s="223"/>
      <c r="N202" s="223"/>
      <c r="O202" s="223"/>
      <c r="P202" s="223"/>
      <c r="Q202" s="223"/>
      <c r="R202" s="223"/>
      <c r="S202" s="173">
        <v>1257000</v>
      </c>
      <c r="T202" s="224">
        <v>24740</v>
      </c>
    </row>
    <row r="203" spans="1:20" x14ac:dyDescent="0.25">
      <c r="A203" s="222" t="str">
        <f t="shared" si="18"/>
        <v>CIRF  1016*20</v>
      </c>
      <c r="B203" s="174">
        <f t="shared" si="19"/>
        <v>491.25712642714313</v>
      </c>
      <c r="C203" s="173">
        <v>1016</v>
      </c>
      <c r="D203" s="173">
        <v>20</v>
      </c>
      <c r="E203" s="173"/>
      <c r="F203" s="173"/>
      <c r="G203" s="173"/>
      <c r="H203" s="174">
        <f t="shared" si="20"/>
        <v>625.8052565950868</v>
      </c>
      <c r="I203" s="185">
        <f t="shared" si="21"/>
        <v>776323.93691133708</v>
      </c>
      <c r="J203" s="185">
        <f t="shared" si="22"/>
        <v>15281.967262034193</v>
      </c>
      <c r="K203" s="230">
        <v>19843</v>
      </c>
      <c r="L203" s="223">
        <f t="shared" si="23"/>
        <v>35.221016453248481</v>
      </c>
      <c r="M203" s="223"/>
      <c r="N203" s="223"/>
      <c r="O203" s="223"/>
      <c r="P203" s="223"/>
      <c r="Q203" s="223"/>
      <c r="R203" s="223"/>
      <c r="S203" s="173">
        <v>1553000</v>
      </c>
      <c r="T203" s="224">
        <v>30560</v>
      </c>
    </row>
    <row r="204" spans="1:20" x14ac:dyDescent="0.25">
      <c r="A204" s="222" t="str">
        <f t="shared" si="18"/>
        <v>CIRF  1016*25</v>
      </c>
      <c r="B204" s="174">
        <f t="shared" si="19"/>
        <v>610.9887202425939</v>
      </c>
      <c r="C204" s="173">
        <v>1016</v>
      </c>
      <c r="D204" s="173">
        <v>25</v>
      </c>
      <c r="E204" s="173"/>
      <c r="F204" s="173"/>
      <c r="G204" s="173"/>
      <c r="H204" s="174">
        <f t="shared" si="20"/>
        <v>778.32957992687125</v>
      </c>
      <c r="I204" s="185">
        <f t="shared" si="21"/>
        <v>956086.43521451997</v>
      </c>
      <c r="J204" s="185">
        <f t="shared" si="22"/>
        <v>18820.599118396061</v>
      </c>
      <c r="K204" s="230">
        <v>24557</v>
      </c>
      <c r="L204" s="223">
        <f t="shared" si="23"/>
        <v>35.048288117966621</v>
      </c>
      <c r="M204" s="223"/>
      <c r="N204" s="223"/>
      <c r="O204" s="223"/>
      <c r="P204" s="223"/>
      <c r="Q204" s="223"/>
      <c r="R204" s="223"/>
      <c r="S204" s="173">
        <v>1912000</v>
      </c>
      <c r="T204" s="224">
        <v>37640</v>
      </c>
    </row>
    <row r="205" spans="1:20" x14ac:dyDescent="0.25">
      <c r="A205" s="225" t="str">
        <f t="shared" si="18"/>
        <v>CIRF  1016*30</v>
      </c>
      <c r="B205" s="180">
        <f t="shared" si="19"/>
        <v>729.48723894151078</v>
      </c>
      <c r="C205" s="179">
        <v>1016</v>
      </c>
      <c r="D205" s="179">
        <v>30</v>
      </c>
      <c r="E205" s="179"/>
      <c r="F205" s="179"/>
      <c r="G205" s="179"/>
      <c r="H205" s="180">
        <f t="shared" si="20"/>
        <v>929.28310693186086</v>
      </c>
      <c r="I205" s="186">
        <f t="shared" si="21"/>
        <v>1130352.0927787076</v>
      </c>
      <c r="J205" s="186">
        <f t="shared" si="22"/>
        <v>22251.025448399756</v>
      </c>
      <c r="K205" s="231">
        <v>29175</v>
      </c>
      <c r="L205" s="226">
        <f t="shared" si="23"/>
        <v>34.876496383667899</v>
      </c>
      <c r="M205" s="226"/>
      <c r="N205" s="226"/>
      <c r="O205" s="226"/>
      <c r="P205" s="226"/>
      <c r="Q205" s="226"/>
      <c r="R205" s="226"/>
      <c r="S205" s="179">
        <v>2261000</v>
      </c>
      <c r="T205" s="227">
        <v>44500</v>
      </c>
    </row>
    <row r="206" spans="1:20" x14ac:dyDescent="0.25">
      <c r="A206" s="64" t="str">
        <f t="shared" si="18"/>
        <v>CIRF  1067*10</v>
      </c>
      <c r="B206" s="163">
        <f t="shared" si="19"/>
        <v>260.67207963528631</v>
      </c>
      <c r="C206" s="64">
        <v>1067</v>
      </c>
      <c r="D206" s="64">
        <v>10</v>
      </c>
      <c r="E206" s="64"/>
      <c r="F206" s="64"/>
      <c r="G206" s="64"/>
      <c r="H206" s="163">
        <f t="shared" si="20"/>
        <v>332.06634348444118</v>
      </c>
      <c r="I206" s="187">
        <f t="shared" si="21"/>
        <v>463792.49603249598</v>
      </c>
      <c r="J206" s="187">
        <f t="shared" si="22"/>
        <v>8693.3926154169822</v>
      </c>
      <c r="K206" s="228">
        <v>11173</v>
      </c>
      <c r="L206" s="218">
        <f t="shared" si="23"/>
        <v>37.37226578627525</v>
      </c>
      <c r="M206" s="218"/>
      <c r="N206" s="218"/>
      <c r="O206" s="218"/>
      <c r="P206" s="218"/>
      <c r="Q206" s="218"/>
      <c r="R206" s="218"/>
      <c r="S206" s="64">
        <v>927600</v>
      </c>
      <c r="T206">
        <v>17390</v>
      </c>
    </row>
    <row r="207" spans="1:20" x14ac:dyDescent="0.25">
      <c r="A207" s="64" t="str">
        <f t="shared" si="18"/>
        <v>CIRF  1067*12</v>
      </c>
      <c r="B207" s="163">
        <f t="shared" si="19"/>
        <v>312.21461950640725</v>
      </c>
      <c r="C207" s="64">
        <v>1067</v>
      </c>
      <c r="D207" s="64">
        <v>12</v>
      </c>
      <c r="E207" s="64"/>
      <c r="F207" s="64"/>
      <c r="G207" s="64"/>
      <c r="H207" s="163">
        <f t="shared" si="20"/>
        <v>397.72562994446781</v>
      </c>
      <c r="I207" s="187">
        <f t="shared" si="21"/>
        <v>553419.80219956662</v>
      </c>
      <c r="J207" s="187">
        <f t="shared" si="22"/>
        <v>10373.379610113714</v>
      </c>
      <c r="K207" s="228">
        <v>13357</v>
      </c>
      <c r="L207" s="218">
        <f t="shared" si="23"/>
        <v>37.302295505772832</v>
      </c>
      <c r="M207" s="218"/>
      <c r="N207" s="218"/>
      <c r="O207" s="218"/>
      <c r="P207" s="218"/>
      <c r="Q207" s="218"/>
      <c r="R207" s="218"/>
      <c r="S207" s="64">
        <v>1107000</v>
      </c>
      <c r="T207">
        <v>20750</v>
      </c>
    </row>
    <row r="208" spans="1:20" x14ac:dyDescent="0.25">
      <c r="A208" s="64" t="str">
        <f t="shared" si="18"/>
        <v>CIRF  1067*12.5</v>
      </c>
      <c r="B208" s="163">
        <f t="shared" si="19"/>
        <v>325.06942759627412</v>
      </c>
      <c r="C208" s="64">
        <v>1067</v>
      </c>
      <c r="D208" s="64">
        <v>12.5</v>
      </c>
      <c r="E208" s="64"/>
      <c r="F208" s="64"/>
      <c r="G208" s="64"/>
      <c r="H208" s="163">
        <f t="shared" si="20"/>
        <v>414.10118165130461</v>
      </c>
      <c r="I208" s="187">
        <f t="shared" si="21"/>
        <v>575666.12224466202</v>
      </c>
      <c r="J208" s="187">
        <f t="shared" si="22"/>
        <v>10790.367802149241</v>
      </c>
      <c r="K208" s="228">
        <v>13900</v>
      </c>
      <c r="L208" s="218">
        <f t="shared" si="23"/>
        <v>37.284824325722653</v>
      </c>
      <c r="M208" s="218"/>
      <c r="N208" s="218"/>
      <c r="O208" s="218"/>
      <c r="P208" s="218"/>
      <c r="Q208" s="218"/>
      <c r="R208" s="218"/>
      <c r="S208" s="64">
        <v>1151000</v>
      </c>
      <c r="T208">
        <v>21580</v>
      </c>
    </row>
    <row r="209" spans="1:20" x14ac:dyDescent="0.25">
      <c r="A209" s="64" t="str">
        <f t="shared" si="18"/>
        <v>CIRF  1067*16</v>
      </c>
      <c r="B209" s="163">
        <f t="shared" si="19"/>
        <v>414.70782319271274</v>
      </c>
      <c r="C209" s="64">
        <v>1067</v>
      </c>
      <c r="D209" s="64">
        <v>16</v>
      </c>
      <c r="E209" s="64"/>
      <c r="F209" s="64"/>
      <c r="G209" s="64"/>
      <c r="H209" s="163">
        <f t="shared" si="20"/>
        <v>528.29022062765955</v>
      </c>
      <c r="I209" s="187">
        <f t="shared" si="21"/>
        <v>729606.43536501762</v>
      </c>
      <c r="J209" s="187">
        <f t="shared" si="22"/>
        <v>13675.846960918792</v>
      </c>
      <c r="K209" s="228">
        <v>17675</v>
      </c>
      <c r="L209" s="218">
        <f t="shared" si="23"/>
        <v>37.162766985250173</v>
      </c>
      <c r="M209" s="218"/>
      <c r="N209" s="218"/>
      <c r="O209" s="218"/>
      <c r="P209" s="218"/>
      <c r="Q209" s="218"/>
      <c r="R209" s="218"/>
      <c r="S209" s="64">
        <v>1459000</v>
      </c>
      <c r="T209">
        <v>27350</v>
      </c>
    </row>
    <row r="210" spans="1:20" x14ac:dyDescent="0.25">
      <c r="A210" s="64" t="str">
        <f t="shared" si="18"/>
        <v>CIRF  1067*20</v>
      </c>
      <c r="B210" s="163">
        <f t="shared" si="19"/>
        <v>516.41185880443663</v>
      </c>
      <c r="C210" s="64">
        <v>1067</v>
      </c>
      <c r="D210" s="64">
        <v>20</v>
      </c>
      <c r="E210" s="64"/>
      <c r="F210" s="64"/>
      <c r="G210" s="64"/>
      <c r="H210" s="163">
        <f t="shared" si="20"/>
        <v>657.84950166170267</v>
      </c>
      <c r="I210" s="187">
        <f t="shared" si="21"/>
        <v>901754.60520967259</v>
      </c>
      <c r="J210" s="187">
        <f t="shared" si="22"/>
        <v>16902.616779937631</v>
      </c>
      <c r="K210" s="228">
        <v>21927</v>
      </c>
      <c r="L210" s="218">
        <f t="shared" si="23"/>
        <v>37.023793025566683</v>
      </c>
      <c r="M210" s="218"/>
      <c r="N210" s="218"/>
      <c r="O210" s="218"/>
      <c r="P210" s="218"/>
      <c r="Q210" s="218"/>
      <c r="R210" s="218"/>
      <c r="S210" s="64">
        <v>1804000</v>
      </c>
      <c r="T210">
        <v>33810</v>
      </c>
    </row>
    <row r="211" spans="1:20" x14ac:dyDescent="0.25">
      <c r="A211" s="64" t="str">
        <f t="shared" si="18"/>
        <v>CIRF  1067*25</v>
      </c>
      <c r="B211" s="163">
        <f t="shared" si="19"/>
        <v>642.43213571421074</v>
      </c>
      <c r="C211" s="64">
        <v>1067</v>
      </c>
      <c r="D211" s="64">
        <v>25</v>
      </c>
      <c r="E211" s="64"/>
      <c r="F211" s="64"/>
      <c r="G211" s="64"/>
      <c r="H211" s="163">
        <f t="shared" si="20"/>
        <v>818.38488626014112</v>
      </c>
      <c r="I211" s="187">
        <f t="shared" si="21"/>
        <v>1111355.4227490856</v>
      </c>
      <c r="J211" s="187">
        <f t="shared" si="22"/>
        <v>20831.404362682017</v>
      </c>
      <c r="K211" s="228">
        <v>27149</v>
      </c>
      <c r="L211" s="218">
        <f t="shared" si="23"/>
        <v>36.850864983063829</v>
      </c>
      <c r="M211" s="218"/>
      <c r="N211" s="218"/>
      <c r="O211" s="218"/>
      <c r="P211" s="218"/>
      <c r="Q211" s="218"/>
      <c r="R211" s="218"/>
      <c r="S211" s="64">
        <v>2223000</v>
      </c>
      <c r="T211">
        <v>41660</v>
      </c>
    </row>
    <row r="212" spans="1:20" x14ac:dyDescent="0.25">
      <c r="A212" s="64" t="str">
        <f t="shared" si="18"/>
        <v>CIRF  1067*30</v>
      </c>
      <c r="B212" s="163">
        <f t="shared" si="19"/>
        <v>767.21933750745109</v>
      </c>
      <c r="C212" s="64">
        <v>1067</v>
      </c>
      <c r="D212" s="64">
        <v>30</v>
      </c>
      <c r="E212" s="64"/>
      <c r="F212" s="64"/>
      <c r="G212" s="64"/>
      <c r="H212" s="163">
        <f t="shared" si="20"/>
        <v>977.34947453178472</v>
      </c>
      <c r="I212" s="187">
        <f t="shared" si="21"/>
        <v>1314863.6770060619</v>
      </c>
      <c r="J212" s="187">
        <f t="shared" si="22"/>
        <v>24645.992071341367</v>
      </c>
      <c r="K212" s="228">
        <v>32270</v>
      </c>
      <c r="L212" s="218">
        <f t="shared" si="23"/>
        <v>36.678825635508019</v>
      </c>
      <c r="M212" s="218"/>
      <c r="N212" s="218"/>
      <c r="O212" s="218"/>
      <c r="P212" s="218"/>
      <c r="Q212" s="218"/>
      <c r="R212" s="218"/>
      <c r="S212" s="64">
        <v>2630000</v>
      </c>
      <c r="T212">
        <v>49290</v>
      </c>
    </row>
    <row r="213" spans="1:20" x14ac:dyDescent="0.25">
      <c r="A213" s="219" t="str">
        <f t="shared" si="18"/>
        <v>CIRF  1168*10</v>
      </c>
      <c r="B213" s="168">
        <f t="shared" si="19"/>
        <v>285.58019698927296</v>
      </c>
      <c r="C213" s="167">
        <v>1168</v>
      </c>
      <c r="D213" s="167">
        <v>10</v>
      </c>
      <c r="E213" s="167"/>
      <c r="F213" s="167"/>
      <c r="G213" s="167"/>
      <c r="H213" s="168">
        <f t="shared" si="20"/>
        <v>363.79642928569803</v>
      </c>
      <c r="I213" s="184">
        <f t="shared" si="21"/>
        <v>609842.86830449419</v>
      </c>
      <c r="J213" s="184">
        <f t="shared" si="22"/>
        <v>10442.514868227639</v>
      </c>
      <c r="K213" s="229">
        <v>13410</v>
      </c>
      <c r="L213" s="220">
        <f t="shared" si="23"/>
        <v>40.943009171285887</v>
      </c>
      <c r="M213" s="220"/>
      <c r="N213" s="220"/>
      <c r="O213" s="220"/>
      <c r="P213" s="220"/>
      <c r="Q213" s="220"/>
      <c r="R213" s="220"/>
      <c r="S213" s="167">
        <v>1220000</v>
      </c>
      <c r="T213" s="221">
        <v>20890</v>
      </c>
    </row>
    <row r="214" spans="1:20" x14ac:dyDescent="0.25">
      <c r="A214" s="222" t="str">
        <f t="shared" si="18"/>
        <v>CIRF  1168*12</v>
      </c>
      <c r="B214" s="174">
        <f t="shared" si="19"/>
        <v>342.10436033119129</v>
      </c>
      <c r="C214" s="173">
        <v>1168</v>
      </c>
      <c r="D214" s="173">
        <v>12</v>
      </c>
      <c r="E214" s="173"/>
      <c r="F214" s="173"/>
      <c r="G214" s="173"/>
      <c r="H214" s="174">
        <f t="shared" si="20"/>
        <v>435.80173290597611</v>
      </c>
      <c r="I214" s="185">
        <f t="shared" si="21"/>
        <v>728050.37499272369</v>
      </c>
      <c r="J214" s="185">
        <f t="shared" si="22"/>
        <v>12466.616010149377</v>
      </c>
      <c r="K214" s="230">
        <v>16037</v>
      </c>
      <c r="L214" s="223">
        <f t="shared" si="23"/>
        <v>40.872973955903916</v>
      </c>
      <c r="M214" s="223"/>
      <c r="N214" s="223"/>
      <c r="O214" s="223"/>
      <c r="P214" s="223"/>
      <c r="Q214" s="223"/>
      <c r="R214" s="223"/>
      <c r="S214" s="173">
        <v>1456000</v>
      </c>
      <c r="T214" s="224">
        <v>24930</v>
      </c>
    </row>
    <row r="215" spans="1:20" x14ac:dyDescent="0.25">
      <c r="A215" s="222" t="str">
        <f t="shared" si="18"/>
        <v>CIRF  1168*12.5</v>
      </c>
      <c r="B215" s="174">
        <f t="shared" si="19"/>
        <v>356.2045742887575</v>
      </c>
      <c r="C215" s="173">
        <v>1168</v>
      </c>
      <c r="D215" s="173">
        <v>12.5</v>
      </c>
      <c r="E215" s="173"/>
      <c r="F215" s="173"/>
      <c r="G215" s="173"/>
      <c r="H215" s="174">
        <f t="shared" si="20"/>
        <v>453.76378890287577</v>
      </c>
      <c r="I215" s="185">
        <f t="shared" si="21"/>
        <v>757409.1871253812</v>
      </c>
      <c r="J215" s="185">
        <f t="shared" si="22"/>
        <v>12969.335395982553</v>
      </c>
      <c r="K215" s="230">
        <v>16690</v>
      </c>
      <c r="L215" s="223">
        <f t="shared" si="23"/>
        <v>40.855484637928356</v>
      </c>
      <c r="M215" s="223"/>
      <c r="N215" s="223"/>
      <c r="O215" s="223"/>
      <c r="P215" s="223"/>
      <c r="Q215" s="223"/>
      <c r="R215" s="223"/>
      <c r="S215" s="173">
        <v>1515000</v>
      </c>
      <c r="T215" s="224">
        <v>25940</v>
      </c>
    </row>
    <row r="216" spans="1:20" x14ac:dyDescent="0.25">
      <c r="A216" s="222" t="str">
        <f t="shared" si="18"/>
        <v>CIRF  1168*16</v>
      </c>
      <c r="B216" s="174">
        <f t="shared" si="19"/>
        <v>454.5608109590915</v>
      </c>
      <c r="C216" s="173">
        <v>1168</v>
      </c>
      <c r="D216" s="173">
        <v>16</v>
      </c>
      <c r="E216" s="173"/>
      <c r="F216" s="173"/>
      <c r="G216" s="173"/>
      <c r="H216" s="174">
        <f t="shared" si="20"/>
        <v>579.05835790967069</v>
      </c>
      <c r="I216" s="185">
        <f t="shared" si="21"/>
        <v>960773.62744372559</v>
      </c>
      <c r="J216" s="185">
        <f t="shared" si="22"/>
        <v>16451.603209652832</v>
      </c>
      <c r="K216" s="230">
        <v>21235</v>
      </c>
      <c r="L216" s="223">
        <f t="shared" si="23"/>
        <v>40.733278777923097</v>
      </c>
      <c r="M216" s="223"/>
      <c r="N216" s="223"/>
      <c r="O216" s="223"/>
      <c r="P216" s="223"/>
      <c r="Q216" s="223"/>
      <c r="R216" s="223"/>
      <c r="S216" s="173">
        <v>1922000</v>
      </c>
      <c r="T216" s="224">
        <v>32900</v>
      </c>
    </row>
    <row r="217" spans="1:20" x14ac:dyDescent="0.25">
      <c r="A217" s="222" t="str">
        <f t="shared" si="18"/>
        <v>CIRF  1168*20</v>
      </c>
      <c r="B217" s="174">
        <f t="shared" si="19"/>
        <v>566.22809351241006</v>
      </c>
      <c r="C217" s="173">
        <v>1168</v>
      </c>
      <c r="D217" s="173">
        <v>20</v>
      </c>
      <c r="E217" s="173"/>
      <c r="F217" s="173"/>
      <c r="G217" s="173"/>
      <c r="H217" s="174">
        <f t="shared" si="20"/>
        <v>721.3096732642166</v>
      </c>
      <c r="I217" s="185">
        <f t="shared" si="21"/>
        <v>1188631.7843786371</v>
      </c>
      <c r="J217" s="185">
        <f t="shared" si="22"/>
        <v>20353.283979086249</v>
      </c>
      <c r="K217" s="230">
        <v>26361</v>
      </c>
      <c r="L217" s="223">
        <f t="shared" si="23"/>
        <v>40.594088239545421</v>
      </c>
      <c r="M217" s="223"/>
      <c r="N217" s="223"/>
      <c r="O217" s="223"/>
      <c r="P217" s="223"/>
      <c r="Q217" s="223"/>
      <c r="R217" s="223"/>
      <c r="S217" s="173">
        <v>2377000</v>
      </c>
      <c r="T217" s="224">
        <v>40710</v>
      </c>
    </row>
    <row r="218" spans="1:20" x14ac:dyDescent="0.25">
      <c r="A218" s="225" t="str">
        <f t="shared" si="18"/>
        <v>CIRF  1168*25</v>
      </c>
      <c r="B218" s="180">
        <f t="shared" si="19"/>
        <v>704.70242909917749</v>
      </c>
      <c r="C218" s="179">
        <v>1168</v>
      </c>
      <c r="D218" s="179">
        <v>25</v>
      </c>
      <c r="E218" s="179"/>
      <c r="F218" s="179"/>
      <c r="G218" s="179"/>
      <c r="H218" s="180">
        <f t="shared" si="20"/>
        <v>897.71010076328344</v>
      </c>
      <c r="I218" s="186">
        <f t="shared" si="21"/>
        <v>1466716.9153063348</v>
      </c>
      <c r="J218" s="186">
        <f t="shared" si="22"/>
        <v>25115.015673053676</v>
      </c>
      <c r="K218" s="231">
        <v>32666</v>
      </c>
      <c r="L218" s="226">
        <f t="shared" si="23"/>
        <v>40.420817656252325</v>
      </c>
      <c r="M218" s="226"/>
      <c r="N218" s="226"/>
      <c r="O218" s="226"/>
      <c r="P218" s="226"/>
      <c r="Q218" s="226"/>
      <c r="R218" s="226"/>
      <c r="S218" s="179">
        <v>2933000</v>
      </c>
      <c r="T218" s="227">
        <v>50230</v>
      </c>
    </row>
    <row r="219" spans="1:20" x14ac:dyDescent="0.25">
      <c r="A219" s="64" t="str">
        <f t="shared" si="18"/>
        <v>CIRF  1219*10</v>
      </c>
      <c r="B219" s="163">
        <f t="shared" si="19"/>
        <v>298.15756317791971</v>
      </c>
      <c r="C219" s="64">
        <v>1219</v>
      </c>
      <c r="D219" s="64">
        <v>10</v>
      </c>
      <c r="E219" s="64"/>
      <c r="F219" s="64"/>
      <c r="G219" s="64"/>
      <c r="H219" s="163">
        <f t="shared" si="20"/>
        <v>379.81855181900596</v>
      </c>
      <c r="I219" s="187">
        <f t="shared" si="21"/>
        <v>694014.42812067305</v>
      </c>
      <c r="J219" s="187">
        <f t="shared" si="22"/>
        <v>11386.619001159524</v>
      </c>
      <c r="K219" s="228">
        <v>14617</v>
      </c>
      <c r="L219" s="218">
        <f t="shared" si="23"/>
        <v>42.746067070550481</v>
      </c>
      <c r="M219" s="218"/>
      <c r="N219" s="218"/>
      <c r="O219" s="218"/>
      <c r="P219" s="218"/>
      <c r="Q219" s="218"/>
      <c r="R219" s="218"/>
      <c r="S219" s="64">
        <v>1388000</v>
      </c>
      <c r="T219">
        <v>22770</v>
      </c>
    </row>
    <row r="220" spans="1:20" x14ac:dyDescent="0.25">
      <c r="A220" s="64" t="str">
        <f t="shared" si="18"/>
        <v>CIRF  1219*12</v>
      </c>
      <c r="B220" s="163">
        <f t="shared" si="19"/>
        <v>357.19719975756732</v>
      </c>
      <c r="C220" s="64">
        <v>1219</v>
      </c>
      <c r="D220" s="64">
        <v>12</v>
      </c>
      <c r="E220" s="64"/>
      <c r="F220" s="64"/>
      <c r="G220" s="64"/>
      <c r="H220" s="163">
        <f t="shared" si="20"/>
        <v>455.0282799459456</v>
      </c>
      <c r="I220" s="187">
        <f t="shared" si="21"/>
        <v>828716.27335410402</v>
      </c>
      <c r="J220" s="187">
        <f t="shared" si="22"/>
        <v>13596.657479148547</v>
      </c>
      <c r="K220" s="228">
        <v>17483</v>
      </c>
      <c r="L220" s="218">
        <f t="shared" si="23"/>
        <v>42.676003210235145</v>
      </c>
      <c r="M220" s="218"/>
      <c r="N220" s="218"/>
      <c r="O220" s="218"/>
      <c r="P220" s="218"/>
      <c r="Q220" s="218"/>
      <c r="R220" s="218"/>
      <c r="S220" s="64">
        <v>1657000</v>
      </c>
      <c r="T220">
        <v>27190</v>
      </c>
    </row>
    <row r="221" spans="1:20" x14ac:dyDescent="0.25">
      <c r="A221" s="64" t="str">
        <f t="shared" si="18"/>
        <v>CIRF  1219*12.5</v>
      </c>
      <c r="B221" s="163">
        <f t="shared" si="19"/>
        <v>371.92628202456586</v>
      </c>
      <c r="C221" s="64">
        <v>1219</v>
      </c>
      <c r="D221" s="64">
        <v>12.5</v>
      </c>
      <c r="E221" s="64"/>
      <c r="F221" s="64"/>
      <c r="G221" s="64"/>
      <c r="H221" s="163">
        <f t="shared" si="20"/>
        <v>473.79144206951065</v>
      </c>
      <c r="I221" s="187">
        <f t="shared" si="21"/>
        <v>862181.08834703814</v>
      </c>
      <c r="J221" s="187">
        <f t="shared" si="22"/>
        <v>14145.711047531388</v>
      </c>
      <c r="K221" s="228">
        <v>18196</v>
      </c>
      <c r="L221" s="218">
        <f t="shared" si="23"/>
        <v>42.65850589272906</v>
      </c>
      <c r="M221" s="218"/>
      <c r="N221" s="218"/>
      <c r="O221" s="218"/>
      <c r="P221" s="218"/>
      <c r="Q221" s="218"/>
      <c r="R221" s="218"/>
      <c r="S221" s="64">
        <v>1724000</v>
      </c>
      <c r="T221">
        <v>28290</v>
      </c>
    </row>
    <row r="222" spans="1:20" x14ac:dyDescent="0.25">
      <c r="A222" s="64" t="str">
        <f t="shared" si="18"/>
        <v>CIRF  1219*16</v>
      </c>
      <c r="B222" s="163">
        <f t="shared" si="19"/>
        <v>474.68459686092626</v>
      </c>
      <c r="C222" s="64">
        <v>1219</v>
      </c>
      <c r="D222" s="64">
        <v>16</v>
      </c>
      <c r="E222" s="64"/>
      <c r="F222" s="64"/>
      <c r="G222" s="64"/>
      <c r="H222" s="163">
        <f t="shared" si="20"/>
        <v>604.69375396296334</v>
      </c>
      <c r="I222" s="187">
        <f t="shared" si="21"/>
        <v>1094091.305725001</v>
      </c>
      <c r="J222" s="187">
        <f t="shared" si="22"/>
        <v>17950.636681296161</v>
      </c>
      <c r="K222" s="228">
        <v>23157</v>
      </c>
      <c r="L222" s="218">
        <f t="shared" si="23"/>
        <v>42.536234553613234</v>
      </c>
      <c r="M222" s="218"/>
      <c r="N222" s="218"/>
      <c r="O222" s="218"/>
      <c r="P222" s="218"/>
      <c r="Q222" s="218"/>
      <c r="R222" s="218"/>
      <c r="S222" s="64">
        <v>2188000</v>
      </c>
      <c r="T222">
        <v>35900</v>
      </c>
    </row>
    <row r="223" spans="1:20" x14ac:dyDescent="0.25">
      <c r="A223" s="64" t="str">
        <f t="shared" si="18"/>
        <v>CIRF  1219*20</v>
      </c>
      <c r="B223" s="163">
        <f t="shared" si="19"/>
        <v>591.38282588970344</v>
      </c>
      <c r="C223" s="64">
        <v>1219</v>
      </c>
      <c r="D223" s="64">
        <v>20</v>
      </c>
      <c r="E223" s="64"/>
      <c r="F223" s="64"/>
      <c r="G223" s="64"/>
      <c r="H223" s="163">
        <f t="shared" si="20"/>
        <v>753.35391833083236</v>
      </c>
      <c r="I223" s="187">
        <f t="shared" si="21"/>
        <v>1354154.6098920691</v>
      </c>
      <c r="J223" s="187">
        <f t="shared" si="22"/>
        <v>22217.466938344038</v>
      </c>
      <c r="K223" s="228">
        <v>28755</v>
      </c>
      <c r="L223" s="218">
        <f t="shared" si="23"/>
        <v>42.396948593029663</v>
      </c>
      <c r="M223" s="218"/>
      <c r="N223" s="218"/>
      <c r="O223" s="218"/>
      <c r="P223" s="218"/>
      <c r="Q223" s="218"/>
      <c r="R223" s="218"/>
      <c r="S223" s="64">
        <v>2708000</v>
      </c>
      <c r="T223">
        <v>44430</v>
      </c>
    </row>
    <row r="224" spans="1:20" ht="15.75" thickBot="1" x14ac:dyDescent="0.3">
      <c r="A224" s="64" t="str">
        <f t="shared" si="18"/>
        <v>CIRF  1219*25</v>
      </c>
      <c r="B224" s="163">
        <f t="shared" si="19"/>
        <v>736.14584457079434</v>
      </c>
      <c r="C224" s="64">
        <v>1219</v>
      </c>
      <c r="D224" s="64">
        <v>25</v>
      </c>
      <c r="E224" s="64"/>
      <c r="F224" s="64"/>
      <c r="G224" s="64"/>
      <c r="H224" s="163">
        <f t="shared" si="20"/>
        <v>937.7654070965533</v>
      </c>
      <c r="I224" s="187">
        <f t="shared" si="21"/>
        <v>1671872.7841136716</v>
      </c>
      <c r="J224" s="187">
        <f t="shared" si="22"/>
        <v>27430.234357894529</v>
      </c>
      <c r="K224" s="228">
        <v>35646</v>
      </c>
      <c r="L224" s="218">
        <f t="shared" si="23"/>
        <v>42.223527209365159</v>
      </c>
      <c r="M224" s="218"/>
      <c r="N224" s="218"/>
      <c r="O224" s="218"/>
      <c r="P224" s="218"/>
      <c r="Q224" s="218"/>
      <c r="R224" s="218"/>
      <c r="S224" s="64">
        <v>3344000</v>
      </c>
      <c r="T224">
        <v>54860</v>
      </c>
    </row>
    <row r="225" spans="1:20" ht="16.5" thickBot="1" x14ac:dyDescent="0.3">
      <c r="A225" s="217"/>
      <c r="B225" s="158" t="s">
        <v>421</v>
      </c>
      <c r="C225" s="159"/>
      <c r="D225" s="159"/>
      <c r="E225" s="159"/>
      <c r="F225" s="159"/>
      <c r="G225" s="159"/>
      <c r="H225" s="159"/>
      <c r="I225" s="159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60"/>
    </row>
    <row r="226" spans="1:20" x14ac:dyDescent="0.25">
      <c r="A226" s="222" t="str">
        <f>$B$225&amp;"  "&amp;C226&amp;"*"&amp;D226</f>
        <v>CIRC  21.3*2.3</v>
      </c>
      <c r="B226" s="174">
        <f t="shared" ref="B226:B289" si="24">H226*0.785</f>
        <v>1.0777076518507103</v>
      </c>
      <c r="C226" s="173">
        <v>21.3</v>
      </c>
      <c r="D226" s="173">
        <v>2.2999999999999998</v>
      </c>
      <c r="E226" s="173"/>
      <c r="F226" s="173"/>
      <c r="G226" s="173"/>
      <c r="H226" s="174">
        <f t="shared" ref="H226:H289" si="25">(C226^2-(C226-2*D226)^2)*PI()*0.01/4</f>
        <v>1.3728759896187392</v>
      </c>
      <c r="I226" s="174">
        <f t="shared" ref="I226:I289" si="26">(C226^4-(C226-2*D226)^4)*PI()*0.0001/64</f>
        <v>0.62858843279681009</v>
      </c>
      <c r="J226" s="174">
        <f t="shared" ref="J226:J289" si="27">I226/(C226*0.5*0.1)</f>
        <v>0.59022388056038499</v>
      </c>
      <c r="K226" s="175">
        <v>0.83399999999999996</v>
      </c>
      <c r="L226" s="223">
        <f t="shared" ref="L226:L289" si="28">SQRT(I226/H226)</f>
        <v>0.67665537757413863</v>
      </c>
      <c r="M226" s="223"/>
      <c r="N226" s="223"/>
      <c r="O226" s="223"/>
      <c r="P226" s="223"/>
      <c r="Q226" s="223"/>
      <c r="R226" s="223"/>
      <c r="S226" s="173">
        <v>1.2570000000000001</v>
      </c>
      <c r="T226" s="224">
        <v>1.18</v>
      </c>
    </row>
    <row r="227" spans="1:20" x14ac:dyDescent="0.25">
      <c r="A227" s="222" t="str">
        <f t="shared" ref="A227:A290" si="29">$B$225&amp;"  "&amp;C227&amp;"*"&amp;D227</f>
        <v>CIRC  21.3*2.6</v>
      </c>
      <c r="B227" s="174">
        <f t="shared" si="24"/>
        <v>1.1990422433176557</v>
      </c>
      <c r="C227" s="173">
        <v>21.3</v>
      </c>
      <c r="D227" s="173">
        <v>2.6</v>
      </c>
      <c r="E227" s="173"/>
      <c r="F227" s="173"/>
      <c r="G227" s="173"/>
      <c r="H227" s="174">
        <f t="shared" si="25"/>
        <v>1.5274423481753576</v>
      </c>
      <c r="I227" s="174">
        <f t="shared" si="26"/>
        <v>0.68057103125888285</v>
      </c>
      <c r="J227" s="174">
        <f t="shared" si="27"/>
        <v>0.63903383216796505</v>
      </c>
      <c r="K227" s="175">
        <v>0.91500000000000004</v>
      </c>
      <c r="L227" s="223">
        <f t="shared" si="28"/>
        <v>0.66750468163152232</v>
      </c>
      <c r="M227" s="223"/>
      <c r="N227" s="223"/>
      <c r="O227" s="223"/>
      <c r="P227" s="223"/>
      <c r="Q227" s="223"/>
      <c r="R227" s="223"/>
      <c r="S227" s="173">
        <v>1.361</v>
      </c>
      <c r="T227" s="224">
        <v>1.278</v>
      </c>
    </row>
    <row r="228" spans="1:20" x14ac:dyDescent="0.25">
      <c r="A228" s="225" t="str">
        <f t="shared" si="29"/>
        <v>CIRC  21.3*3.2</v>
      </c>
      <c r="B228" s="180">
        <f t="shared" si="24"/>
        <v>1.4283942149929787</v>
      </c>
      <c r="C228" s="179">
        <v>21.3</v>
      </c>
      <c r="D228" s="179">
        <v>3.2</v>
      </c>
      <c r="E228" s="179"/>
      <c r="F228" s="179"/>
      <c r="G228" s="179"/>
      <c r="H228" s="180">
        <f t="shared" si="25"/>
        <v>1.8196104649592084</v>
      </c>
      <c r="I228" s="180">
        <f t="shared" si="26"/>
        <v>0.7684442444830859</v>
      </c>
      <c r="J228" s="180">
        <f t="shared" si="27"/>
        <v>0.72154389153341392</v>
      </c>
      <c r="K228" s="180">
        <v>1.06</v>
      </c>
      <c r="L228" s="226">
        <f t="shared" si="28"/>
        <v>0.64985575322528311</v>
      </c>
      <c r="M228" s="226"/>
      <c r="N228" s="226"/>
      <c r="O228" s="226"/>
      <c r="P228" s="226"/>
      <c r="Q228" s="226"/>
      <c r="R228" s="226"/>
      <c r="S228" s="179">
        <v>1.5369999999999999</v>
      </c>
      <c r="T228" s="227">
        <v>1.4430000000000001</v>
      </c>
    </row>
    <row r="229" spans="1:20" x14ac:dyDescent="0.25">
      <c r="A229" s="64" t="str">
        <f t="shared" si="29"/>
        <v>CIRC  26.9*2.3</v>
      </c>
      <c r="B229" s="163">
        <f t="shared" si="24"/>
        <v>1.3953478018698677</v>
      </c>
      <c r="C229" s="64">
        <v>26.9</v>
      </c>
      <c r="D229" s="64">
        <v>2.2999999999999998</v>
      </c>
      <c r="E229" s="64"/>
      <c r="F229" s="64"/>
      <c r="G229" s="64"/>
      <c r="H229" s="163">
        <f t="shared" si="25"/>
        <v>1.7775131234011052</v>
      </c>
      <c r="I229" s="163">
        <f t="shared" si="26"/>
        <v>1.3563536077252558</v>
      </c>
      <c r="J229" s="163">
        <f t="shared" si="27"/>
        <v>1.0084413440336475</v>
      </c>
      <c r="K229" s="163">
        <v>1.4</v>
      </c>
      <c r="L229" s="218">
        <f t="shared" si="28"/>
        <v>0.87353448701239034</v>
      </c>
      <c r="M229" s="218"/>
      <c r="N229" s="218"/>
      <c r="O229" s="218"/>
      <c r="P229" s="218"/>
      <c r="Q229" s="218"/>
      <c r="R229" s="218"/>
      <c r="S229" s="64">
        <v>2.7130000000000001</v>
      </c>
      <c r="T229">
        <v>2.0169999999999999</v>
      </c>
    </row>
    <row r="230" spans="1:20" x14ac:dyDescent="0.25">
      <c r="A230" s="64" t="str">
        <f t="shared" si="29"/>
        <v>CIRC  26.9*2.6</v>
      </c>
      <c r="B230" s="163">
        <f t="shared" si="24"/>
        <v>1.558113717252354</v>
      </c>
      <c r="C230" s="64">
        <v>26.9</v>
      </c>
      <c r="D230" s="64">
        <v>2.6</v>
      </c>
      <c r="E230" s="64"/>
      <c r="F230" s="64"/>
      <c r="G230" s="64"/>
      <c r="H230" s="163">
        <f t="shared" si="25"/>
        <v>1.9848582385380307</v>
      </c>
      <c r="I230" s="163">
        <f t="shared" si="26"/>
        <v>1.4818207287085483</v>
      </c>
      <c r="J230" s="163">
        <f t="shared" si="27"/>
        <v>1.1017254488539392</v>
      </c>
      <c r="K230" s="163">
        <v>1.54</v>
      </c>
      <c r="L230" s="218">
        <f t="shared" si="28"/>
        <v>0.86403848293927277</v>
      </c>
      <c r="M230" s="218"/>
      <c r="N230" s="218"/>
      <c r="O230" s="218"/>
      <c r="P230" s="218"/>
      <c r="Q230" s="218"/>
      <c r="R230" s="218"/>
      <c r="S230" s="64">
        <v>2.9640000000000004</v>
      </c>
      <c r="T230">
        <v>2.2029999999999998</v>
      </c>
    </row>
    <row r="231" spans="1:20" x14ac:dyDescent="0.25">
      <c r="A231" s="64" t="str">
        <f t="shared" si="29"/>
        <v>CIRC  26.9*3.2</v>
      </c>
      <c r="B231" s="163">
        <f t="shared" si="24"/>
        <v>1.8703283367587613</v>
      </c>
      <c r="C231" s="64">
        <v>26.9</v>
      </c>
      <c r="D231" s="64">
        <v>3.2</v>
      </c>
      <c r="E231" s="64"/>
      <c r="F231" s="64"/>
      <c r="G231" s="64"/>
      <c r="H231" s="163">
        <f t="shared" si="25"/>
        <v>2.3825838684824983</v>
      </c>
      <c r="I231" s="163">
        <f t="shared" si="26"/>
        <v>1.7033389898764941</v>
      </c>
      <c r="J231" s="163">
        <f t="shared" si="27"/>
        <v>1.2664230408003674</v>
      </c>
      <c r="K231" s="163">
        <v>1.81</v>
      </c>
      <c r="L231" s="218">
        <f t="shared" si="28"/>
        <v>0.84552498484669281</v>
      </c>
      <c r="M231" s="218"/>
      <c r="N231" s="218"/>
      <c r="O231" s="218"/>
      <c r="P231" s="218"/>
      <c r="Q231" s="218"/>
      <c r="R231" s="218"/>
      <c r="S231" s="64">
        <v>3.407</v>
      </c>
      <c r="T231">
        <v>2.5329999999999999</v>
      </c>
    </row>
    <row r="232" spans="1:20" x14ac:dyDescent="0.25">
      <c r="A232" s="219" t="str">
        <f t="shared" si="29"/>
        <v>CIRC  33.7*2.6</v>
      </c>
      <c r="B232" s="168">
        <f t="shared" si="24"/>
        <v>1.9941290784587753</v>
      </c>
      <c r="C232" s="167">
        <v>33.700000000000003</v>
      </c>
      <c r="D232" s="167">
        <v>2.6</v>
      </c>
      <c r="E232" s="167"/>
      <c r="F232" s="167"/>
      <c r="G232" s="167"/>
      <c r="H232" s="168">
        <f t="shared" si="25"/>
        <v>2.5402918196927073</v>
      </c>
      <c r="I232" s="168">
        <f t="shared" si="26"/>
        <v>3.0927100295326331</v>
      </c>
      <c r="J232" s="168">
        <f t="shared" si="27"/>
        <v>1.8354362193072002</v>
      </c>
      <c r="K232" s="168">
        <v>2.52</v>
      </c>
      <c r="L232" s="220">
        <f t="shared" si="28"/>
        <v>1.1033868315328039</v>
      </c>
      <c r="M232" s="220"/>
      <c r="N232" s="220"/>
      <c r="O232" s="220"/>
      <c r="P232" s="220"/>
      <c r="Q232" s="220"/>
      <c r="R232" s="220"/>
      <c r="S232" s="167">
        <v>6.1850000000000005</v>
      </c>
      <c r="T232" s="221">
        <v>3.6709999999999998</v>
      </c>
    </row>
    <row r="233" spans="1:20" x14ac:dyDescent="0.25">
      <c r="A233" s="222" t="str">
        <f t="shared" si="29"/>
        <v>CIRC  33.7*3.2</v>
      </c>
      <c r="B233" s="174">
        <f t="shared" si="24"/>
        <v>2.406962627474357</v>
      </c>
      <c r="C233" s="173">
        <v>33.700000000000003</v>
      </c>
      <c r="D233" s="173">
        <v>3.2</v>
      </c>
      <c r="E233" s="173"/>
      <c r="F233" s="173"/>
      <c r="G233" s="173"/>
      <c r="H233" s="174">
        <f t="shared" si="25"/>
        <v>3.0661944299036392</v>
      </c>
      <c r="I233" s="174">
        <f t="shared" si="26"/>
        <v>3.6046564992250918</v>
      </c>
      <c r="J233" s="174">
        <f t="shared" si="27"/>
        <v>2.1392620173442678</v>
      </c>
      <c r="K233" s="174">
        <v>2.99</v>
      </c>
      <c r="L233" s="223">
        <f t="shared" si="28"/>
        <v>1.0842566578075505</v>
      </c>
      <c r="M233" s="223"/>
      <c r="N233" s="223"/>
      <c r="O233" s="223"/>
      <c r="P233" s="223"/>
      <c r="Q233" s="223"/>
      <c r="R233" s="223"/>
      <c r="S233" s="173">
        <v>7.2090000000000005</v>
      </c>
      <c r="T233" s="224">
        <v>4.2789999999999999</v>
      </c>
    </row>
    <row r="234" spans="1:20" x14ac:dyDescent="0.25">
      <c r="A234" s="225" t="str">
        <f t="shared" si="29"/>
        <v>CIRC  33.7*4</v>
      </c>
      <c r="B234" s="180">
        <f t="shared" si="24"/>
        <v>2.9297864768847703</v>
      </c>
      <c r="C234" s="179">
        <v>33.700000000000003</v>
      </c>
      <c r="D234" s="179">
        <v>4</v>
      </c>
      <c r="E234" s="179"/>
      <c r="F234" s="179"/>
      <c r="G234" s="179"/>
      <c r="H234" s="180">
        <f t="shared" si="25"/>
        <v>3.7322120724646757</v>
      </c>
      <c r="I234" s="180">
        <f t="shared" si="26"/>
        <v>4.1898279251997517</v>
      </c>
      <c r="J234" s="180">
        <f t="shared" si="27"/>
        <v>2.4865447627298227</v>
      </c>
      <c r="K234" s="180">
        <v>3.55</v>
      </c>
      <c r="L234" s="226">
        <f t="shared" si="28"/>
        <v>1.05953409572321</v>
      </c>
      <c r="M234" s="226"/>
      <c r="N234" s="226"/>
      <c r="O234" s="226"/>
      <c r="P234" s="226"/>
      <c r="Q234" s="226"/>
      <c r="R234" s="226"/>
      <c r="S234" s="179">
        <v>8.3800000000000008</v>
      </c>
      <c r="T234" s="227">
        <v>4.9729999999999999</v>
      </c>
    </row>
    <row r="235" spans="1:20" x14ac:dyDescent="0.25">
      <c r="A235" s="64" t="str">
        <f t="shared" si="29"/>
        <v>CIRC  42.4*2.6</v>
      </c>
      <c r="B235" s="163">
        <f t="shared" si="24"/>
        <v>2.5519722611787556</v>
      </c>
      <c r="C235" s="64">
        <v>42.4</v>
      </c>
      <c r="D235" s="64">
        <v>2.6</v>
      </c>
      <c r="E235" s="64"/>
      <c r="F235" s="64"/>
      <c r="G235" s="64"/>
      <c r="H235" s="163">
        <f t="shared" si="25"/>
        <v>3.2509200779347203</v>
      </c>
      <c r="I235" s="163">
        <f t="shared" si="26"/>
        <v>6.4644545749731908</v>
      </c>
      <c r="J235" s="163">
        <f t="shared" si="27"/>
        <v>3.0492710259307501</v>
      </c>
      <c r="K235" s="163">
        <v>4.12</v>
      </c>
      <c r="L235" s="218">
        <f t="shared" si="28"/>
        <v>1.410141836837699</v>
      </c>
      <c r="M235" s="218"/>
      <c r="N235" s="218"/>
      <c r="O235" s="218"/>
      <c r="P235" s="218"/>
      <c r="Q235" s="218"/>
      <c r="R235" s="218"/>
      <c r="S235" s="64">
        <v>12.930000000000001</v>
      </c>
      <c r="T235">
        <v>6.0990000000000002</v>
      </c>
    </row>
    <row r="236" spans="1:20" x14ac:dyDescent="0.25">
      <c r="A236" s="64" t="str">
        <f t="shared" si="29"/>
        <v>CIRC  42.4*3.2</v>
      </c>
      <c r="B236" s="163">
        <f t="shared" si="24"/>
        <v>3.0935388523604836</v>
      </c>
      <c r="C236" s="64">
        <v>42.4</v>
      </c>
      <c r="D236" s="64">
        <v>3.2</v>
      </c>
      <c r="E236" s="64"/>
      <c r="F236" s="64"/>
      <c r="G236" s="64"/>
      <c r="H236" s="163">
        <f t="shared" si="25"/>
        <v>3.9408138246630364</v>
      </c>
      <c r="I236" s="163">
        <f t="shared" si="26"/>
        <v>7.6199576113684468</v>
      </c>
      <c r="J236" s="163">
        <f t="shared" si="27"/>
        <v>3.594319628003984</v>
      </c>
      <c r="K236" s="163">
        <v>4.93</v>
      </c>
      <c r="L236" s="218">
        <f t="shared" si="28"/>
        <v>1.3905394636614956</v>
      </c>
      <c r="M236" s="218"/>
      <c r="N236" s="218"/>
      <c r="O236" s="218"/>
      <c r="P236" s="218"/>
      <c r="Q236" s="218"/>
      <c r="R236" s="218"/>
      <c r="S236" s="64">
        <v>15.240000000000002</v>
      </c>
      <c r="T236">
        <v>7.1890000000000001</v>
      </c>
    </row>
    <row r="237" spans="1:20" x14ac:dyDescent="0.25">
      <c r="A237" s="64" t="str">
        <f t="shared" si="29"/>
        <v>CIRC  42.4*4</v>
      </c>
      <c r="B237" s="163">
        <f t="shared" si="24"/>
        <v>3.7880067579924299</v>
      </c>
      <c r="C237" s="64">
        <v>42.4</v>
      </c>
      <c r="D237" s="64">
        <v>4</v>
      </c>
      <c r="E237" s="64"/>
      <c r="F237" s="64"/>
      <c r="G237" s="64"/>
      <c r="H237" s="163">
        <f t="shared" si="25"/>
        <v>4.8254863159139232</v>
      </c>
      <c r="I237" s="163">
        <f t="shared" si="26"/>
        <v>8.9908461038108207</v>
      </c>
      <c r="J237" s="163">
        <f t="shared" si="27"/>
        <v>4.2409651433069904</v>
      </c>
      <c r="K237" s="163">
        <v>5.92</v>
      </c>
      <c r="L237" s="218">
        <f t="shared" si="28"/>
        <v>1.3649908424601243</v>
      </c>
      <c r="M237" s="218"/>
      <c r="N237" s="218"/>
      <c r="O237" s="218"/>
      <c r="P237" s="218"/>
      <c r="Q237" s="218"/>
      <c r="R237" s="218"/>
      <c r="S237" s="64">
        <v>17.98</v>
      </c>
      <c r="T237">
        <v>8.4819999999999993</v>
      </c>
    </row>
    <row r="238" spans="1:20" x14ac:dyDescent="0.25">
      <c r="A238" s="219" t="str">
        <f t="shared" si="29"/>
        <v>CIRC  48.3*2.6</v>
      </c>
      <c r="B238" s="168">
        <f t="shared" si="24"/>
        <v>2.9302797069313855</v>
      </c>
      <c r="C238" s="167">
        <v>48.3</v>
      </c>
      <c r="D238" s="167">
        <v>2.6</v>
      </c>
      <c r="E238" s="167"/>
      <c r="F238" s="167"/>
      <c r="G238" s="167"/>
      <c r="H238" s="168">
        <f t="shared" si="25"/>
        <v>3.7328403909953956</v>
      </c>
      <c r="I238" s="168">
        <f t="shared" si="26"/>
        <v>9.7765422865413765</v>
      </c>
      <c r="J238" s="168">
        <f t="shared" si="27"/>
        <v>4.0482576755864912</v>
      </c>
      <c r="K238" s="168">
        <v>5.44</v>
      </c>
      <c r="L238" s="220">
        <f t="shared" si="28"/>
        <v>1.6183517849960805</v>
      </c>
      <c r="M238" s="220"/>
      <c r="N238" s="220"/>
      <c r="O238" s="220"/>
      <c r="P238" s="220"/>
      <c r="Q238" s="220"/>
      <c r="R238" s="220"/>
      <c r="S238" s="167">
        <v>19.55</v>
      </c>
      <c r="T238" s="221">
        <v>8.0969999999999995</v>
      </c>
    </row>
    <row r="239" spans="1:20" x14ac:dyDescent="0.25">
      <c r="A239" s="222" t="str">
        <f t="shared" si="29"/>
        <v>CIRC  48.3*3.2</v>
      </c>
      <c r="B239" s="174">
        <f t="shared" si="24"/>
        <v>3.5591480163637197</v>
      </c>
      <c r="C239" s="173">
        <v>48.3</v>
      </c>
      <c r="D239" s="173">
        <v>3.2</v>
      </c>
      <c r="E239" s="173"/>
      <c r="F239" s="173"/>
      <c r="G239" s="173"/>
      <c r="H239" s="174">
        <f t="shared" si="25"/>
        <v>4.5339465176607892</v>
      </c>
      <c r="I239" s="174">
        <f t="shared" si="26"/>
        <v>11.585650210910085</v>
      </c>
      <c r="J239" s="174">
        <f t="shared" si="27"/>
        <v>4.7973706877474473</v>
      </c>
      <c r="K239" s="174">
        <v>6.52</v>
      </c>
      <c r="L239" s="223">
        <f t="shared" si="28"/>
        <v>1.5985344850831338</v>
      </c>
      <c r="M239" s="223"/>
      <c r="N239" s="223"/>
      <c r="O239" s="223"/>
      <c r="P239" s="223"/>
      <c r="Q239" s="223"/>
      <c r="R239" s="223"/>
      <c r="S239" s="173">
        <v>23.17</v>
      </c>
      <c r="T239" s="224">
        <v>9.5950000000000006</v>
      </c>
    </row>
    <row r="240" spans="1:20" x14ac:dyDescent="0.25">
      <c r="A240" s="222" t="str">
        <f t="shared" si="29"/>
        <v>CIRC  48.3*4</v>
      </c>
      <c r="B240" s="174">
        <f t="shared" si="24"/>
        <v>4.3700182129964746</v>
      </c>
      <c r="C240" s="173">
        <v>48.3</v>
      </c>
      <c r="D240" s="173">
        <v>4</v>
      </c>
      <c r="E240" s="173"/>
      <c r="F240" s="173"/>
      <c r="G240" s="173"/>
      <c r="H240" s="174">
        <f t="shared" si="25"/>
        <v>5.5669021821611144</v>
      </c>
      <c r="I240" s="174">
        <f t="shared" si="26"/>
        <v>13.767575372979927</v>
      </c>
      <c r="J240" s="174">
        <f t="shared" si="27"/>
        <v>5.7008593676935515</v>
      </c>
      <c r="K240" s="174">
        <v>7.87</v>
      </c>
      <c r="L240" s="223">
        <f t="shared" si="28"/>
        <v>1.5726132709601555</v>
      </c>
      <c r="M240" s="223"/>
      <c r="N240" s="223"/>
      <c r="O240" s="223"/>
      <c r="P240" s="223"/>
      <c r="Q240" s="223"/>
      <c r="R240" s="223"/>
      <c r="S240" s="173">
        <v>27.54</v>
      </c>
      <c r="T240" s="224">
        <v>11.4</v>
      </c>
    </row>
    <row r="241" spans="1:20" x14ac:dyDescent="0.25">
      <c r="A241" s="225" t="str">
        <f t="shared" si="29"/>
        <v>CIRC  48.3*5</v>
      </c>
      <c r="B241" s="180">
        <f t="shared" si="24"/>
        <v>5.3392152545921938</v>
      </c>
      <c r="C241" s="179">
        <v>48.3</v>
      </c>
      <c r="D241" s="179">
        <v>5</v>
      </c>
      <c r="E241" s="179"/>
      <c r="F241" s="179"/>
      <c r="G241" s="179"/>
      <c r="H241" s="180">
        <f t="shared" si="25"/>
        <v>6.8015480950219027</v>
      </c>
      <c r="I241" s="180">
        <f t="shared" si="26"/>
        <v>16.15274151281395</v>
      </c>
      <c r="J241" s="180">
        <f t="shared" si="27"/>
        <v>6.6885058024074331</v>
      </c>
      <c r="K241" s="180">
        <v>9.42</v>
      </c>
      <c r="L241" s="226">
        <f t="shared" si="28"/>
        <v>1.5410588892057304</v>
      </c>
      <c r="M241" s="226"/>
      <c r="N241" s="226"/>
      <c r="O241" s="226"/>
      <c r="P241" s="226"/>
      <c r="Q241" s="226"/>
      <c r="R241" s="226"/>
      <c r="S241" s="179">
        <v>32.31</v>
      </c>
      <c r="T241" s="227">
        <v>13.38</v>
      </c>
    </row>
    <row r="242" spans="1:20" x14ac:dyDescent="0.25">
      <c r="A242" s="64" t="str">
        <f t="shared" si="29"/>
        <v>CIRC  60.3*2.6</v>
      </c>
      <c r="B242" s="163">
        <f t="shared" si="24"/>
        <v>3.6997185796485974</v>
      </c>
      <c r="C242" s="64">
        <v>60.3</v>
      </c>
      <c r="D242" s="64">
        <v>2.6</v>
      </c>
      <c r="E242" s="64"/>
      <c r="F242" s="64"/>
      <c r="G242" s="64"/>
      <c r="H242" s="163">
        <f t="shared" si="25"/>
        <v>4.7130172989154104</v>
      </c>
      <c r="I242" s="163">
        <f t="shared" si="26"/>
        <v>19.653576700058448</v>
      </c>
      <c r="J242" s="163">
        <f t="shared" si="27"/>
        <v>6.5185992371669812</v>
      </c>
      <c r="K242" s="163">
        <v>8.66</v>
      </c>
      <c r="L242" s="218">
        <f t="shared" si="28"/>
        <v>2.0420730887997132</v>
      </c>
      <c r="M242" s="218"/>
      <c r="N242" s="218"/>
      <c r="O242" s="218"/>
      <c r="P242" s="218"/>
      <c r="Q242" s="218"/>
      <c r="R242" s="218"/>
      <c r="S242" s="64">
        <v>39.31</v>
      </c>
      <c r="T242">
        <v>13.04</v>
      </c>
    </row>
    <row r="243" spans="1:20" x14ac:dyDescent="0.25">
      <c r="A243" s="64" t="str">
        <f t="shared" si="29"/>
        <v>CIRC  60.3*3.2</v>
      </c>
      <c r="B243" s="163">
        <f t="shared" si="24"/>
        <v>4.5061497058618256</v>
      </c>
      <c r="C243" s="64">
        <v>60.3</v>
      </c>
      <c r="D243" s="64">
        <v>3.2</v>
      </c>
      <c r="E243" s="64"/>
      <c r="F243" s="64"/>
      <c r="G243" s="64"/>
      <c r="H243" s="163">
        <f t="shared" si="25"/>
        <v>5.7403180966392675</v>
      </c>
      <c r="I243" s="163">
        <f t="shared" si="26"/>
        <v>23.468214228466522</v>
      </c>
      <c r="J243" s="163">
        <f t="shared" si="27"/>
        <v>7.7838189812492606</v>
      </c>
      <c r="K243" s="163">
        <v>10.4</v>
      </c>
      <c r="L243" s="218">
        <f t="shared" si="28"/>
        <v>2.021957591048833</v>
      </c>
      <c r="M243" s="218"/>
      <c r="N243" s="218"/>
      <c r="O243" s="218"/>
      <c r="P243" s="218"/>
      <c r="Q243" s="218"/>
      <c r="R243" s="218"/>
      <c r="S243" s="64">
        <v>46.94</v>
      </c>
      <c r="T243">
        <v>15.57</v>
      </c>
    </row>
    <row r="244" spans="1:20" x14ac:dyDescent="0.25">
      <c r="A244" s="64" t="str">
        <f t="shared" si="29"/>
        <v>CIRC  60.3*4</v>
      </c>
      <c r="B244" s="163">
        <f t="shared" si="24"/>
        <v>5.5537703248691104</v>
      </c>
      <c r="C244" s="64">
        <v>60.3</v>
      </c>
      <c r="D244" s="64">
        <v>4</v>
      </c>
      <c r="E244" s="64"/>
      <c r="F244" s="64"/>
      <c r="G244" s="64"/>
      <c r="H244" s="163">
        <f t="shared" si="25"/>
        <v>7.0748666558842164</v>
      </c>
      <c r="I244" s="163">
        <f t="shared" si="26"/>
        <v>28.172914946229728</v>
      </c>
      <c r="J244" s="163">
        <f t="shared" si="27"/>
        <v>9.3442503967594455</v>
      </c>
      <c r="K244" s="163">
        <v>12.7</v>
      </c>
      <c r="L244" s="218">
        <f t="shared" si="28"/>
        <v>1.9955231143737722</v>
      </c>
      <c r="M244" s="218"/>
      <c r="N244" s="218"/>
      <c r="O244" s="218"/>
      <c r="P244" s="218"/>
      <c r="Q244" s="218"/>
      <c r="R244" s="218"/>
      <c r="S244" s="64">
        <v>56.35</v>
      </c>
      <c r="T244">
        <v>18.690000000000001</v>
      </c>
    </row>
    <row r="245" spans="1:20" x14ac:dyDescent="0.25">
      <c r="A245" s="64" t="str">
        <f t="shared" si="29"/>
        <v>CIRC  60.3*5</v>
      </c>
      <c r="B245" s="163">
        <f t="shared" si="24"/>
        <v>6.8189053944329858</v>
      </c>
      <c r="C245" s="64">
        <v>60.3</v>
      </c>
      <c r="D245" s="64">
        <v>5</v>
      </c>
      <c r="E245" s="64"/>
      <c r="F245" s="64"/>
      <c r="G245" s="64"/>
      <c r="H245" s="163">
        <f t="shared" si="25"/>
        <v>8.6865036871757777</v>
      </c>
      <c r="I245" s="163">
        <f t="shared" si="26"/>
        <v>33.47659081611846</v>
      </c>
      <c r="J245" s="163">
        <f t="shared" si="27"/>
        <v>11.103346871017731</v>
      </c>
      <c r="K245" s="163">
        <v>15.3</v>
      </c>
      <c r="L245" s="218">
        <f t="shared" si="28"/>
        <v>1.963125696434133</v>
      </c>
      <c r="M245" s="218"/>
      <c r="N245" s="218"/>
      <c r="O245" s="218"/>
      <c r="P245" s="218"/>
      <c r="Q245" s="218"/>
      <c r="R245" s="218"/>
      <c r="S245" s="64">
        <v>66.95</v>
      </c>
      <c r="T245">
        <v>22.21</v>
      </c>
    </row>
    <row r="246" spans="1:20" x14ac:dyDescent="0.25">
      <c r="A246" s="219" t="str">
        <f t="shared" si="29"/>
        <v>CIRC  76.1*2.6</v>
      </c>
      <c r="B246" s="168">
        <f t="shared" si="24"/>
        <v>4.7128130953929288</v>
      </c>
      <c r="C246" s="167">
        <v>76.099999999999994</v>
      </c>
      <c r="D246" s="167">
        <v>2.6</v>
      </c>
      <c r="E246" s="167"/>
      <c r="F246" s="167"/>
      <c r="G246" s="167"/>
      <c r="H246" s="168">
        <f t="shared" si="25"/>
        <v>6.0035835610100996</v>
      </c>
      <c r="I246" s="168">
        <f t="shared" si="26"/>
        <v>40.591804396674029</v>
      </c>
      <c r="J246" s="168">
        <f t="shared" si="27"/>
        <v>10.66801692422445</v>
      </c>
      <c r="K246" s="189">
        <v>14.1</v>
      </c>
      <c r="L246" s="220">
        <f t="shared" si="28"/>
        <v>2.6002427771267813</v>
      </c>
      <c r="M246" s="220"/>
      <c r="N246" s="220"/>
      <c r="O246" s="220"/>
      <c r="P246" s="220"/>
      <c r="Q246" s="220"/>
      <c r="R246" s="220"/>
      <c r="S246" s="167">
        <v>81.180000000000007</v>
      </c>
      <c r="T246" s="221">
        <v>21.34</v>
      </c>
    </row>
    <row r="247" spans="1:20" x14ac:dyDescent="0.25">
      <c r="A247" s="222" t="str">
        <f t="shared" si="29"/>
        <v>CIRC  76.1*3.2</v>
      </c>
      <c r="B247" s="174">
        <f t="shared" si="24"/>
        <v>5.7530352637010065</v>
      </c>
      <c r="C247" s="173">
        <v>76.099999999999994</v>
      </c>
      <c r="D247" s="173">
        <v>3.2</v>
      </c>
      <c r="E247" s="173"/>
      <c r="F247" s="173"/>
      <c r="G247" s="173"/>
      <c r="H247" s="174">
        <f t="shared" si="25"/>
        <v>7.3287073422942752</v>
      </c>
      <c r="I247" s="174">
        <f t="shared" si="26"/>
        <v>48.778501937684013</v>
      </c>
      <c r="J247" s="174">
        <f t="shared" si="27"/>
        <v>12.819580009903815</v>
      </c>
      <c r="K247" s="190">
        <v>17</v>
      </c>
      <c r="L247" s="223">
        <f t="shared" si="28"/>
        <v>2.5798861408984699</v>
      </c>
      <c r="M247" s="223"/>
      <c r="N247" s="223"/>
      <c r="O247" s="223"/>
      <c r="P247" s="223"/>
      <c r="Q247" s="223"/>
      <c r="R247" s="223"/>
      <c r="S247" s="173">
        <v>97.56</v>
      </c>
      <c r="T247" s="224">
        <v>25.64</v>
      </c>
    </row>
    <row r="248" spans="1:20" x14ac:dyDescent="0.25">
      <c r="A248" s="222" t="str">
        <f t="shared" si="29"/>
        <v>CIRC  76.1*4</v>
      </c>
      <c r="B248" s="174">
        <f t="shared" si="24"/>
        <v>7.1123772721680734</v>
      </c>
      <c r="C248" s="173">
        <v>76.099999999999994</v>
      </c>
      <c r="D248" s="173">
        <v>4</v>
      </c>
      <c r="E248" s="173"/>
      <c r="F248" s="173"/>
      <c r="G248" s="173"/>
      <c r="H248" s="174">
        <f t="shared" si="25"/>
        <v>9.0603532129529594</v>
      </c>
      <c r="I248" s="174">
        <f t="shared" si="26"/>
        <v>59.055495496442546</v>
      </c>
      <c r="J248" s="174">
        <f t="shared" si="27"/>
        <v>15.520498159380434</v>
      </c>
      <c r="K248" s="190">
        <v>20.8</v>
      </c>
      <c r="L248" s="223">
        <f t="shared" si="28"/>
        <v>2.5530398547613782</v>
      </c>
      <c r="M248" s="223"/>
      <c r="N248" s="223"/>
      <c r="O248" s="223"/>
      <c r="P248" s="223"/>
      <c r="Q248" s="223"/>
      <c r="R248" s="223"/>
      <c r="S248" s="173">
        <v>118.10000000000001</v>
      </c>
      <c r="T248" s="224">
        <v>31.04</v>
      </c>
    </row>
    <row r="249" spans="1:20" x14ac:dyDescent="0.25">
      <c r="A249" s="225" t="str">
        <f t="shared" si="29"/>
        <v>CIRC  76.1*5</v>
      </c>
      <c r="B249" s="180">
        <f t="shared" si="24"/>
        <v>8.7671640785566964</v>
      </c>
      <c r="C249" s="179">
        <v>76.099999999999994</v>
      </c>
      <c r="D249" s="179">
        <v>5</v>
      </c>
      <c r="E249" s="179"/>
      <c r="F249" s="179"/>
      <c r="G249" s="179"/>
      <c r="H249" s="180">
        <f t="shared" si="25"/>
        <v>11.168361883511714</v>
      </c>
      <c r="I249" s="180">
        <f t="shared" si="26"/>
        <v>70.922029655293812</v>
      </c>
      <c r="J249" s="180">
        <f t="shared" si="27"/>
        <v>18.639166795083788</v>
      </c>
      <c r="K249" s="191">
        <v>25.3</v>
      </c>
      <c r="L249" s="226">
        <f t="shared" si="28"/>
        <v>2.5199727181062892</v>
      </c>
      <c r="M249" s="226"/>
      <c r="N249" s="226"/>
      <c r="O249" s="226"/>
      <c r="P249" s="226"/>
      <c r="Q249" s="226"/>
      <c r="R249" s="226"/>
      <c r="S249" s="179">
        <v>141.80000000000001</v>
      </c>
      <c r="T249" s="227">
        <v>37.28</v>
      </c>
    </row>
    <row r="250" spans="1:20" x14ac:dyDescent="0.25">
      <c r="A250" s="64" t="str">
        <f t="shared" si="29"/>
        <v>CIRC  88.9*3.2</v>
      </c>
      <c r="B250" s="163">
        <f t="shared" si="24"/>
        <v>6.7631703991656558</v>
      </c>
      <c r="C250" s="64">
        <v>88.9</v>
      </c>
      <c r="D250" s="64">
        <v>3.2</v>
      </c>
      <c r="E250" s="64"/>
      <c r="F250" s="64"/>
      <c r="G250" s="64"/>
      <c r="H250" s="163">
        <f t="shared" si="25"/>
        <v>8.6155036932046567</v>
      </c>
      <c r="I250" s="163">
        <f t="shared" si="26"/>
        <v>79.205879346903856</v>
      </c>
      <c r="J250" s="163">
        <f t="shared" si="27"/>
        <v>17.8190954661201</v>
      </c>
      <c r="K250" s="188">
        <v>23.5</v>
      </c>
      <c r="L250" s="218">
        <f t="shared" si="28"/>
        <v>3.0320640659458369</v>
      </c>
      <c r="M250" s="218"/>
      <c r="N250" s="218"/>
      <c r="O250" s="218"/>
      <c r="P250" s="218"/>
      <c r="Q250" s="218"/>
      <c r="R250" s="218"/>
      <c r="S250" s="64">
        <v>158.4</v>
      </c>
      <c r="T250">
        <v>35.64</v>
      </c>
    </row>
    <row r="251" spans="1:20" x14ac:dyDescent="0.25">
      <c r="A251" s="64" t="str">
        <f t="shared" si="29"/>
        <v>CIRC  88.9*4</v>
      </c>
      <c r="B251" s="163">
        <f t="shared" si="24"/>
        <v>8.3750461914988819</v>
      </c>
      <c r="C251" s="64">
        <v>88.9</v>
      </c>
      <c r="D251" s="64">
        <v>4</v>
      </c>
      <c r="E251" s="64"/>
      <c r="F251" s="64"/>
      <c r="G251" s="64"/>
      <c r="H251" s="163">
        <f t="shared" si="25"/>
        <v>10.668848651590933</v>
      </c>
      <c r="I251" s="163">
        <f t="shared" si="26"/>
        <v>96.339836684474321</v>
      </c>
      <c r="J251" s="163">
        <f t="shared" si="27"/>
        <v>21.673754034752378</v>
      </c>
      <c r="K251" s="188">
        <v>28.9</v>
      </c>
      <c r="L251" s="218">
        <f t="shared" si="28"/>
        <v>3.0049979201323924</v>
      </c>
      <c r="M251" s="218"/>
      <c r="N251" s="218"/>
      <c r="O251" s="218"/>
      <c r="P251" s="218"/>
      <c r="Q251" s="218"/>
      <c r="R251" s="218"/>
      <c r="S251" s="64">
        <v>192.70000000000002</v>
      </c>
      <c r="T251">
        <v>43.35</v>
      </c>
    </row>
    <row r="252" spans="1:20" x14ac:dyDescent="0.25">
      <c r="A252" s="64" t="str">
        <f t="shared" si="29"/>
        <v>CIRC  88.9*5</v>
      </c>
      <c r="B252" s="163">
        <f t="shared" si="24"/>
        <v>10.345500227720208</v>
      </c>
      <c r="C252" s="64">
        <v>88.9</v>
      </c>
      <c r="D252" s="64">
        <v>5</v>
      </c>
      <c r="E252" s="64"/>
      <c r="F252" s="64"/>
      <c r="G252" s="64"/>
      <c r="H252" s="163">
        <f t="shared" si="25"/>
        <v>13.178981181809181</v>
      </c>
      <c r="I252" s="163">
        <f t="shared" si="26"/>
        <v>116.37386331793533</v>
      </c>
      <c r="J252" s="163">
        <f t="shared" si="27"/>
        <v>26.180846640705361</v>
      </c>
      <c r="K252" s="188">
        <v>35.200000000000003</v>
      </c>
      <c r="L252" s="218">
        <f t="shared" si="28"/>
        <v>2.9715757604341846</v>
      </c>
      <c r="M252" s="218"/>
      <c r="N252" s="218"/>
      <c r="O252" s="218"/>
      <c r="P252" s="218"/>
      <c r="Q252" s="218"/>
      <c r="R252" s="218"/>
      <c r="S252" s="64">
        <v>232.70000000000002</v>
      </c>
      <c r="T252">
        <v>52.36</v>
      </c>
    </row>
    <row r="253" spans="1:20" x14ac:dyDescent="0.25">
      <c r="A253" s="64" t="str">
        <f t="shared" si="29"/>
        <v>CIRC  88.9*6.3</v>
      </c>
      <c r="B253" s="163">
        <f t="shared" si="24"/>
        <v>12.83335258283919</v>
      </c>
      <c r="C253" s="64">
        <v>88.9</v>
      </c>
      <c r="D253" s="64">
        <v>6.3</v>
      </c>
      <c r="E253" s="64"/>
      <c r="F253" s="64"/>
      <c r="G253" s="64"/>
      <c r="H253" s="163">
        <f t="shared" si="25"/>
        <v>16.34821985075056</v>
      </c>
      <c r="I253" s="163">
        <f t="shared" si="26"/>
        <v>140.23605164347902</v>
      </c>
      <c r="J253" s="163">
        <f t="shared" si="27"/>
        <v>31.549167973786052</v>
      </c>
      <c r="K253" s="188">
        <v>43.1</v>
      </c>
      <c r="L253" s="218">
        <f t="shared" si="28"/>
        <v>2.9288329587055668</v>
      </c>
      <c r="M253" s="218"/>
      <c r="N253" s="218"/>
      <c r="O253" s="218"/>
      <c r="P253" s="218"/>
      <c r="Q253" s="218"/>
      <c r="R253" s="218"/>
      <c r="S253" s="64">
        <v>280.5</v>
      </c>
      <c r="T253">
        <v>63.1</v>
      </c>
    </row>
    <row r="254" spans="1:20" x14ac:dyDescent="0.25">
      <c r="A254" s="219" t="str">
        <f t="shared" si="29"/>
        <v>CIRC  101.6*3.2</v>
      </c>
      <c r="B254" s="168">
        <f t="shared" si="24"/>
        <v>7.7654138538844935</v>
      </c>
      <c r="C254" s="167">
        <v>101.6</v>
      </c>
      <c r="D254" s="167">
        <v>3.2</v>
      </c>
      <c r="E254" s="167"/>
      <c r="F254" s="167"/>
      <c r="G254" s="167"/>
      <c r="H254" s="168">
        <f t="shared" si="25"/>
        <v>9.8922469476235584</v>
      </c>
      <c r="I254" s="168">
        <f t="shared" si="26"/>
        <v>119.85446401740704</v>
      </c>
      <c r="J254" s="168">
        <f t="shared" si="27"/>
        <v>23.593398428623434</v>
      </c>
      <c r="K254" s="189">
        <v>31</v>
      </c>
      <c r="L254" s="220">
        <f t="shared" si="28"/>
        <v>3.480804504708646</v>
      </c>
      <c r="M254" s="220"/>
      <c r="N254" s="220"/>
      <c r="O254" s="220"/>
      <c r="P254" s="220"/>
      <c r="Q254" s="220"/>
      <c r="R254" s="220"/>
      <c r="S254" s="167">
        <v>239.70000000000002</v>
      </c>
      <c r="T254" s="221">
        <v>47.19</v>
      </c>
    </row>
    <row r="255" spans="1:20" x14ac:dyDescent="0.25">
      <c r="A255" s="222" t="str">
        <f t="shared" si="29"/>
        <v>CIRC  101.6*4</v>
      </c>
      <c r="B255" s="174">
        <f t="shared" si="24"/>
        <v>9.6278505098974279</v>
      </c>
      <c r="C255" s="173">
        <v>101.6</v>
      </c>
      <c r="D255" s="173">
        <v>4</v>
      </c>
      <c r="E255" s="173"/>
      <c r="F255" s="173"/>
      <c r="G255" s="173"/>
      <c r="H255" s="174">
        <f t="shared" si="25"/>
        <v>12.264777719614557</v>
      </c>
      <c r="I255" s="174">
        <f t="shared" si="26"/>
        <v>146.28445681738671</v>
      </c>
      <c r="J255" s="174">
        <f t="shared" si="27"/>
        <v>28.796152916808406</v>
      </c>
      <c r="K255" s="190">
        <v>38.1</v>
      </c>
      <c r="L255" s="223">
        <f t="shared" si="28"/>
        <v>3.4535778549208933</v>
      </c>
      <c r="M255" s="223"/>
      <c r="N255" s="223"/>
      <c r="O255" s="223"/>
      <c r="P255" s="223"/>
      <c r="Q255" s="223"/>
      <c r="R255" s="223"/>
      <c r="S255" s="173">
        <v>292.60000000000002</v>
      </c>
      <c r="T255" s="224">
        <v>57.59</v>
      </c>
    </row>
    <row r="256" spans="1:20" x14ac:dyDescent="0.25">
      <c r="A256" s="222" t="str">
        <f t="shared" si="29"/>
        <v>CIRC  101.6*5</v>
      </c>
      <c r="B256" s="174">
        <f t="shared" si="24"/>
        <v>11.91150562571838</v>
      </c>
      <c r="C256" s="173">
        <v>101.6</v>
      </c>
      <c r="D256" s="173">
        <v>5</v>
      </c>
      <c r="E256" s="173"/>
      <c r="F256" s="173"/>
      <c r="G256" s="173"/>
      <c r="H256" s="174">
        <f t="shared" si="25"/>
        <v>15.1738925168387</v>
      </c>
      <c r="I256" s="174">
        <f t="shared" si="26"/>
        <v>177.46929470919042</v>
      </c>
      <c r="J256" s="174">
        <f t="shared" si="27"/>
        <v>34.934900533305203</v>
      </c>
      <c r="K256" s="190">
        <v>46.7</v>
      </c>
      <c r="L256" s="223">
        <f t="shared" si="28"/>
        <v>3.4198976592874826</v>
      </c>
      <c r="M256" s="223"/>
      <c r="N256" s="223"/>
      <c r="O256" s="223"/>
      <c r="P256" s="223"/>
      <c r="Q256" s="223"/>
      <c r="R256" s="223"/>
      <c r="S256" s="173">
        <v>354.90000000000003</v>
      </c>
      <c r="T256" s="224">
        <v>69.87</v>
      </c>
    </row>
    <row r="257" spans="1:20" x14ac:dyDescent="0.25">
      <c r="A257" s="222" t="str">
        <f t="shared" si="29"/>
        <v>CIRC  101.6*6.3</v>
      </c>
      <c r="B257" s="174">
        <f t="shared" si="24"/>
        <v>14.806519384316889</v>
      </c>
      <c r="C257" s="173">
        <v>101.6</v>
      </c>
      <c r="D257" s="173">
        <v>6.3</v>
      </c>
      <c r="E257" s="173"/>
      <c r="F257" s="173"/>
      <c r="G257" s="173"/>
      <c r="H257" s="174">
        <f t="shared" si="25"/>
        <v>18.861808132887756</v>
      </c>
      <c r="I257" s="174">
        <f t="shared" si="26"/>
        <v>215.06658023801609</v>
      </c>
      <c r="J257" s="174">
        <f t="shared" si="27"/>
        <v>42.335940991735448</v>
      </c>
      <c r="K257" s="190">
        <v>57.3</v>
      </c>
      <c r="L257" s="223">
        <f t="shared" si="28"/>
        <v>3.3767180812143613</v>
      </c>
      <c r="M257" s="223"/>
      <c r="N257" s="223"/>
      <c r="O257" s="223"/>
      <c r="P257" s="223"/>
      <c r="Q257" s="223"/>
      <c r="R257" s="223"/>
      <c r="S257" s="173">
        <v>430.1</v>
      </c>
      <c r="T257" s="224">
        <v>84.67</v>
      </c>
    </row>
    <row r="258" spans="1:20" x14ac:dyDescent="0.25">
      <c r="A258" s="222" t="str">
        <f t="shared" si="29"/>
        <v>CIRC  101.6*8</v>
      </c>
      <c r="B258" s="174">
        <f t="shared" si="24"/>
        <v>18.466532945213096</v>
      </c>
      <c r="C258" s="173">
        <v>101.6</v>
      </c>
      <c r="D258" s="173">
        <v>8</v>
      </c>
      <c r="E258" s="173"/>
      <c r="F258" s="173"/>
      <c r="G258" s="173"/>
      <c r="H258" s="174">
        <f t="shared" si="25"/>
        <v>23.524245790080379</v>
      </c>
      <c r="I258" s="174">
        <f t="shared" si="26"/>
        <v>259.50066015953468</v>
      </c>
      <c r="J258" s="174">
        <f t="shared" si="27"/>
        <v>51.082807118018636</v>
      </c>
      <c r="K258" s="190">
        <v>70.3</v>
      </c>
      <c r="L258" s="223">
        <f t="shared" si="28"/>
        <v>3.3213250367887812</v>
      </c>
      <c r="M258" s="223"/>
      <c r="N258" s="223"/>
      <c r="O258" s="223"/>
      <c r="P258" s="223"/>
      <c r="Q258" s="223"/>
      <c r="R258" s="223"/>
      <c r="S258" s="173">
        <v>519</v>
      </c>
      <c r="T258" s="224">
        <v>102.2</v>
      </c>
    </row>
    <row r="259" spans="1:20" x14ac:dyDescent="0.25">
      <c r="A259" s="225" t="str">
        <f t="shared" si="29"/>
        <v>CIRC  101.6*10</v>
      </c>
      <c r="B259" s="180">
        <f t="shared" si="24"/>
        <v>22.589936134902764</v>
      </c>
      <c r="C259" s="179">
        <v>101.6</v>
      </c>
      <c r="D259" s="179">
        <v>10</v>
      </c>
      <c r="E259" s="179"/>
      <c r="F259" s="179"/>
      <c r="G259" s="179"/>
      <c r="H259" s="180">
        <f t="shared" si="25"/>
        <v>28.776988706882502</v>
      </c>
      <c r="I259" s="180">
        <f t="shared" si="26"/>
        <v>305.41593654388538</v>
      </c>
      <c r="J259" s="180">
        <f t="shared" si="27"/>
        <v>60.121247351158537</v>
      </c>
      <c r="K259" s="191">
        <v>84.2</v>
      </c>
      <c r="L259" s="226">
        <f t="shared" si="28"/>
        <v>3.2577906623968338</v>
      </c>
      <c r="M259" s="226"/>
      <c r="N259" s="226"/>
      <c r="O259" s="226"/>
      <c r="P259" s="226"/>
      <c r="Q259" s="226"/>
      <c r="R259" s="226"/>
      <c r="S259" s="179">
        <v>610.80000000000007</v>
      </c>
      <c r="T259" s="227">
        <v>120.2</v>
      </c>
    </row>
    <row r="260" spans="1:20" x14ac:dyDescent="0.25">
      <c r="A260" s="64" t="str">
        <f t="shared" si="29"/>
        <v>CIRC  114.3*3.2</v>
      </c>
      <c r="B260" s="163">
        <f t="shared" si="24"/>
        <v>8.7676573086033205</v>
      </c>
      <c r="C260" s="64">
        <v>114.3</v>
      </c>
      <c r="D260" s="64">
        <v>3.2</v>
      </c>
      <c r="E260" s="64"/>
      <c r="F260" s="64"/>
      <c r="G260" s="64"/>
      <c r="H260" s="163">
        <f t="shared" si="25"/>
        <v>11.168990202042446</v>
      </c>
      <c r="I260" s="187">
        <f t="shared" si="26"/>
        <v>172.4694525142765</v>
      </c>
      <c r="J260" s="188">
        <f t="shared" si="27"/>
        <v>30.178381892261854</v>
      </c>
      <c r="K260" s="188">
        <v>39.5</v>
      </c>
      <c r="L260" s="218">
        <f t="shared" si="28"/>
        <v>3.9296071686620273</v>
      </c>
      <c r="M260" s="218"/>
      <c r="N260" s="218"/>
      <c r="O260" s="218"/>
      <c r="P260" s="218"/>
      <c r="Q260" s="218"/>
      <c r="R260" s="218"/>
      <c r="S260" s="64">
        <v>344.90000000000003</v>
      </c>
      <c r="T260">
        <v>60.36</v>
      </c>
    </row>
    <row r="261" spans="1:20" x14ac:dyDescent="0.25">
      <c r="A261" s="64" t="str">
        <f t="shared" si="29"/>
        <v>CIRC  114.3*4</v>
      </c>
      <c r="B261" s="163">
        <f t="shared" si="24"/>
        <v>10.880654828295969</v>
      </c>
      <c r="C261" s="64">
        <v>114.3</v>
      </c>
      <c r="D261" s="64">
        <v>4</v>
      </c>
      <c r="E261" s="64"/>
      <c r="F261" s="64"/>
      <c r="G261" s="64"/>
      <c r="H261" s="163">
        <f t="shared" si="25"/>
        <v>13.860706787638176</v>
      </c>
      <c r="I261" s="187">
        <f t="shared" si="26"/>
        <v>211.06547193827393</v>
      </c>
      <c r="J261" s="188">
        <f t="shared" si="27"/>
        <v>36.931841109059306</v>
      </c>
      <c r="K261" s="188">
        <v>48.7</v>
      </c>
      <c r="L261" s="218">
        <f t="shared" si="28"/>
        <v>3.9022573595292251</v>
      </c>
      <c r="M261" s="218"/>
      <c r="N261" s="218"/>
      <c r="O261" s="218"/>
      <c r="P261" s="218"/>
      <c r="Q261" s="218"/>
      <c r="R261" s="218"/>
      <c r="S261" s="64">
        <v>422.1</v>
      </c>
      <c r="T261">
        <v>73.86</v>
      </c>
    </row>
    <row r="262" spans="1:20" x14ac:dyDescent="0.25">
      <c r="A262" s="64" t="str">
        <f t="shared" si="29"/>
        <v>CIRC  114.3*5</v>
      </c>
      <c r="B262" s="163">
        <f t="shared" si="24"/>
        <v>13.477511023716552</v>
      </c>
      <c r="C262" s="64">
        <v>114.3</v>
      </c>
      <c r="D262" s="64">
        <v>5</v>
      </c>
      <c r="E262" s="64"/>
      <c r="F262" s="64"/>
      <c r="G262" s="64"/>
      <c r="H262" s="163">
        <f t="shared" si="25"/>
        <v>17.168803851868219</v>
      </c>
      <c r="I262" s="187">
        <f t="shared" si="26"/>
        <v>256.92020453075236</v>
      </c>
      <c r="J262" s="188">
        <f t="shared" si="27"/>
        <v>44.955416365835937</v>
      </c>
      <c r="K262" s="188">
        <v>59.8</v>
      </c>
      <c r="L262" s="218">
        <f t="shared" si="28"/>
        <v>3.8683798288172273</v>
      </c>
      <c r="M262" s="218"/>
      <c r="N262" s="218"/>
      <c r="O262" s="218"/>
      <c r="P262" s="218"/>
      <c r="Q262" s="218"/>
      <c r="R262" s="218"/>
      <c r="S262" s="64">
        <v>513.80000000000007</v>
      </c>
      <c r="T262">
        <v>89.91</v>
      </c>
    </row>
    <row r="263" spans="1:20" x14ac:dyDescent="0.25">
      <c r="A263" s="64" t="str">
        <f t="shared" si="29"/>
        <v>CIRC  114.3*6.3</v>
      </c>
      <c r="B263" s="163">
        <f t="shared" si="24"/>
        <v>16.779686185794581</v>
      </c>
      <c r="C263" s="64">
        <v>114.3</v>
      </c>
      <c r="D263" s="64">
        <v>6.3</v>
      </c>
      <c r="E263" s="64"/>
      <c r="F263" s="64"/>
      <c r="G263" s="64"/>
      <c r="H263" s="163">
        <f t="shared" si="25"/>
        <v>21.375396415024944</v>
      </c>
      <c r="I263" s="187">
        <f t="shared" si="26"/>
        <v>312.71376658570404</v>
      </c>
      <c r="J263" s="188">
        <f t="shared" si="27"/>
        <v>54.718069393823981</v>
      </c>
      <c r="K263" s="188">
        <v>73.599999999999994</v>
      </c>
      <c r="L263" s="218">
        <f t="shared" si="28"/>
        <v>3.8248676447689007</v>
      </c>
      <c r="M263" s="218"/>
      <c r="N263" s="218"/>
      <c r="O263" s="218"/>
      <c r="P263" s="218"/>
      <c r="Q263" s="218"/>
      <c r="R263" s="218"/>
      <c r="S263" s="64">
        <v>625.40000000000009</v>
      </c>
      <c r="T263">
        <v>109.4</v>
      </c>
    </row>
    <row r="264" spans="1:20" x14ac:dyDescent="0.25">
      <c r="A264" s="64" t="str">
        <f t="shared" si="29"/>
        <v>CIRC  114.3*8</v>
      </c>
      <c r="B264" s="163">
        <f t="shared" si="24"/>
        <v>20.972141582010167</v>
      </c>
      <c r="C264" s="64">
        <v>114.3</v>
      </c>
      <c r="D264" s="64">
        <v>8</v>
      </c>
      <c r="E264" s="64"/>
      <c r="F264" s="64"/>
      <c r="G264" s="64"/>
      <c r="H264" s="163">
        <f t="shared" si="25"/>
        <v>26.716103926127602</v>
      </c>
      <c r="I264" s="187">
        <f t="shared" si="26"/>
        <v>379.49190378037127</v>
      </c>
      <c r="J264" s="188">
        <f t="shared" si="27"/>
        <v>66.402782813713259</v>
      </c>
      <c r="K264" s="188">
        <v>90.6</v>
      </c>
      <c r="L264" s="218">
        <f t="shared" si="28"/>
        <v>3.7689007017962153</v>
      </c>
      <c r="M264" s="218"/>
      <c r="N264" s="218"/>
      <c r="O264" s="218"/>
      <c r="P264" s="218"/>
      <c r="Q264" s="218"/>
      <c r="R264" s="218"/>
      <c r="S264" s="64">
        <v>759</v>
      </c>
      <c r="T264">
        <v>132.80000000000001</v>
      </c>
    </row>
    <row r="265" spans="1:20" x14ac:dyDescent="0.25">
      <c r="A265" s="64" t="str">
        <f t="shared" si="29"/>
        <v>CIRC  114.3*10</v>
      </c>
      <c r="B265" s="163">
        <f t="shared" si="24"/>
        <v>25.721946930899112</v>
      </c>
      <c r="C265" s="64">
        <v>114.3</v>
      </c>
      <c r="D265" s="64">
        <v>10</v>
      </c>
      <c r="E265" s="64"/>
      <c r="F265" s="64"/>
      <c r="G265" s="64"/>
      <c r="H265" s="163">
        <f t="shared" si="25"/>
        <v>32.76681137694154</v>
      </c>
      <c r="I265" s="187">
        <f t="shared" si="26"/>
        <v>449.66263879204871</v>
      </c>
      <c r="J265" s="188">
        <f t="shared" si="27"/>
        <v>78.68112664777756</v>
      </c>
      <c r="K265" s="188">
        <v>109</v>
      </c>
      <c r="L265" s="218">
        <f t="shared" si="28"/>
        <v>3.7044719596725253</v>
      </c>
      <c r="M265" s="218"/>
      <c r="N265" s="218"/>
      <c r="O265" s="218"/>
      <c r="P265" s="218"/>
      <c r="Q265" s="218"/>
      <c r="R265" s="218"/>
      <c r="S265" s="64">
        <v>899.30000000000007</v>
      </c>
      <c r="T265">
        <v>157.4</v>
      </c>
    </row>
    <row r="266" spans="1:20" x14ac:dyDescent="0.25">
      <c r="A266" s="219" t="str">
        <f t="shared" si="29"/>
        <v>CIRC  139.7*4</v>
      </c>
      <c r="B266" s="168">
        <f t="shared" si="24"/>
        <v>13.386263465093041</v>
      </c>
      <c r="C266" s="167">
        <v>139.69999999999999</v>
      </c>
      <c r="D266" s="167">
        <v>4</v>
      </c>
      <c r="E266" s="167"/>
      <c r="F266" s="167"/>
      <c r="G266" s="167"/>
      <c r="H266" s="168">
        <f t="shared" si="25"/>
        <v>17.052564923685402</v>
      </c>
      <c r="I266" s="184">
        <f t="shared" si="26"/>
        <v>392.85890912541822</v>
      </c>
      <c r="J266" s="189">
        <f t="shared" si="27"/>
        <v>56.243222494691231</v>
      </c>
      <c r="K266" s="189">
        <v>73.7</v>
      </c>
      <c r="L266" s="220">
        <f t="shared" si="28"/>
        <v>4.7998033813897001</v>
      </c>
      <c r="M266" s="220"/>
      <c r="N266" s="220"/>
      <c r="O266" s="220"/>
      <c r="P266" s="220"/>
      <c r="Q266" s="220"/>
      <c r="R266" s="220"/>
      <c r="S266" s="167">
        <v>785.7</v>
      </c>
      <c r="T266" s="221">
        <v>112.5</v>
      </c>
    </row>
    <row r="267" spans="1:20" x14ac:dyDescent="0.25">
      <c r="A267" s="222" t="str">
        <f t="shared" si="29"/>
        <v>CIRC  139.7*5</v>
      </c>
      <c r="B267" s="174">
        <f t="shared" si="24"/>
        <v>16.609521819712896</v>
      </c>
      <c r="C267" s="173">
        <v>139.69999999999999</v>
      </c>
      <c r="D267" s="173">
        <v>5</v>
      </c>
      <c r="E267" s="173"/>
      <c r="F267" s="173"/>
      <c r="G267" s="173"/>
      <c r="H267" s="174">
        <f t="shared" si="25"/>
        <v>21.158626521927257</v>
      </c>
      <c r="I267" s="185">
        <f t="shared" si="26"/>
        <v>480.54123694160398</v>
      </c>
      <c r="J267" s="190">
        <f t="shared" si="27"/>
        <v>68.796168495576808</v>
      </c>
      <c r="K267" s="190">
        <v>90.8</v>
      </c>
      <c r="L267" s="223">
        <f t="shared" si="28"/>
        <v>4.7656439753720576</v>
      </c>
      <c r="M267" s="223"/>
      <c r="N267" s="223"/>
      <c r="O267" s="223"/>
      <c r="P267" s="223"/>
      <c r="Q267" s="223"/>
      <c r="R267" s="223"/>
      <c r="S267" s="173">
        <v>961.1</v>
      </c>
      <c r="T267" s="224">
        <v>137.6</v>
      </c>
    </row>
    <row r="268" spans="1:20" x14ac:dyDescent="0.25">
      <c r="A268" s="222" t="str">
        <f t="shared" si="29"/>
        <v>CIRC  139.7*6.3</v>
      </c>
      <c r="B268" s="174">
        <f t="shared" si="24"/>
        <v>20.726019788749973</v>
      </c>
      <c r="C268" s="173">
        <v>139.69999999999999</v>
      </c>
      <c r="D268" s="173">
        <v>6.3</v>
      </c>
      <c r="E268" s="173"/>
      <c r="F268" s="173"/>
      <c r="G268" s="173"/>
      <c r="H268" s="174">
        <f t="shared" si="25"/>
        <v>26.402572979299325</v>
      </c>
      <c r="I268" s="185">
        <f t="shared" si="26"/>
        <v>588.62061216131019</v>
      </c>
      <c r="J268" s="190">
        <f t="shared" si="27"/>
        <v>84.269235814074477</v>
      </c>
      <c r="K268" s="190">
        <v>112</v>
      </c>
      <c r="L268" s="223">
        <f t="shared" si="28"/>
        <v>4.7216588716255217</v>
      </c>
      <c r="M268" s="223"/>
      <c r="N268" s="223"/>
      <c r="O268" s="223"/>
      <c r="P268" s="223"/>
      <c r="Q268" s="223"/>
      <c r="R268" s="223"/>
      <c r="S268" s="173">
        <v>1177</v>
      </c>
      <c r="T268" s="224">
        <v>168.5</v>
      </c>
    </row>
    <row r="269" spans="1:20" x14ac:dyDescent="0.25">
      <c r="A269" s="222" t="str">
        <f t="shared" si="29"/>
        <v>CIRC  139.7*8</v>
      </c>
      <c r="B269" s="174">
        <f t="shared" si="24"/>
        <v>25.983358855604315</v>
      </c>
      <c r="C269" s="173">
        <v>139.69999999999999</v>
      </c>
      <c r="D269" s="173">
        <v>8</v>
      </c>
      <c r="E269" s="173"/>
      <c r="F269" s="173"/>
      <c r="G269" s="173"/>
      <c r="H269" s="174">
        <f t="shared" si="25"/>
        <v>33.099820198222055</v>
      </c>
      <c r="I269" s="185">
        <f t="shared" si="26"/>
        <v>720.28891106328228</v>
      </c>
      <c r="J269" s="190">
        <f t="shared" si="27"/>
        <v>103.11938597899533</v>
      </c>
      <c r="K269" s="190">
        <v>139</v>
      </c>
      <c r="L269" s="223">
        <f t="shared" si="28"/>
        <v>4.6648807594621315</v>
      </c>
      <c r="M269" s="223"/>
      <c r="N269" s="223"/>
      <c r="O269" s="223"/>
      <c r="P269" s="223"/>
      <c r="Q269" s="223"/>
      <c r="R269" s="223"/>
      <c r="S269" s="173">
        <v>1441</v>
      </c>
      <c r="T269" s="224">
        <v>206.2</v>
      </c>
    </row>
    <row r="270" spans="1:20" x14ac:dyDescent="0.25">
      <c r="A270" s="222" t="str">
        <f t="shared" si="29"/>
        <v>CIRC  139.7*10</v>
      </c>
      <c r="B270" s="174">
        <f t="shared" si="24"/>
        <v>31.985968522891806</v>
      </c>
      <c r="C270" s="173">
        <v>139.69999999999999</v>
      </c>
      <c r="D270" s="173">
        <v>10</v>
      </c>
      <c r="E270" s="173"/>
      <c r="F270" s="173"/>
      <c r="G270" s="173"/>
      <c r="H270" s="174">
        <f t="shared" si="25"/>
        <v>40.746456717059623</v>
      </c>
      <c r="I270" s="185">
        <f t="shared" si="26"/>
        <v>861.894009683984</v>
      </c>
      <c r="J270" s="190">
        <f t="shared" si="27"/>
        <v>123.39212737064912</v>
      </c>
      <c r="K270" s="190">
        <v>169</v>
      </c>
      <c r="L270" s="223">
        <f t="shared" si="28"/>
        <v>4.5991969407712903</v>
      </c>
      <c r="M270" s="223"/>
      <c r="N270" s="223"/>
      <c r="O270" s="223"/>
      <c r="P270" s="223"/>
      <c r="Q270" s="223"/>
      <c r="R270" s="223"/>
      <c r="S270" s="173">
        <v>1724</v>
      </c>
      <c r="T270" s="224">
        <v>246.8</v>
      </c>
    </row>
    <row r="271" spans="1:20" x14ac:dyDescent="0.25">
      <c r="A271" s="225" t="str">
        <f t="shared" si="29"/>
        <v>CIRC  139.7*12.5</v>
      </c>
      <c r="B271" s="180">
        <f t="shared" si="24"/>
        <v>39.211788705781004</v>
      </c>
      <c r="C271" s="179">
        <v>139.69999999999999</v>
      </c>
      <c r="D271" s="179">
        <v>12.5</v>
      </c>
      <c r="E271" s="179"/>
      <c r="F271" s="179"/>
      <c r="G271" s="179"/>
      <c r="H271" s="180">
        <f t="shared" si="25"/>
        <v>49.951323192077709</v>
      </c>
      <c r="I271" s="186">
        <f t="shared" si="26"/>
        <v>1020.0116391060858</v>
      </c>
      <c r="J271" s="191">
        <f t="shared" si="27"/>
        <v>146.02886744539526</v>
      </c>
      <c r="K271" s="191">
        <v>203</v>
      </c>
      <c r="L271" s="226">
        <f t="shared" si="28"/>
        <v>4.518861858919788</v>
      </c>
      <c r="M271" s="226"/>
      <c r="N271" s="226"/>
      <c r="O271" s="226"/>
      <c r="P271" s="226"/>
      <c r="Q271" s="226"/>
      <c r="R271" s="226"/>
      <c r="S271" s="179">
        <v>2040</v>
      </c>
      <c r="T271" s="227">
        <v>292.10000000000002</v>
      </c>
    </row>
    <row r="272" spans="1:20" x14ac:dyDescent="0.25">
      <c r="A272" s="64" t="str">
        <f t="shared" si="29"/>
        <v>CIRC  168.3*4</v>
      </c>
      <c r="B272" s="163">
        <f t="shared" si="24"/>
        <v>16.20753933172281</v>
      </c>
      <c r="C272" s="64">
        <v>168.3</v>
      </c>
      <c r="D272" s="64">
        <v>4</v>
      </c>
      <c r="E272" s="64"/>
      <c r="F272" s="64"/>
      <c r="G272" s="64"/>
      <c r="H272" s="163">
        <f t="shared" si="25"/>
        <v>20.646546919392112</v>
      </c>
      <c r="I272" s="187">
        <f t="shared" si="26"/>
        <v>697.09168637596451</v>
      </c>
      <c r="J272" s="188">
        <f t="shared" si="27"/>
        <v>82.839178416632734</v>
      </c>
      <c r="K272" s="228">
        <v>108</v>
      </c>
      <c r="L272" s="218">
        <f t="shared" si="28"/>
        <v>5.8106034540312601</v>
      </c>
      <c r="M272" s="218"/>
      <c r="N272" s="218"/>
      <c r="O272" s="218"/>
      <c r="P272" s="218"/>
      <c r="Q272" s="218"/>
      <c r="R272" s="218"/>
      <c r="S272" s="64">
        <v>1394</v>
      </c>
      <c r="T272">
        <v>165.7</v>
      </c>
    </row>
    <row r="273" spans="1:20" x14ac:dyDescent="0.25">
      <c r="A273" s="64" t="str">
        <f t="shared" si="29"/>
        <v>CIRC  168.3*5</v>
      </c>
      <c r="B273" s="163">
        <f t="shared" si="24"/>
        <v>20.136116653000119</v>
      </c>
      <c r="C273" s="64">
        <v>168.3</v>
      </c>
      <c r="D273" s="64">
        <v>5</v>
      </c>
      <c r="E273" s="64"/>
      <c r="F273" s="64"/>
      <c r="G273" s="64"/>
      <c r="H273" s="163">
        <f t="shared" si="25"/>
        <v>25.651104016560662</v>
      </c>
      <c r="I273" s="187">
        <f t="shared" si="26"/>
        <v>855.84555848574439</v>
      </c>
      <c r="J273" s="188">
        <f t="shared" si="27"/>
        <v>101.70476036669569</v>
      </c>
      <c r="K273" s="228">
        <v>133</v>
      </c>
      <c r="L273" s="218">
        <f t="shared" si="28"/>
        <v>5.7762325524514688</v>
      </c>
      <c r="M273" s="218"/>
      <c r="N273" s="218"/>
      <c r="O273" s="218"/>
      <c r="P273" s="218"/>
      <c r="Q273" s="218"/>
      <c r="R273" s="218"/>
      <c r="S273" s="64">
        <v>1712</v>
      </c>
      <c r="T273">
        <v>203.4</v>
      </c>
    </row>
    <row r="274" spans="1:20" x14ac:dyDescent="0.25">
      <c r="A274" s="64" t="str">
        <f t="shared" si="29"/>
        <v>CIRC  168.3*6.3</v>
      </c>
      <c r="B274" s="163">
        <f t="shared" si="24"/>
        <v>25.169529278691872</v>
      </c>
      <c r="C274" s="64">
        <v>168.3</v>
      </c>
      <c r="D274" s="64">
        <v>6.3</v>
      </c>
      <c r="E274" s="64"/>
      <c r="F274" s="64"/>
      <c r="G274" s="64"/>
      <c r="H274" s="163">
        <f t="shared" si="25"/>
        <v>32.063094622537413</v>
      </c>
      <c r="I274" s="187">
        <f t="shared" si="26"/>
        <v>1053.4205493743011</v>
      </c>
      <c r="J274" s="188">
        <f t="shared" si="27"/>
        <v>125.1836659981344</v>
      </c>
      <c r="K274" s="228">
        <v>165</v>
      </c>
      <c r="L274" s="218">
        <f t="shared" si="28"/>
        <v>5.7318943203796096</v>
      </c>
      <c r="M274" s="218"/>
      <c r="N274" s="218"/>
      <c r="O274" s="218"/>
      <c r="P274" s="218"/>
      <c r="Q274" s="218"/>
      <c r="R274" s="218"/>
      <c r="S274" s="64">
        <v>2107</v>
      </c>
      <c r="T274">
        <v>250.4</v>
      </c>
    </row>
    <row r="275" spans="1:20" x14ac:dyDescent="0.25">
      <c r="A275" s="64" t="str">
        <f t="shared" si="29"/>
        <v>CIRC  168.3*8</v>
      </c>
      <c r="B275" s="163">
        <f t="shared" si="24"/>
        <v>31.625910588863864</v>
      </c>
      <c r="C275" s="64">
        <v>168.3</v>
      </c>
      <c r="D275" s="64">
        <v>8</v>
      </c>
      <c r="E275" s="64"/>
      <c r="F275" s="64"/>
      <c r="G275" s="64"/>
      <c r="H275" s="163">
        <f t="shared" si="25"/>
        <v>40.287784189635495</v>
      </c>
      <c r="I275" s="187">
        <f t="shared" si="26"/>
        <v>1297.271183281985</v>
      </c>
      <c r="J275" s="188">
        <f t="shared" si="27"/>
        <v>154.16175677741947</v>
      </c>
      <c r="K275" s="228">
        <v>206</v>
      </c>
      <c r="L275" s="218">
        <f t="shared" si="28"/>
        <v>5.6745142963957731</v>
      </c>
      <c r="M275" s="218"/>
      <c r="N275" s="218"/>
      <c r="O275" s="218"/>
      <c r="P275" s="218"/>
      <c r="Q275" s="218"/>
      <c r="R275" s="218"/>
      <c r="S275" s="64">
        <v>2595</v>
      </c>
      <c r="T275">
        <v>308.3</v>
      </c>
    </row>
    <row r="276" spans="1:20" x14ac:dyDescent="0.25">
      <c r="A276" s="64" t="str">
        <f t="shared" si="29"/>
        <v>CIRC  168.3*10</v>
      </c>
      <c r="B276" s="163">
        <f t="shared" si="24"/>
        <v>39.039158189466249</v>
      </c>
      <c r="C276" s="64">
        <v>168.3</v>
      </c>
      <c r="D276" s="64">
        <v>10</v>
      </c>
      <c r="E276" s="64"/>
      <c r="F276" s="64"/>
      <c r="G276" s="64"/>
      <c r="H276" s="163">
        <f t="shared" si="25"/>
        <v>49.731411706326426</v>
      </c>
      <c r="I276" s="187">
        <f t="shared" si="26"/>
        <v>1563.9838958302241</v>
      </c>
      <c r="J276" s="188">
        <f t="shared" si="27"/>
        <v>185.85667211292025</v>
      </c>
      <c r="K276" s="228">
        <v>251</v>
      </c>
      <c r="L276" s="218">
        <f t="shared" si="28"/>
        <v>5.6079062492163692</v>
      </c>
      <c r="M276" s="218"/>
      <c r="N276" s="218"/>
      <c r="O276" s="218"/>
      <c r="P276" s="218"/>
      <c r="Q276" s="218"/>
      <c r="R276" s="218"/>
      <c r="S276" s="64">
        <v>3128</v>
      </c>
      <c r="T276">
        <v>371.7</v>
      </c>
    </row>
    <row r="277" spans="1:20" x14ac:dyDescent="0.25">
      <c r="A277" s="219" t="str">
        <f t="shared" si="29"/>
        <v>CIRC  177.8*5</v>
      </c>
      <c r="B277" s="168">
        <f t="shared" si="24"/>
        <v>21.307538013707415</v>
      </c>
      <c r="C277" s="167">
        <v>177.8</v>
      </c>
      <c r="D277" s="167">
        <v>5</v>
      </c>
      <c r="E277" s="167"/>
      <c r="F277" s="167"/>
      <c r="G277" s="167"/>
      <c r="H277" s="168">
        <f t="shared" si="25"/>
        <v>27.143360527015812</v>
      </c>
      <c r="I277" s="184">
        <f t="shared" si="26"/>
        <v>1013.9687330152292</v>
      </c>
      <c r="J277" s="189">
        <f t="shared" si="27"/>
        <v>114.05722531104939</v>
      </c>
      <c r="K277" s="229">
        <v>149</v>
      </c>
      <c r="L277" s="220">
        <f t="shared" si="28"/>
        <v>6.1119595875627324</v>
      </c>
      <c r="M277" s="220"/>
      <c r="N277" s="220"/>
      <c r="O277" s="220"/>
      <c r="P277" s="220"/>
      <c r="Q277" s="220"/>
      <c r="R277" s="220"/>
      <c r="S277" s="167">
        <v>2028</v>
      </c>
      <c r="T277" s="221">
        <v>228.1</v>
      </c>
    </row>
    <row r="278" spans="1:20" x14ac:dyDescent="0.25">
      <c r="A278" s="222" t="str">
        <f t="shared" si="29"/>
        <v>CIRC  177.8*6.3</v>
      </c>
      <c r="B278" s="174">
        <f t="shared" si="24"/>
        <v>26.645520193183067</v>
      </c>
      <c r="C278" s="173">
        <v>177.8</v>
      </c>
      <c r="D278" s="173">
        <v>6.3</v>
      </c>
      <c r="E278" s="173"/>
      <c r="F278" s="173"/>
      <c r="G278" s="173"/>
      <c r="H278" s="174">
        <f t="shared" si="25"/>
        <v>33.943337825710913</v>
      </c>
      <c r="I278" s="185">
        <f t="shared" si="26"/>
        <v>1249.6214363032107</v>
      </c>
      <c r="J278" s="190">
        <f t="shared" si="27"/>
        <v>140.56484097898883</v>
      </c>
      <c r="K278" s="230">
        <v>185</v>
      </c>
      <c r="L278" s="223">
        <f t="shared" si="28"/>
        <v>6.0675303872333437</v>
      </c>
      <c r="M278" s="223"/>
      <c r="N278" s="223"/>
      <c r="O278" s="223"/>
      <c r="P278" s="223"/>
      <c r="Q278" s="223"/>
      <c r="R278" s="223"/>
      <c r="S278" s="173">
        <v>2499</v>
      </c>
      <c r="T278" s="224">
        <v>281.10000000000002</v>
      </c>
    </row>
    <row r="279" spans="1:20" x14ac:dyDescent="0.25">
      <c r="A279" s="222" t="str">
        <f t="shared" si="29"/>
        <v>CIRC  177.8*8</v>
      </c>
      <c r="B279" s="174">
        <f t="shared" si="24"/>
        <v>33.500184765995527</v>
      </c>
      <c r="C279" s="173">
        <v>177.8</v>
      </c>
      <c r="D279" s="173">
        <v>8</v>
      </c>
      <c r="E279" s="173"/>
      <c r="F279" s="173"/>
      <c r="G279" s="173"/>
      <c r="H279" s="174">
        <f t="shared" si="25"/>
        <v>42.675394606363731</v>
      </c>
      <c r="I279" s="185">
        <f t="shared" si="26"/>
        <v>1541.4373869515891</v>
      </c>
      <c r="J279" s="190">
        <f t="shared" si="27"/>
        <v>173.39003227801902</v>
      </c>
      <c r="K279" s="230">
        <v>231</v>
      </c>
      <c r="L279" s="223">
        <f t="shared" si="28"/>
        <v>6.0099958402647848</v>
      </c>
      <c r="M279" s="223"/>
      <c r="N279" s="223"/>
      <c r="O279" s="223"/>
      <c r="P279" s="223"/>
      <c r="Q279" s="223"/>
      <c r="R279" s="223"/>
      <c r="S279" s="173">
        <v>3083</v>
      </c>
      <c r="T279" s="224">
        <v>346.8</v>
      </c>
    </row>
    <row r="280" spans="1:20" x14ac:dyDescent="0.25">
      <c r="A280" s="222" t="str">
        <f t="shared" si="29"/>
        <v>CIRC  177.8*10</v>
      </c>
      <c r="B280" s="174">
        <f t="shared" si="24"/>
        <v>41.382000910880834</v>
      </c>
      <c r="C280" s="173">
        <v>177.8</v>
      </c>
      <c r="D280" s="173">
        <v>10</v>
      </c>
      <c r="E280" s="173"/>
      <c r="F280" s="173"/>
      <c r="G280" s="173"/>
      <c r="H280" s="174">
        <f t="shared" si="25"/>
        <v>52.715924727236725</v>
      </c>
      <c r="I280" s="185">
        <f t="shared" si="26"/>
        <v>1861.9818130869653</v>
      </c>
      <c r="J280" s="190">
        <f t="shared" si="27"/>
        <v>209.44677312564289</v>
      </c>
      <c r="K280" s="230">
        <v>282</v>
      </c>
      <c r="L280" s="223">
        <f t="shared" si="28"/>
        <v>5.9431515208683692</v>
      </c>
      <c r="M280" s="223"/>
      <c r="N280" s="223"/>
      <c r="O280" s="223"/>
      <c r="P280" s="223"/>
      <c r="Q280" s="223"/>
      <c r="R280" s="223"/>
      <c r="S280" s="173">
        <v>3724</v>
      </c>
      <c r="T280" s="224">
        <v>418.9</v>
      </c>
    </row>
    <row r="281" spans="1:20" x14ac:dyDescent="0.25">
      <c r="A281" s="225" t="str">
        <f t="shared" si="29"/>
        <v>CIRC  177.8*12.5</v>
      </c>
      <c r="B281" s="180">
        <f t="shared" si="24"/>
        <v>50.956829190767301</v>
      </c>
      <c r="C281" s="179">
        <v>177.8</v>
      </c>
      <c r="D281" s="179">
        <v>12.5</v>
      </c>
      <c r="E281" s="179"/>
      <c r="F281" s="179"/>
      <c r="G281" s="179"/>
      <c r="H281" s="180">
        <f t="shared" si="25"/>
        <v>64.913158204799103</v>
      </c>
      <c r="I281" s="186">
        <f t="shared" si="26"/>
        <v>2229.7945724270867</v>
      </c>
      <c r="J281" s="191">
        <f t="shared" si="27"/>
        <v>250.82053683094335</v>
      </c>
      <c r="K281" s="231">
        <v>342</v>
      </c>
      <c r="L281" s="226">
        <f t="shared" si="28"/>
        <v>5.8609235620335474</v>
      </c>
      <c r="M281" s="226"/>
      <c r="N281" s="226"/>
      <c r="O281" s="226"/>
      <c r="P281" s="226"/>
      <c r="Q281" s="226"/>
      <c r="R281" s="226"/>
      <c r="S281" s="179">
        <v>4460</v>
      </c>
      <c r="T281" s="227">
        <v>501.6</v>
      </c>
    </row>
    <row r="282" spans="1:20" x14ac:dyDescent="0.25">
      <c r="A282" s="64" t="str">
        <f t="shared" si="29"/>
        <v>CIRC  193.7*5</v>
      </c>
      <c r="B282" s="163">
        <f t="shared" si="24"/>
        <v>23.268127448996463</v>
      </c>
      <c r="C282" s="64">
        <v>193.7</v>
      </c>
      <c r="D282" s="64">
        <v>5</v>
      </c>
      <c r="E282" s="64"/>
      <c r="F282" s="64"/>
      <c r="G282" s="64"/>
      <c r="H282" s="163">
        <f t="shared" si="25"/>
        <v>29.640926686619697</v>
      </c>
      <c r="I282" s="187">
        <f t="shared" si="26"/>
        <v>1320.232439921308</v>
      </c>
      <c r="J282" s="187">
        <f t="shared" si="27"/>
        <v>136.31723695625277</v>
      </c>
      <c r="K282" s="228">
        <v>178</v>
      </c>
      <c r="L282" s="218">
        <f t="shared" si="28"/>
        <v>6.6738941031454777</v>
      </c>
      <c r="M282" s="218"/>
      <c r="N282" s="218"/>
      <c r="O282" s="218"/>
      <c r="P282" s="218"/>
      <c r="Q282" s="218"/>
      <c r="R282" s="218"/>
      <c r="S282" s="64">
        <v>2640</v>
      </c>
      <c r="T282">
        <v>272.60000000000002</v>
      </c>
    </row>
    <row r="283" spans="1:20" x14ac:dyDescent="0.25">
      <c r="A283" s="64" t="str">
        <f t="shared" si="29"/>
        <v>CIRC  193.7*6.3</v>
      </c>
      <c r="B283" s="163">
        <f t="shared" si="24"/>
        <v>29.115862881647249</v>
      </c>
      <c r="C283" s="64">
        <v>193.7</v>
      </c>
      <c r="D283" s="64">
        <v>6.3</v>
      </c>
      <c r="E283" s="64"/>
      <c r="F283" s="64"/>
      <c r="G283" s="64"/>
      <c r="H283" s="163">
        <f t="shared" si="25"/>
        <v>37.090271186811783</v>
      </c>
      <c r="I283" s="187">
        <f t="shared" si="26"/>
        <v>1630.0455562599525</v>
      </c>
      <c r="J283" s="187">
        <f t="shared" si="27"/>
        <v>168.3062009561128</v>
      </c>
      <c r="K283" s="228">
        <v>221</v>
      </c>
      <c r="L283" s="218">
        <f t="shared" si="28"/>
        <v>6.629333488368192</v>
      </c>
      <c r="M283" s="218"/>
      <c r="N283" s="218"/>
      <c r="O283" s="218"/>
      <c r="P283" s="218"/>
      <c r="Q283" s="218"/>
      <c r="R283" s="218"/>
      <c r="S283" s="64">
        <v>3260</v>
      </c>
      <c r="T283">
        <v>336.6</v>
      </c>
    </row>
    <row r="284" spans="1:20" x14ac:dyDescent="0.25">
      <c r="A284" s="64" t="str">
        <f t="shared" si="29"/>
        <v>CIRC  193.7*8</v>
      </c>
      <c r="B284" s="163">
        <f t="shared" si="24"/>
        <v>36.637127862458009</v>
      </c>
      <c r="C284" s="64">
        <v>193.7</v>
      </c>
      <c r="D284" s="64">
        <v>8</v>
      </c>
      <c r="E284" s="64"/>
      <c r="F284" s="64"/>
      <c r="G284" s="64"/>
      <c r="H284" s="163">
        <f t="shared" si="25"/>
        <v>46.671500461729948</v>
      </c>
      <c r="I284" s="187">
        <f t="shared" si="26"/>
        <v>2015.5373337338401</v>
      </c>
      <c r="J284" s="187">
        <f t="shared" si="27"/>
        <v>208.10917230086113</v>
      </c>
      <c r="K284" s="228">
        <v>276</v>
      </c>
      <c r="L284" s="218">
        <f t="shared" si="28"/>
        <v>6.5715761047103447</v>
      </c>
      <c r="M284" s="218"/>
      <c r="N284" s="218"/>
      <c r="O284" s="218"/>
      <c r="P284" s="218"/>
      <c r="Q284" s="218"/>
      <c r="R284" s="218"/>
      <c r="S284" s="64">
        <v>4031</v>
      </c>
      <c r="T284">
        <v>416.2</v>
      </c>
    </row>
    <row r="285" spans="1:20" x14ac:dyDescent="0.25">
      <c r="A285" s="64" t="str">
        <f t="shared" si="29"/>
        <v>CIRC  193.7*10</v>
      </c>
      <c r="B285" s="163">
        <f t="shared" si="24"/>
        <v>45.303179781458937</v>
      </c>
      <c r="C285" s="64">
        <v>193.7</v>
      </c>
      <c r="D285" s="64">
        <v>10</v>
      </c>
      <c r="E285" s="64"/>
      <c r="F285" s="64"/>
      <c r="G285" s="64"/>
      <c r="H285" s="163">
        <f t="shared" si="25"/>
        <v>57.711057046444502</v>
      </c>
      <c r="I285" s="187">
        <f t="shared" si="26"/>
        <v>2441.5881829578443</v>
      </c>
      <c r="J285" s="187">
        <f t="shared" si="27"/>
        <v>252.09996726461995</v>
      </c>
      <c r="K285" s="228">
        <v>338</v>
      </c>
      <c r="L285" s="218">
        <f t="shared" si="28"/>
        <v>6.504391785555355</v>
      </c>
      <c r="M285" s="218"/>
      <c r="N285" s="218"/>
      <c r="O285" s="218"/>
      <c r="P285" s="218"/>
      <c r="Q285" s="218"/>
      <c r="R285" s="218"/>
      <c r="S285" s="64">
        <v>4883</v>
      </c>
      <c r="T285">
        <v>504.2</v>
      </c>
    </row>
    <row r="286" spans="1:20" x14ac:dyDescent="0.25">
      <c r="A286" s="64" t="str">
        <f t="shared" si="29"/>
        <v>CIRC  193.7*12.5</v>
      </c>
      <c r="B286" s="163">
        <f t="shared" si="24"/>
        <v>55.858302778989916</v>
      </c>
      <c r="C286" s="64">
        <v>193.7</v>
      </c>
      <c r="D286" s="64">
        <v>12.5</v>
      </c>
      <c r="E286" s="64"/>
      <c r="F286" s="64"/>
      <c r="G286" s="64"/>
      <c r="H286" s="163">
        <f t="shared" si="25"/>
        <v>71.157073603808811</v>
      </c>
      <c r="I286" s="187">
        <f t="shared" si="26"/>
        <v>2934.3122493710439</v>
      </c>
      <c r="J286" s="187">
        <f t="shared" si="27"/>
        <v>302.97493540227606</v>
      </c>
      <c r="K286" s="228">
        <v>411</v>
      </c>
      <c r="L286" s="218">
        <f t="shared" si="28"/>
        <v>6.4216129204429624</v>
      </c>
      <c r="M286" s="218"/>
      <c r="N286" s="218"/>
      <c r="O286" s="218"/>
      <c r="P286" s="218"/>
      <c r="Q286" s="218"/>
      <c r="R286" s="218"/>
      <c r="S286" s="64">
        <v>5869</v>
      </c>
      <c r="T286">
        <v>605.9</v>
      </c>
    </row>
    <row r="287" spans="1:20" x14ac:dyDescent="0.25">
      <c r="A287" s="64" t="str">
        <f t="shared" si="29"/>
        <v>CIRC  193.7*14.2</v>
      </c>
      <c r="B287" s="163">
        <f t="shared" si="24"/>
        <v>62.859703290669955</v>
      </c>
      <c r="C287" s="64">
        <v>193.7</v>
      </c>
      <c r="D287" s="64">
        <v>14.2</v>
      </c>
      <c r="E287" s="64"/>
      <c r="F287" s="64"/>
      <c r="G287" s="64"/>
      <c r="H287" s="163">
        <f t="shared" si="25"/>
        <v>80.07605514735026</v>
      </c>
      <c r="I287" s="187">
        <f t="shared" si="26"/>
        <v>3245.2713145266539</v>
      </c>
      <c r="J287" s="187">
        <f t="shared" si="27"/>
        <v>335.08222142763589</v>
      </c>
      <c r="K287" s="228">
        <v>458</v>
      </c>
      <c r="L287" s="218">
        <f t="shared" si="28"/>
        <v>6.3661104687242105</v>
      </c>
      <c r="M287" s="218"/>
      <c r="N287" s="218"/>
      <c r="O287" s="218"/>
      <c r="P287" s="218"/>
      <c r="Q287" s="218"/>
      <c r="R287" s="218"/>
      <c r="S287" s="64">
        <v>6491</v>
      </c>
      <c r="T287">
        <v>670.2</v>
      </c>
    </row>
    <row r="288" spans="1:20" x14ac:dyDescent="0.25">
      <c r="A288" s="64" t="str">
        <f t="shared" si="29"/>
        <v>CIRC  193.7*16</v>
      </c>
      <c r="B288" s="163">
        <f t="shared" si="24"/>
        <v>70.117583426589022</v>
      </c>
      <c r="C288" s="64">
        <v>193.7</v>
      </c>
      <c r="D288" s="64">
        <v>16</v>
      </c>
      <c r="E288" s="64"/>
      <c r="F288" s="64"/>
      <c r="G288" s="64"/>
      <c r="H288" s="163">
        <f t="shared" si="25"/>
        <v>89.321762326864999</v>
      </c>
      <c r="I288" s="187">
        <f t="shared" si="26"/>
        <v>3554.2569543277086</v>
      </c>
      <c r="J288" s="187">
        <f t="shared" si="27"/>
        <v>366.98574644581396</v>
      </c>
      <c r="K288" s="228">
        <v>507</v>
      </c>
      <c r="L288" s="218">
        <f t="shared" si="28"/>
        <v>6.3080593291439468</v>
      </c>
      <c r="M288" s="218"/>
      <c r="N288" s="218"/>
      <c r="O288" s="218"/>
      <c r="P288" s="218"/>
      <c r="Q288" s="218"/>
      <c r="R288" s="218"/>
      <c r="S288" s="64">
        <v>7109</v>
      </c>
      <c r="T288">
        <v>734</v>
      </c>
    </row>
    <row r="289" spans="1:20" x14ac:dyDescent="0.25">
      <c r="A289" s="219" t="str">
        <f t="shared" si="29"/>
        <v>CIRC  219.1*5</v>
      </c>
      <c r="B289" s="168">
        <f t="shared" si="24"/>
        <v>26.400138244992807</v>
      </c>
      <c r="C289" s="167">
        <v>219.1</v>
      </c>
      <c r="D289" s="167">
        <v>5</v>
      </c>
      <c r="E289" s="167"/>
      <c r="F289" s="167"/>
      <c r="G289" s="167"/>
      <c r="H289" s="168">
        <f t="shared" si="25"/>
        <v>33.630749356678734</v>
      </c>
      <c r="I289" s="184">
        <f t="shared" si="26"/>
        <v>1928.0428733154195</v>
      </c>
      <c r="J289" s="184">
        <f t="shared" si="27"/>
        <v>175.99661098269462</v>
      </c>
      <c r="K289" s="229">
        <v>229</v>
      </c>
      <c r="L289" s="220">
        <f t="shared" si="28"/>
        <v>7.5716419949704434</v>
      </c>
      <c r="M289" s="220"/>
      <c r="N289" s="220"/>
      <c r="O289" s="220"/>
      <c r="P289" s="220"/>
      <c r="Q289" s="220"/>
      <c r="R289" s="220"/>
      <c r="S289" s="167">
        <v>3856</v>
      </c>
      <c r="T289" s="221">
        <v>352</v>
      </c>
    </row>
    <row r="290" spans="1:20" x14ac:dyDescent="0.25">
      <c r="A290" s="222" t="str">
        <f t="shared" si="29"/>
        <v>CIRC  219.1*6.3</v>
      </c>
      <c r="B290" s="174">
        <f t="shared" ref="B290:B340" si="30">H290*0.785</f>
        <v>33.062196484602651</v>
      </c>
      <c r="C290" s="173">
        <v>219.1</v>
      </c>
      <c r="D290" s="173">
        <v>6.3</v>
      </c>
      <c r="E290" s="173"/>
      <c r="F290" s="173"/>
      <c r="G290" s="173"/>
      <c r="H290" s="174">
        <f t="shared" ref="H290:H340" si="31">(C290^2-(C290-2*D290)^2)*PI()*0.01/4</f>
        <v>42.117447751086182</v>
      </c>
      <c r="I290" s="185">
        <f t="shared" ref="I290:I340" si="32">(C290^4-(C290-2*D290)^4)*PI()*0.0001/64</f>
        <v>2386.139258337234</v>
      </c>
      <c r="J290" s="185">
        <f t="shared" ref="J290:J340" si="33">I290/(C290*0.5*0.1)</f>
        <v>217.81280313438921</v>
      </c>
      <c r="K290" s="230">
        <v>285</v>
      </c>
      <c r="L290" s="223">
        <f t="shared" ref="L290:L340" si="34">SQRT(I290/H290)</f>
        <v>7.5269125476519259</v>
      </c>
      <c r="M290" s="223"/>
      <c r="N290" s="223"/>
      <c r="O290" s="223"/>
      <c r="P290" s="223"/>
      <c r="Q290" s="223"/>
      <c r="R290" s="223"/>
      <c r="S290" s="173">
        <v>4772</v>
      </c>
      <c r="T290" s="224">
        <v>435.6</v>
      </c>
    </row>
    <row r="291" spans="1:20" x14ac:dyDescent="0.25">
      <c r="A291" s="222" t="str">
        <f t="shared" ref="A291:A356" si="35">$B$225&amp;"  "&amp;C291&amp;"*"&amp;D291</f>
        <v>CIRC  219.1*8</v>
      </c>
      <c r="B291" s="174">
        <f t="shared" si="30"/>
        <v>41.648345136052157</v>
      </c>
      <c r="C291" s="173">
        <v>219.1</v>
      </c>
      <c r="D291" s="173">
        <v>8</v>
      </c>
      <c r="E291" s="173"/>
      <c r="F291" s="173"/>
      <c r="G291" s="173"/>
      <c r="H291" s="174">
        <f t="shared" si="31"/>
        <v>53.055216733824402</v>
      </c>
      <c r="I291" s="185">
        <f t="shared" si="32"/>
        <v>2959.63287346987</v>
      </c>
      <c r="J291" s="185">
        <f t="shared" si="33"/>
        <v>270.16274518209678</v>
      </c>
      <c r="K291" s="230">
        <v>357</v>
      </c>
      <c r="L291" s="223">
        <f t="shared" si="34"/>
        <v>7.468869559712501</v>
      </c>
      <c r="M291" s="223"/>
      <c r="N291" s="223"/>
      <c r="O291" s="223"/>
      <c r="P291" s="223"/>
      <c r="Q291" s="223"/>
      <c r="R291" s="223"/>
      <c r="S291" s="173">
        <v>5919</v>
      </c>
      <c r="T291" s="224">
        <v>540.29999999999995</v>
      </c>
    </row>
    <row r="292" spans="1:20" x14ac:dyDescent="0.25">
      <c r="A292" s="222" t="str">
        <f t="shared" si="35"/>
        <v>CIRC  219.1*10</v>
      </c>
      <c r="B292" s="174">
        <f t="shared" si="30"/>
        <v>51.567201373451624</v>
      </c>
      <c r="C292" s="173">
        <v>219.1</v>
      </c>
      <c r="D292" s="173">
        <v>10</v>
      </c>
      <c r="E292" s="173"/>
      <c r="F292" s="173"/>
      <c r="G292" s="173"/>
      <c r="H292" s="174">
        <f t="shared" si="31"/>
        <v>65.690702386562577</v>
      </c>
      <c r="I292" s="185">
        <f t="shared" si="32"/>
        <v>3598.4389618160981</v>
      </c>
      <c r="J292" s="185">
        <f t="shared" si="33"/>
        <v>328.474574332825</v>
      </c>
      <c r="K292" s="230">
        <v>438</v>
      </c>
      <c r="L292" s="223">
        <f t="shared" si="34"/>
        <v>7.4012507388954196</v>
      </c>
      <c r="M292" s="223"/>
      <c r="N292" s="223"/>
      <c r="O292" s="223"/>
      <c r="P292" s="223"/>
      <c r="Q292" s="223"/>
      <c r="R292" s="223"/>
      <c r="S292" s="173">
        <v>7197</v>
      </c>
      <c r="T292" s="224">
        <v>656.9</v>
      </c>
    </row>
    <row r="293" spans="1:20" x14ac:dyDescent="0.25">
      <c r="A293" s="222" t="str">
        <f t="shared" si="35"/>
        <v>CIRC  219.1*12.5</v>
      </c>
      <c r="B293" s="174">
        <f t="shared" si="30"/>
        <v>63.688329768980779</v>
      </c>
      <c r="C293" s="173">
        <v>219.1</v>
      </c>
      <c r="D293" s="173">
        <v>12.5</v>
      </c>
      <c r="E293" s="173"/>
      <c r="F293" s="173"/>
      <c r="G293" s="173"/>
      <c r="H293" s="174">
        <f t="shared" si="31"/>
        <v>81.131630278956408</v>
      </c>
      <c r="I293" s="185">
        <f t="shared" si="32"/>
        <v>4344.5795326759244</v>
      </c>
      <c r="J293" s="185">
        <f t="shared" si="33"/>
        <v>396.58416546562523</v>
      </c>
      <c r="K293" s="230">
        <v>534</v>
      </c>
      <c r="L293" s="223">
        <f t="shared" si="34"/>
        <v>7.3177703229877338</v>
      </c>
      <c r="M293" s="223"/>
      <c r="N293" s="223"/>
      <c r="O293" s="223"/>
      <c r="P293" s="223"/>
      <c r="Q293" s="223"/>
      <c r="R293" s="223"/>
      <c r="S293" s="173">
        <v>8689</v>
      </c>
      <c r="T293" s="224">
        <v>793.2</v>
      </c>
    </row>
    <row r="294" spans="1:20" x14ac:dyDescent="0.25">
      <c r="A294" s="222" t="str">
        <f t="shared" si="35"/>
        <v>CIRC  219.1*14.2</v>
      </c>
      <c r="B294" s="174">
        <f t="shared" si="30"/>
        <v>71.754613951299561</v>
      </c>
      <c r="C294" s="173">
        <v>219.1</v>
      </c>
      <c r="D294" s="173">
        <v>14.2</v>
      </c>
      <c r="E294" s="173"/>
      <c r="F294" s="173"/>
      <c r="G294" s="173"/>
      <c r="H294" s="174">
        <f t="shared" si="31"/>
        <v>91.407151530317904</v>
      </c>
      <c r="I294" s="185">
        <f t="shared" si="32"/>
        <v>4820.0876274436941</v>
      </c>
      <c r="J294" s="185">
        <f t="shared" si="33"/>
        <v>439.98974234994927</v>
      </c>
      <c r="K294" s="230">
        <v>597</v>
      </c>
      <c r="L294" s="223">
        <f t="shared" si="34"/>
        <v>7.261684549744639</v>
      </c>
      <c r="M294" s="223"/>
      <c r="N294" s="223"/>
      <c r="O294" s="223"/>
      <c r="P294" s="223"/>
      <c r="Q294" s="223"/>
      <c r="R294" s="223"/>
      <c r="S294" s="173">
        <v>9640</v>
      </c>
      <c r="T294" s="224">
        <v>880</v>
      </c>
    </row>
    <row r="295" spans="1:20" x14ac:dyDescent="0.25">
      <c r="A295" s="222" t="str">
        <f t="shared" si="35"/>
        <v>CIRC  219.1*16</v>
      </c>
      <c r="B295" s="174">
        <f t="shared" si="30"/>
        <v>80.140017973777347</v>
      </c>
      <c r="C295" s="173">
        <v>219.1</v>
      </c>
      <c r="D295" s="173">
        <v>16</v>
      </c>
      <c r="E295" s="173"/>
      <c r="F295" s="173"/>
      <c r="G295" s="173"/>
      <c r="H295" s="174">
        <f t="shared" si="31"/>
        <v>102.08919487105393</v>
      </c>
      <c r="I295" s="185">
        <f t="shared" si="32"/>
        <v>5296.5928844149566</v>
      </c>
      <c r="J295" s="185">
        <f t="shared" si="33"/>
        <v>483.48634271245612</v>
      </c>
      <c r="K295" s="230">
        <v>661</v>
      </c>
      <c r="L295" s="223">
        <f t="shared" si="34"/>
        <v>7.2029169438499014</v>
      </c>
      <c r="M295" s="223"/>
      <c r="N295" s="223"/>
      <c r="O295" s="223"/>
      <c r="P295" s="223"/>
      <c r="Q295" s="223"/>
      <c r="R295" s="223"/>
      <c r="S295" s="173">
        <v>10590</v>
      </c>
      <c r="T295" s="224">
        <v>967</v>
      </c>
    </row>
    <row r="296" spans="1:20" x14ac:dyDescent="0.25">
      <c r="A296" s="225" t="str">
        <f t="shared" si="35"/>
        <v>CIRC  219.1*20</v>
      </c>
      <c r="B296" s="180">
        <f t="shared" si="30"/>
        <v>98.202102280767278</v>
      </c>
      <c r="C296" s="179">
        <v>219.1</v>
      </c>
      <c r="D296" s="179">
        <v>20</v>
      </c>
      <c r="E296" s="179"/>
      <c r="F296" s="179"/>
      <c r="G296" s="179"/>
      <c r="H296" s="180">
        <f t="shared" si="31"/>
        <v>125.09821946594558</v>
      </c>
      <c r="I296" s="186">
        <f t="shared" si="32"/>
        <v>6261.2925462177855</v>
      </c>
      <c r="J296" s="186">
        <f t="shared" si="33"/>
        <v>571.54655830376862</v>
      </c>
      <c r="K296" s="231">
        <v>795</v>
      </c>
      <c r="L296" s="226">
        <f t="shared" si="34"/>
        <v>7.0746740207588363</v>
      </c>
      <c r="M296" s="226"/>
      <c r="N296" s="226"/>
      <c r="O296" s="226"/>
      <c r="P296" s="226"/>
      <c r="Q296" s="226"/>
      <c r="R296" s="226"/>
      <c r="S296" s="179">
        <v>12520</v>
      </c>
      <c r="T296" s="227">
        <v>1143</v>
      </c>
    </row>
    <row r="297" spans="1:20" x14ac:dyDescent="0.25">
      <c r="A297" s="64" t="str">
        <f t="shared" si="35"/>
        <v>CIRC  244.5*5</v>
      </c>
      <c r="B297" s="163">
        <f t="shared" si="30"/>
        <v>29.532149040989154</v>
      </c>
      <c r="C297" s="64">
        <v>244.5</v>
      </c>
      <c r="D297" s="64">
        <v>5</v>
      </c>
      <c r="E297" s="64"/>
      <c r="F297" s="64"/>
      <c r="G297" s="64"/>
      <c r="H297" s="163">
        <f t="shared" si="31"/>
        <v>37.620572026737776</v>
      </c>
      <c r="I297" s="187">
        <f t="shared" si="32"/>
        <v>2698.5824136216925</v>
      </c>
      <c r="J297" s="187">
        <f t="shared" si="33"/>
        <v>220.74293771956582</v>
      </c>
      <c r="K297" s="228">
        <v>287</v>
      </c>
      <c r="L297" s="218">
        <f t="shared" si="34"/>
        <v>8.4694487719095388</v>
      </c>
      <c r="M297" s="218"/>
      <c r="N297" s="218"/>
      <c r="O297" s="218"/>
      <c r="P297" s="218"/>
      <c r="Q297" s="218"/>
      <c r="R297" s="218"/>
      <c r="S297" s="64">
        <v>5397</v>
      </c>
      <c r="T297">
        <v>441.5</v>
      </c>
    </row>
    <row r="298" spans="1:20" x14ac:dyDescent="0.25">
      <c r="A298" s="64" t="str">
        <f t="shared" si="35"/>
        <v>CIRC  244.5*6.3</v>
      </c>
      <c r="B298" s="163">
        <f t="shared" si="30"/>
        <v>37.008530087558064</v>
      </c>
      <c r="C298" s="64">
        <v>244.5</v>
      </c>
      <c r="D298" s="64">
        <v>6.3</v>
      </c>
      <c r="E298" s="64"/>
      <c r="F298" s="64"/>
      <c r="G298" s="64"/>
      <c r="H298" s="163">
        <f t="shared" si="31"/>
        <v>47.144624315360588</v>
      </c>
      <c r="I298" s="187">
        <f t="shared" si="32"/>
        <v>3346.0266548476966</v>
      </c>
      <c r="J298" s="187">
        <f t="shared" si="33"/>
        <v>273.7036118484823</v>
      </c>
      <c r="K298" s="228">
        <v>358</v>
      </c>
      <c r="L298" s="218">
        <f t="shared" si="34"/>
        <v>8.4245867851189011</v>
      </c>
      <c r="M298" s="218"/>
      <c r="N298" s="218"/>
      <c r="O298" s="218"/>
      <c r="P298" s="218"/>
      <c r="Q298" s="218"/>
      <c r="R298" s="218"/>
      <c r="S298" s="64">
        <v>6692</v>
      </c>
      <c r="T298">
        <v>547.4</v>
      </c>
    </row>
    <row r="299" spans="1:20" x14ac:dyDescent="0.25">
      <c r="A299" s="64" t="str">
        <f t="shared" si="35"/>
        <v>CIRC  244.5*8</v>
      </c>
      <c r="B299" s="163">
        <f t="shared" si="30"/>
        <v>46.659562409646334</v>
      </c>
      <c r="C299" s="64">
        <v>244.5</v>
      </c>
      <c r="D299" s="64">
        <v>8</v>
      </c>
      <c r="E299" s="64"/>
      <c r="F299" s="64"/>
      <c r="G299" s="64"/>
      <c r="H299" s="163">
        <f t="shared" si="31"/>
        <v>59.438933005918891</v>
      </c>
      <c r="I299" s="187">
        <f t="shared" si="32"/>
        <v>4160.4466904158571</v>
      </c>
      <c r="J299" s="187">
        <f t="shared" si="33"/>
        <v>340.32283766182877</v>
      </c>
      <c r="K299" s="228">
        <v>448</v>
      </c>
      <c r="L299" s="218">
        <f t="shared" si="34"/>
        <v>8.3663201289455813</v>
      </c>
      <c r="M299" s="218"/>
      <c r="N299" s="218"/>
      <c r="O299" s="218"/>
      <c r="P299" s="218"/>
      <c r="Q299" s="218"/>
      <c r="R299" s="218"/>
      <c r="S299" s="64">
        <v>8321</v>
      </c>
      <c r="T299">
        <v>680.6</v>
      </c>
    </row>
    <row r="300" spans="1:20" x14ac:dyDescent="0.25">
      <c r="A300" s="64" t="str">
        <f t="shared" si="35"/>
        <v>CIRC  244.5*10</v>
      </c>
      <c r="B300" s="163">
        <f t="shared" si="30"/>
        <v>57.831222965444312</v>
      </c>
      <c r="C300" s="64">
        <v>244.5</v>
      </c>
      <c r="D300" s="64">
        <v>10</v>
      </c>
      <c r="E300" s="64"/>
      <c r="F300" s="64"/>
      <c r="G300" s="64"/>
      <c r="H300" s="163">
        <f t="shared" si="31"/>
        <v>73.670347726680646</v>
      </c>
      <c r="I300" s="187">
        <f t="shared" si="32"/>
        <v>5073.1473423122106</v>
      </c>
      <c r="J300" s="187">
        <f t="shared" si="33"/>
        <v>414.98137769425028</v>
      </c>
      <c r="K300" s="228">
        <v>550</v>
      </c>
      <c r="L300" s="218">
        <f t="shared" si="34"/>
        <v>8.2983620371733604</v>
      </c>
      <c r="M300" s="218"/>
      <c r="N300" s="218"/>
      <c r="O300" s="218"/>
      <c r="P300" s="218"/>
      <c r="Q300" s="218"/>
      <c r="R300" s="218"/>
      <c r="S300" s="64">
        <v>10150</v>
      </c>
      <c r="T300">
        <v>830</v>
      </c>
    </row>
    <row r="301" spans="1:20" x14ac:dyDescent="0.25">
      <c r="A301" s="64" t="str">
        <f t="shared" si="35"/>
        <v>CIRC  244.5*12.5</v>
      </c>
      <c r="B301" s="163">
        <f t="shared" si="30"/>
        <v>71.518356758971649</v>
      </c>
      <c r="C301" s="64">
        <v>244.5</v>
      </c>
      <c r="D301" s="64">
        <v>12.5</v>
      </c>
      <c r="E301" s="64"/>
      <c r="F301" s="64"/>
      <c r="G301" s="64"/>
      <c r="H301" s="163">
        <f t="shared" si="31"/>
        <v>91.106186954104004</v>
      </c>
      <c r="I301" s="187">
        <f t="shared" si="32"/>
        <v>6147.4184354115905</v>
      </c>
      <c r="J301" s="187">
        <f t="shared" si="33"/>
        <v>502.85631373509938</v>
      </c>
      <c r="K301" s="228">
        <v>673</v>
      </c>
      <c r="L301" s="218">
        <f t="shared" si="34"/>
        <v>8.2143357917728199</v>
      </c>
      <c r="M301" s="218"/>
      <c r="N301" s="218"/>
      <c r="O301" s="218"/>
      <c r="P301" s="218"/>
      <c r="Q301" s="218"/>
      <c r="R301" s="218"/>
      <c r="S301" s="64">
        <v>12290</v>
      </c>
      <c r="T301">
        <v>1006</v>
      </c>
    </row>
    <row r="302" spans="1:20" x14ac:dyDescent="0.25">
      <c r="A302" s="64" t="str">
        <f t="shared" si="35"/>
        <v>CIRC  244.5*14.2</v>
      </c>
      <c r="B302" s="163">
        <f t="shared" si="30"/>
        <v>80.649524611929181</v>
      </c>
      <c r="C302" s="64">
        <v>244.5</v>
      </c>
      <c r="D302" s="64">
        <v>14.2</v>
      </c>
      <c r="E302" s="64"/>
      <c r="F302" s="64"/>
      <c r="G302" s="64"/>
      <c r="H302" s="163">
        <f t="shared" si="31"/>
        <v>102.73824791328558</v>
      </c>
      <c r="I302" s="187">
        <f t="shared" si="32"/>
        <v>6837.1957244704863</v>
      </c>
      <c r="J302" s="187">
        <f t="shared" si="33"/>
        <v>559.27981386261638</v>
      </c>
      <c r="K302" s="228">
        <v>754</v>
      </c>
      <c r="L302" s="218">
        <f t="shared" si="34"/>
        <v>8.157797650101406</v>
      </c>
      <c r="M302" s="218"/>
      <c r="N302" s="218"/>
      <c r="O302" s="218"/>
      <c r="P302" s="218"/>
      <c r="Q302" s="218"/>
      <c r="R302" s="218"/>
      <c r="S302" s="64">
        <v>13670</v>
      </c>
      <c r="T302">
        <v>1119</v>
      </c>
    </row>
    <row r="303" spans="1:20" x14ac:dyDescent="0.25">
      <c r="A303" s="64" t="str">
        <f t="shared" si="35"/>
        <v>CIRC  244.5*16</v>
      </c>
      <c r="B303" s="163">
        <f t="shared" si="30"/>
        <v>90.16245252096563</v>
      </c>
      <c r="C303" s="64">
        <v>244.5</v>
      </c>
      <c r="D303" s="64">
        <v>16</v>
      </c>
      <c r="E303" s="64"/>
      <c r="F303" s="64"/>
      <c r="G303" s="64"/>
      <c r="H303" s="163">
        <f t="shared" si="31"/>
        <v>114.85662741524284</v>
      </c>
      <c r="I303" s="187">
        <f t="shared" si="32"/>
        <v>7532.9078017247693</v>
      </c>
      <c r="J303" s="187">
        <f t="shared" si="33"/>
        <v>616.18877723719993</v>
      </c>
      <c r="K303" s="228">
        <v>837</v>
      </c>
      <c r="L303" s="218">
        <f t="shared" si="34"/>
        <v>8.0984759368661461</v>
      </c>
      <c r="M303" s="218"/>
      <c r="N303" s="218"/>
      <c r="O303" s="218"/>
      <c r="P303" s="218"/>
      <c r="Q303" s="218"/>
      <c r="R303" s="218"/>
      <c r="S303" s="64">
        <v>15070</v>
      </c>
      <c r="T303">
        <v>1232</v>
      </c>
    </row>
    <row r="304" spans="1:20" x14ac:dyDescent="0.25">
      <c r="A304" s="64" t="str">
        <f>$B$225&amp;"  "&amp;C304&amp;"*"&amp;D304</f>
        <v>CIRC  244.5*20</v>
      </c>
      <c r="B304" s="163">
        <f>H304*0.785</f>
        <v>110.73014546475264</v>
      </c>
      <c r="C304" s="64">
        <v>244.5</v>
      </c>
      <c r="D304" s="64">
        <v>20</v>
      </c>
      <c r="E304" s="64"/>
      <c r="F304" s="64"/>
      <c r="G304" s="64"/>
      <c r="H304" s="163">
        <f>(C304^2-(C304-2*D304)^2)*PI()*0.01/4</f>
        <v>141.0575101461817</v>
      </c>
      <c r="I304" s="187">
        <f>(C304^4-(C304-2*D304)^4)*PI()*0.0001/64</f>
        <v>8957.1959747544588</v>
      </c>
      <c r="J304" s="187">
        <f>I304/(C304*0.5*0.1)</f>
        <v>732.69496726007833</v>
      </c>
      <c r="K304" s="228">
        <v>1011</v>
      </c>
      <c r="L304" s="218">
        <f>SQRT(I304/H304)</f>
        <v>7.9687083332244004</v>
      </c>
      <c r="M304" s="218"/>
      <c r="N304" s="218"/>
      <c r="O304" s="218"/>
      <c r="P304" s="218"/>
      <c r="Q304" s="218"/>
      <c r="R304" s="218"/>
      <c r="S304" s="64">
        <v>17910</v>
      </c>
      <c r="T304">
        <v>1465</v>
      </c>
    </row>
    <row r="305" spans="1:20" x14ac:dyDescent="0.25">
      <c r="A305" s="64" t="str">
        <f>$B$225&amp;"  "&amp;C305&amp;"*"&amp;D305</f>
        <v>CIRC  244.5*25</v>
      </c>
      <c r="B305" s="163">
        <f>H305*0.785</f>
        <v>135.32999403960582</v>
      </c>
      <c r="C305" s="64">
        <v>244.5</v>
      </c>
      <c r="D305" s="64">
        <v>25</v>
      </c>
      <c r="E305" s="64"/>
      <c r="F305" s="64"/>
      <c r="G305" s="64"/>
      <c r="H305" s="163">
        <f>(C305^2-(C305-2*D305)^2)*PI()*0.01/4</f>
        <v>172.3948968657399</v>
      </c>
      <c r="I305" s="187">
        <f>(C305^4-(C305-2*D305)^4)*PI()*0.0001/64</f>
        <v>10517.220050320815</v>
      </c>
      <c r="J305" s="187">
        <f>I305/(C305*0.5*0.1)</f>
        <v>860.30429859474964</v>
      </c>
      <c r="K305" s="228">
        <v>1210</v>
      </c>
      <c r="L305" s="218">
        <f>SQRT(I305/H305)</f>
        <v>7.8106697856201812</v>
      </c>
      <c r="M305" s="218"/>
      <c r="N305" s="218"/>
      <c r="O305" s="218"/>
      <c r="P305" s="218"/>
      <c r="Q305" s="218"/>
      <c r="R305" s="218"/>
      <c r="S305" s="64">
        <v>21030</v>
      </c>
      <c r="T305">
        <v>1721</v>
      </c>
    </row>
    <row r="306" spans="1:20" x14ac:dyDescent="0.25">
      <c r="A306" s="219" t="str">
        <f t="shared" si="35"/>
        <v>CIRC  273*5</v>
      </c>
      <c r="B306" s="168">
        <f t="shared" si="30"/>
        <v>33.04641312311103</v>
      </c>
      <c r="C306" s="167">
        <v>273</v>
      </c>
      <c r="D306" s="167">
        <v>5</v>
      </c>
      <c r="E306" s="167"/>
      <c r="F306" s="167"/>
      <c r="G306" s="167"/>
      <c r="H306" s="168">
        <f t="shared" si="31"/>
        <v>42.097341558103224</v>
      </c>
      <c r="I306" s="184">
        <f t="shared" si="32"/>
        <v>3780.8148670101987</v>
      </c>
      <c r="J306" s="184">
        <f t="shared" si="33"/>
        <v>276.98277413994128</v>
      </c>
      <c r="K306" s="229">
        <v>359</v>
      </c>
      <c r="L306" s="220">
        <f t="shared" si="34"/>
        <v>9.4768797607651436</v>
      </c>
      <c r="M306" s="220"/>
      <c r="N306" s="220"/>
      <c r="O306" s="220"/>
      <c r="P306" s="220"/>
      <c r="Q306" s="220"/>
      <c r="R306" s="220"/>
      <c r="S306" s="167">
        <v>7562</v>
      </c>
      <c r="T306" s="221">
        <v>554</v>
      </c>
    </row>
    <row r="307" spans="1:20" x14ac:dyDescent="0.25">
      <c r="A307" s="222" t="str">
        <f t="shared" si="35"/>
        <v>CIRC  273*6.3</v>
      </c>
      <c r="B307" s="174">
        <f t="shared" si="30"/>
        <v>41.436502831031703</v>
      </c>
      <c r="C307" s="173">
        <v>273</v>
      </c>
      <c r="D307" s="173">
        <v>6.3</v>
      </c>
      <c r="E307" s="173"/>
      <c r="F307" s="173"/>
      <c r="G307" s="173"/>
      <c r="H307" s="174">
        <f t="shared" si="31"/>
        <v>52.78535392488115</v>
      </c>
      <c r="I307" s="185">
        <f t="shared" si="32"/>
        <v>4695.8233545390203</v>
      </c>
      <c r="J307" s="185">
        <f t="shared" si="33"/>
        <v>344.01636296989159</v>
      </c>
      <c r="K307" s="230">
        <v>448</v>
      </c>
      <c r="L307" s="223">
        <f t="shared" si="34"/>
        <v>9.4318993315238444</v>
      </c>
      <c r="M307" s="223"/>
      <c r="N307" s="223"/>
      <c r="O307" s="223"/>
      <c r="P307" s="223"/>
      <c r="Q307" s="223"/>
      <c r="R307" s="223"/>
      <c r="S307" s="173">
        <v>9392</v>
      </c>
      <c r="T307" s="224">
        <v>688</v>
      </c>
    </row>
    <row r="308" spans="1:20" x14ac:dyDescent="0.25">
      <c r="A308" s="222" t="str">
        <f t="shared" si="35"/>
        <v>CIRC  273*8</v>
      </c>
      <c r="B308" s="174">
        <f t="shared" si="30"/>
        <v>52.282384941041343</v>
      </c>
      <c r="C308" s="173">
        <v>273</v>
      </c>
      <c r="D308" s="173">
        <v>8</v>
      </c>
      <c r="E308" s="173"/>
      <c r="F308" s="173"/>
      <c r="G308" s="173"/>
      <c r="H308" s="174">
        <f t="shared" si="31"/>
        <v>66.601764256103621</v>
      </c>
      <c r="I308" s="185">
        <f t="shared" si="32"/>
        <v>5851.7142597465836</v>
      </c>
      <c r="J308" s="185">
        <f t="shared" si="33"/>
        <v>428.6970153660501</v>
      </c>
      <c r="K308" s="230">
        <v>562</v>
      </c>
      <c r="L308" s="223">
        <f t="shared" si="34"/>
        <v>9.3734332024077496</v>
      </c>
      <c r="M308" s="223"/>
      <c r="N308" s="223"/>
      <c r="O308" s="223"/>
      <c r="P308" s="223"/>
      <c r="Q308" s="223"/>
      <c r="R308" s="223"/>
      <c r="S308" s="173">
        <v>11700</v>
      </c>
      <c r="T308" s="224">
        <v>857.4</v>
      </c>
    </row>
    <row r="309" spans="1:20" x14ac:dyDescent="0.25">
      <c r="A309" s="222" t="str">
        <f t="shared" si="35"/>
        <v>CIRC  273*10</v>
      </c>
      <c r="B309" s="174">
        <f t="shared" si="30"/>
        <v>64.859751129688078</v>
      </c>
      <c r="C309" s="173">
        <v>273</v>
      </c>
      <c r="D309" s="173">
        <v>10</v>
      </c>
      <c r="E309" s="173"/>
      <c r="F309" s="173"/>
      <c r="G309" s="173"/>
      <c r="H309" s="174">
        <f t="shared" si="31"/>
        <v>82.623886789411557</v>
      </c>
      <c r="I309" s="185">
        <f t="shared" si="32"/>
        <v>7154.0925175196871</v>
      </c>
      <c r="J309" s="185">
        <f t="shared" si="33"/>
        <v>524.10934194283425</v>
      </c>
      <c r="K309" s="230">
        <v>692</v>
      </c>
      <c r="L309" s="223">
        <f t="shared" si="34"/>
        <v>9.3051732923143362</v>
      </c>
      <c r="M309" s="223"/>
      <c r="N309" s="223"/>
      <c r="O309" s="223"/>
      <c r="P309" s="223"/>
      <c r="Q309" s="223"/>
      <c r="R309" s="223"/>
      <c r="S309" s="173">
        <v>14310</v>
      </c>
      <c r="T309" s="224">
        <v>1048</v>
      </c>
    </row>
    <row r="310" spans="1:20" x14ac:dyDescent="0.25">
      <c r="A310" s="222" t="str">
        <f t="shared" si="35"/>
        <v>CIRC  273*12.5</v>
      </c>
      <c r="B310" s="174">
        <f t="shared" si="30"/>
        <v>80.304016964276343</v>
      </c>
      <c r="C310" s="173">
        <v>273</v>
      </c>
      <c r="D310" s="173">
        <v>12.5</v>
      </c>
      <c r="E310" s="173"/>
      <c r="F310" s="173"/>
      <c r="G310" s="173"/>
      <c r="H310" s="174">
        <f t="shared" si="31"/>
        <v>102.29811078251764</v>
      </c>
      <c r="I310" s="185">
        <f t="shared" si="32"/>
        <v>8697.4493150488888</v>
      </c>
      <c r="J310" s="185">
        <f t="shared" si="33"/>
        <v>637.17577399625554</v>
      </c>
      <c r="K310" s="230">
        <v>849</v>
      </c>
      <c r="L310" s="223">
        <f t="shared" si="34"/>
        <v>9.220662937121169</v>
      </c>
      <c r="M310" s="223"/>
      <c r="N310" s="223"/>
      <c r="O310" s="223"/>
      <c r="P310" s="223"/>
      <c r="Q310" s="223"/>
      <c r="R310" s="223"/>
      <c r="S310" s="173">
        <v>17390</v>
      </c>
      <c r="T310" s="224">
        <v>1274</v>
      </c>
    </row>
    <row r="311" spans="1:20" x14ac:dyDescent="0.25">
      <c r="A311" s="222" t="str">
        <f t="shared" si="35"/>
        <v>CIRC  273*14.2</v>
      </c>
      <c r="B311" s="174">
        <f t="shared" si="30"/>
        <v>90.630034605155345</v>
      </c>
      <c r="C311" s="173">
        <v>273</v>
      </c>
      <c r="D311" s="173">
        <v>14.2</v>
      </c>
      <c r="E311" s="173"/>
      <c r="F311" s="173"/>
      <c r="G311" s="173"/>
      <c r="H311" s="174">
        <f t="shared" si="31"/>
        <v>115.4522733823635</v>
      </c>
      <c r="I311" s="185">
        <f t="shared" si="32"/>
        <v>9694.9718871695841</v>
      </c>
      <c r="J311" s="185">
        <f t="shared" si="33"/>
        <v>710.25435070839444</v>
      </c>
      <c r="K311" s="230">
        <v>952</v>
      </c>
      <c r="L311" s="223">
        <f t="shared" si="34"/>
        <v>9.1637246794084763</v>
      </c>
      <c r="M311" s="223"/>
      <c r="N311" s="223"/>
      <c r="O311" s="223"/>
      <c r="P311" s="223"/>
      <c r="Q311" s="223"/>
      <c r="R311" s="223"/>
      <c r="S311" s="173">
        <v>19390</v>
      </c>
      <c r="T311" s="224">
        <v>1421</v>
      </c>
    </row>
    <row r="312" spans="1:20" x14ac:dyDescent="0.25">
      <c r="A312" s="222" t="str">
        <f t="shared" si="35"/>
        <v>CIRC  273*16</v>
      </c>
      <c r="B312" s="174">
        <f t="shared" si="30"/>
        <v>101.40809758375566</v>
      </c>
      <c r="C312" s="173">
        <v>273</v>
      </c>
      <c r="D312" s="173">
        <v>16</v>
      </c>
      <c r="E312" s="173"/>
      <c r="F312" s="173"/>
      <c r="G312" s="173"/>
      <c r="H312" s="174">
        <f t="shared" si="31"/>
        <v>129.1822899156123</v>
      </c>
      <c r="I312" s="185">
        <f t="shared" si="32"/>
        <v>10706.789666068342</v>
      </c>
      <c r="J312" s="185">
        <f t="shared" si="33"/>
        <v>784.38019531636201</v>
      </c>
      <c r="K312" s="230">
        <v>1058</v>
      </c>
      <c r="L312" s="223">
        <f t="shared" si="34"/>
        <v>9.1039139934425997</v>
      </c>
      <c r="M312" s="223"/>
      <c r="N312" s="223"/>
      <c r="O312" s="223"/>
      <c r="P312" s="223"/>
      <c r="Q312" s="223"/>
      <c r="R312" s="223"/>
      <c r="S312" s="173">
        <v>21410</v>
      </c>
      <c r="T312" s="224">
        <v>1569</v>
      </c>
    </row>
    <row r="313" spans="1:20" x14ac:dyDescent="0.25">
      <c r="A313" s="222" t="str">
        <f>$B$225&amp;"  "&amp;C313&amp;"*"&amp;D313</f>
        <v>CIRC  273*20</v>
      </c>
      <c r="B313" s="174">
        <f>H313*0.785</f>
        <v>124.78720179324019</v>
      </c>
      <c r="C313" s="173">
        <v>273</v>
      </c>
      <c r="D313" s="173">
        <v>20</v>
      </c>
      <c r="E313" s="173"/>
      <c r="F313" s="173"/>
      <c r="G313" s="173"/>
      <c r="H313" s="174">
        <f>(C313^2-(C313-2*D313)^2)*PI()*0.01/4</f>
        <v>158.96458827164355</v>
      </c>
      <c r="I313" s="185">
        <f>(C313^4-(C313-2*D313)^4)*PI()*0.0001/64</f>
        <v>12798.43770748536</v>
      </c>
      <c r="J313" s="185">
        <f>I313/(C313*0.5*0.1)</f>
        <v>937.61448406486147</v>
      </c>
      <c r="K313" s="230">
        <v>1283</v>
      </c>
      <c r="L313" s="223">
        <f>SQRT(I313/H313)</f>
        <v>8.9728061385499682</v>
      </c>
      <c r="M313" s="223"/>
      <c r="N313" s="223"/>
      <c r="O313" s="223"/>
      <c r="P313" s="223"/>
      <c r="Q313" s="223"/>
      <c r="R313" s="223"/>
      <c r="S313" s="173">
        <v>25600</v>
      </c>
      <c r="T313" s="224">
        <v>1875</v>
      </c>
    </row>
    <row r="314" spans="1:20" x14ac:dyDescent="0.25">
      <c r="A314" s="225" t="str">
        <f>$B$225&amp;"  "&amp;C314&amp;"*"&amp;D314</f>
        <v>CIRC  273*25</v>
      </c>
      <c r="B314" s="180">
        <f>H314*0.785</f>
        <v>152.90131445021527</v>
      </c>
      <c r="C314" s="179">
        <v>273</v>
      </c>
      <c r="D314" s="179">
        <v>25</v>
      </c>
      <c r="E314" s="179"/>
      <c r="F314" s="179"/>
      <c r="G314" s="179"/>
      <c r="H314" s="180">
        <f>(C314^2-(C314-2*D314)^2)*PI()*0.01/4</f>
        <v>194.77874452256719</v>
      </c>
      <c r="I314" s="186">
        <f>(C314^4-(C314-2*D314)^4)*PI()*0.0001/64</f>
        <v>15126.76077305322</v>
      </c>
      <c r="J314" s="186">
        <f>I314/(C314*0.5*0.1)</f>
        <v>1108.1876024214812</v>
      </c>
      <c r="K314" s="231">
        <v>1543</v>
      </c>
      <c r="L314" s="226">
        <f>SQRT(I314/H314)</f>
        <v>8.8125620565190914</v>
      </c>
      <c r="M314" s="226"/>
      <c r="N314" s="226"/>
      <c r="O314" s="226"/>
      <c r="P314" s="226"/>
      <c r="Q314" s="226"/>
      <c r="R314" s="226"/>
      <c r="S314" s="179">
        <v>30250</v>
      </c>
      <c r="T314" s="227">
        <v>2216</v>
      </c>
    </row>
    <row r="315" spans="1:20" x14ac:dyDescent="0.25">
      <c r="A315" s="64" t="str">
        <f t="shared" si="35"/>
        <v>CIRC  323.9*5</v>
      </c>
      <c r="B315" s="163">
        <f t="shared" si="30"/>
        <v>39.322765466269068</v>
      </c>
      <c r="C315" s="64">
        <v>323.89999999999998</v>
      </c>
      <c r="D315" s="64">
        <v>5</v>
      </c>
      <c r="E315" s="64"/>
      <c r="F315" s="64"/>
      <c r="G315" s="64"/>
      <c r="H315" s="163">
        <f t="shared" si="31"/>
        <v>50.092694861489257</v>
      </c>
      <c r="I315" s="187">
        <f t="shared" si="32"/>
        <v>6369.4245327079143</v>
      </c>
      <c r="J315" s="187">
        <f t="shared" si="33"/>
        <v>393.29574144537906</v>
      </c>
      <c r="K315" s="228">
        <v>509</v>
      </c>
      <c r="L315" s="218">
        <f t="shared" si="34"/>
        <v>11.276203372589553</v>
      </c>
      <c r="M315" s="218"/>
      <c r="N315" s="218"/>
      <c r="O315" s="218"/>
      <c r="P315" s="218"/>
      <c r="Q315" s="218"/>
      <c r="R315" s="218"/>
      <c r="S315" s="64">
        <v>12740</v>
      </c>
      <c r="T315">
        <v>786.6</v>
      </c>
    </row>
    <row r="316" spans="1:20" x14ac:dyDescent="0.25">
      <c r="A316" s="64" t="str">
        <f t="shared" si="35"/>
        <v>CIRC  323.9*6.3</v>
      </c>
      <c r="B316" s="163">
        <f t="shared" si="30"/>
        <v>49.344706783410864</v>
      </c>
      <c r="C316" s="64">
        <v>323.89999999999998</v>
      </c>
      <c r="D316" s="64">
        <v>6.3</v>
      </c>
      <c r="E316" s="64"/>
      <c r="F316" s="64"/>
      <c r="G316" s="64"/>
      <c r="H316" s="163">
        <f t="shared" si="31"/>
        <v>62.859499087147597</v>
      </c>
      <c r="I316" s="187">
        <f t="shared" si="32"/>
        <v>7928.8968501994586</v>
      </c>
      <c r="J316" s="187">
        <f t="shared" si="33"/>
        <v>489.58918494593752</v>
      </c>
      <c r="K316" s="228">
        <v>636</v>
      </c>
      <c r="L316" s="218">
        <f t="shared" si="34"/>
        <v>11.231064620061627</v>
      </c>
      <c r="M316" s="218"/>
      <c r="N316" s="218"/>
      <c r="O316" s="218"/>
      <c r="P316" s="218"/>
      <c r="Q316" s="218"/>
      <c r="R316" s="218"/>
      <c r="S316" s="64">
        <v>15860</v>
      </c>
      <c r="T316">
        <v>979.2</v>
      </c>
    </row>
    <row r="317" spans="1:20" x14ac:dyDescent="0.25">
      <c r="A317" s="64" t="str">
        <f t="shared" si="35"/>
        <v>CIRC  323.9*8</v>
      </c>
      <c r="B317" s="163">
        <f t="shared" si="30"/>
        <v>62.324548690094204</v>
      </c>
      <c r="C317" s="64">
        <v>323.89999999999998</v>
      </c>
      <c r="D317" s="64">
        <v>8</v>
      </c>
      <c r="E317" s="64"/>
      <c r="F317" s="64"/>
      <c r="G317" s="64"/>
      <c r="H317" s="163">
        <f t="shared" si="31"/>
        <v>79.394329541521273</v>
      </c>
      <c r="I317" s="187">
        <f t="shared" si="32"/>
        <v>9910.0806001313485</v>
      </c>
      <c r="J317" s="187">
        <f t="shared" si="33"/>
        <v>611.92223526590601</v>
      </c>
      <c r="K317" s="228">
        <v>799</v>
      </c>
      <c r="L317" s="218">
        <f t="shared" si="34"/>
        <v>11.172332455669229</v>
      </c>
      <c r="M317" s="218"/>
      <c r="N317" s="218"/>
      <c r="O317" s="218"/>
      <c r="P317" s="218"/>
      <c r="Q317" s="218"/>
      <c r="R317" s="218"/>
      <c r="S317" s="64">
        <v>19820</v>
      </c>
      <c r="T317">
        <v>1224</v>
      </c>
    </row>
    <row r="318" spans="1:20" x14ac:dyDescent="0.25">
      <c r="A318" s="64" t="str">
        <f t="shared" si="35"/>
        <v>CIRC  323.9*10</v>
      </c>
      <c r="B318" s="163">
        <f t="shared" si="30"/>
        <v>77.41245581600414</v>
      </c>
      <c r="C318" s="64">
        <v>323.89999999999998</v>
      </c>
      <c r="D318" s="64">
        <v>10</v>
      </c>
      <c r="E318" s="64"/>
      <c r="F318" s="64"/>
      <c r="G318" s="64"/>
      <c r="H318" s="163">
        <f t="shared" si="31"/>
        <v>98.614593396183608</v>
      </c>
      <c r="I318" s="187">
        <f t="shared" si="32"/>
        <v>12158.342374387992</v>
      </c>
      <c r="J318" s="187">
        <f t="shared" si="33"/>
        <v>750.74667331818409</v>
      </c>
      <c r="K318" s="228">
        <v>986</v>
      </c>
      <c r="L318" s="218">
        <f t="shared" si="34"/>
        <v>11.1036711271543</v>
      </c>
      <c r="M318" s="218"/>
      <c r="N318" s="218"/>
      <c r="O318" s="218"/>
      <c r="P318" s="218"/>
      <c r="Q318" s="218"/>
      <c r="R318" s="218"/>
      <c r="S318" s="64">
        <v>24320</v>
      </c>
      <c r="T318">
        <v>1501</v>
      </c>
    </row>
    <row r="319" spans="1:20" x14ac:dyDescent="0.25">
      <c r="A319" s="64" t="str">
        <f t="shared" si="35"/>
        <v>CIRC  323.9*12.5</v>
      </c>
      <c r="B319" s="163">
        <f t="shared" si="30"/>
        <v>95.99489782217141</v>
      </c>
      <c r="C319" s="64">
        <v>323.89999999999998</v>
      </c>
      <c r="D319" s="64">
        <v>12.5</v>
      </c>
      <c r="E319" s="64"/>
      <c r="F319" s="64"/>
      <c r="G319" s="64"/>
      <c r="H319" s="163">
        <f t="shared" si="31"/>
        <v>122.28649404098269</v>
      </c>
      <c r="I319" s="187">
        <f t="shared" si="32"/>
        <v>14846.529625485296</v>
      </c>
      <c r="J319" s="187">
        <f t="shared" si="33"/>
        <v>916.73538903891915</v>
      </c>
      <c r="K319" s="228">
        <v>1013</v>
      </c>
      <c r="L319" s="218">
        <f t="shared" si="34"/>
        <v>11.018519070183617</v>
      </c>
      <c r="M319" s="218"/>
      <c r="N319" s="218"/>
      <c r="O319" s="218"/>
      <c r="P319" s="218"/>
      <c r="Q319" s="218"/>
      <c r="R319" s="218"/>
      <c r="S319" s="64">
        <v>29690</v>
      </c>
      <c r="T319">
        <v>1833</v>
      </c>
    </row>
    <row r="320" spans="1:20" x14ac:dyDescent="0.25">
      <c r="A320" s="64" t="str">
        <f t="shared" si="35"/>
        <v>CIRC  323.9*14.2</v>
      </c>
      <c r="B320" s="163">
        <f t="shared" si="30"/>
        <v>108.45487525972406</v>
      </c>
      <c r="C320" s="64">
        <v>323.89999999999998</v>
      </c>
      <c r="D320" s="64">
        <v>14.2</v>
      </c>
      <c r="E320" s="64"/>
      <c r="F320" s="64"/>
      <c r="G320" s="64"/>
      <c r="H320" s="163">
        <f t="shared" si="31"/>
        <v>138.1590767639797</v>
      </c>
      <c r="I320" s="187">
        <f t="shared" si="32"/>
        <v>16599.075649119935</v>
      </c>
      <c r="J320" s="187">
        <f t="shared" si="33"/>
        <v>1024.9506421191686</v>
      </c>
      <c r="K320" s="228">
        <v>1363</v>
      </c>
      <c r="L320" s="218">
        <f t="shared" si="34"/>
        <v>10.961052070855244</v>
      </c>
      <c r="M320" s="218"/>
      <c r="N320" s="218"/>
      <c r="O320" s="218"/>
      <c r="P320" s="218"/>
      <c r="Q320" s="218"/>
      <c r="R320" s="218"/>
      <c r="S320" s="64">
        <v>33200</v>
      </c>
      <c r="T320">
        <v>2050</v>
      </c>
    </row>
    <row r="321" spans="1:20" x14ac:dyDescent="0.25">
      <c r="A321" s="64" t="str">
        <f t="shared" si="35"/>
        <v>CIRC  323.9*16</v>
      </c>
      <c r="B321" s="163">
        <f t="shared" si="30"/>
        <v>121.49242508186137</v>
      </c>
      <c r="C321" s="64">
        <v>323.89999999999998</v>
      </c>
      <c r="D321" s="64">
        <v>16</v>
      </c>
      <c r="E321" s="64"/>
      <c r="F321" s="64"/>
      <c r="G321" s="64"/>
      <c r="H321" s="163">
        <f t="shared" si="31"/>
        <v>154.76742048644761</v>
      </c>
      <c r="I321" s="187">
        <f t="shared" si="32"/>
        <v>18389.931139053922</v>
      </c>
      <c r="J321" s="187">
        <f t="shared" si="33"/>
        <v>1135.5314071660341</v>
      </c>
      <c r="K321" s="228">
        <v>1518</v>
      </c>
      <c r="L321" s="218">
        <f t="shared" si="34"/>
        <v>10.900596887326859</v>
      </c>
      <c r="M321" s="218"/>
      <c r="N321" s="218"/>
      <c r="O321" s="218"/>
      <c r="P321" s="218"/>
      <c r="Q321" s="218"/>
      <c r="R321" s="218"/>
      <c r="S321" s="64">
        <v>36780</v>
      </c>
      <c r="T321">
        <v>2271</v>
      </c>
    </row>
    <row r="322" spans="1:20" x14ac:dyDescent="0.25">
      <c r="A322" s="64" t="str">
        <f>$B$225&amp;"  "&amp;C322&amp;"*"&amp;D322</f>
        <v>CIRC  323.9*20</v>
      </c>
      <c r="B322" s="163">
        <f>H322*0.785</f>
        <v>149.8926111658723</v>
      </c>
      <c r="C322" s="64">
        <v>323.89999999999998</v>
      </c>
      <c r="D322" s="64">
        <v>20</v>
      </c>
      <c r="E322" s="64"/>
      <c r="F322" s="64"/>
      <c r="G322" s="64"/>
      <c r="H322" s="163">
        <f>(C322^2-(C322-2*D322)^2)*PI()*0.01/4</f>
        <v>190.94600148518762</v>
      </c>
      <c r="I322" s="187">
        <f>(C322^4-(C322-2*D322)^4)*PI()*0.0001/64</f>
        <v>22139.045583023613</v>
      </c>
      <c r="J322" s="187">
        <f>I322/(C322*0.5*0.1)</f>
        <v>1367.0296747776235</v>
      </c>
      <c r="K322" s="228">
        <v>1850</v>
      </c>
      <c r="L322" s="218">
        <f>SQRT(I322/H322)</f>
        <v>10.767730146135721</v>
      </c>
      <c r="M322" s="218"/>
      <c r="N322" s="218"/>
      <c r="O322" s="218"/>
      <c r="P322" s="218"/>
      <c r="Q322" s="218"/>
      <c r="R322" s="218"/>
      <c r="S322" s="64">
        <v>44280</v>
      </c>
      <c r="T322">
        <v>2734</v>
      </c>
    </row>
    <row r="323" spans="1:20" x14ac:dyDescent="0.25">
      <c r="A323" s="64" t="str">
        <f>$B$225&amp;"  "&amp;C323&amp;"*"&amp;D323</f>
        <v>CIRC  323.9*25</v>
      </c>
      <c r="B323" s="163">
        <f>H323*0.785</f>
        <v>184.28307616600537</v>
      </c>
      <c r="C323" s="64">
        <v>323.89999999999998</v>
      </c>
      <c r="D323" s="64">
        <v>25</v>
      </c>
      <c r="E323" s="64"/>
      <c r="F323" s="64"/>
      <c r="G323" s="64"/>
      <c r="H323" s="163">
        <f>(C323^2-(C323-2*D323)^2)*PI()*0.01/4</f>
        <v>234.75551103949729</v>
      </c>
      <c r="I323" s="187">
        <f>(C323^4-(C323-2*D323)^4)*PI()*0.0001/64</f>
        <v>26400.079506045917</v>
      </c>
      <c r="J323" s="187">
        <f>I323/(C323*0.5*0.1)</f>
        <v>1630.1376663195997</v>
      </c>
      <c r="K323" s="228">
        <v>2239</v>
      </c>
      <c r="L323" s="218">
        <f>SQRT(I323/H323)</f>
        <v>10.604610436032058</v>
      </c>
      <c r="M323" s="218"/>
      <c r="N323" s="218"/>
      <c r="O323" s="218"/>
      <c r="P323" s="218"/>
      <c r="Q323" s="218"/>
      <c r="R323" s="218"/>
      <c r="S323" s="64">
        <v>52800</v>
      </c>
      <c r="T323">
        <v>3260</v>
      </c>
    </row>
    <row r="324" spans="1:20" x14ac:dyDescent="0.25">
      <c r="A324" s="219" t="str">
        <f t="shared" si="35"/>
        <v>CIRC  355.6*6.3</v>
      </c>
      <c r="B324" s="168">
        <f t="shared" si="30"/>
        <v>54.269855413870921</v>
      </c>
      <c r="C324" s="167">
        <v>355.6</v>
      </c>
      <c r="D324" s="167">
        <v>6.3</v>
      </c>
      <c r="E324" s="167"/>
      <c r="F324" s="167"/>
      <c r="G324" s="167"/>
      <c r="H324" s="168">
        <f t="shared" si="31"/>
        <v>69.133573775631746</v>
      </c>
      <c r="I324" s="184">
        <f t="shared" si="32"/>
        <v>10547.206404198918</v>
      </c>
      <c r="J324" s="184">
        <f t="shared" si="33"/>
        <v>593.20620946000656</v>
      </c>
      <c r="K324" s="229">
        <v>769</v>
      </c>
      <c r="L324" s="220">
        <f t="shared" si="34"/>
        <v>12.351628435149756</v>
      </c>
      <c r="M324" s="220"/>
      <c r="N324" s="220"/>
      <c r="O324" s="220"/>
      <c r="P324" s="220"/>
      <c r="Q324" s="220"/>
      <c r="R324" s="220"/>
      <c r="S324" s="167">
        <v>21090</v>
      </c>
      <c r="T324" s="221">
        <v>1186</v>
      </c>
    </row>
    <row r="325" spans="1:20" x14ac:dyDescent="0.25">
      <c r="A325" s="222" t="str">
        <f t="shared" si="35"/>
        <v>CIRC  355.6*8</v>
      </c>
      <c r="B325" s="174">
        <f t="shared" si="30"/>
        <v>68.578705681154588</v>
      </c>
      <c r="C325" s="173">
        <v>355.6</v>
      </c>
      <c r="D325" s="173">
        <v>8</v>
      </c>
      <c r="E325" s="173"/>
      <c r="F325" s="173"/>
      <c r="G325" s="173"/>
      <c r="H325" s="174">
        <f t="shared" si="31"/>
        <v>87.361408511024948</v>
      </c>
      <c r="I325" s="185">
        <f t="shared" si="32"/>
        <v>13201.374635199711</v>
      </c>
      <c r="J325" s="185">
        <f t="shared" si="33"/>
        <v>742.48451266590041</v>
      </c>
      <c r="K325" s="230">
        <v>967</v>
      </c>
      <c r="L325" s="223">
        <f t="shared" si="34"/>
        <v>12.292770232945871</v>
      </c>
      <c r="M325" s="223"/>
      <c r="N325" s="223"/>
      <c r="O325" s="223"/>
      <c r="P325" s="223"/>
      <c r="Q325" s="223"/>
      <c r="R325" s="223"/>
      <c r="S325" s="173">
        <v>26400</v>
      </c>
      <c r="T325" s="224">
        <v>1485</v>
      </c>
    </row>
    <row r="326" spans="1:20" x14ac:dyDescent="0.25">
      <c r="A326" s="222" t="str">
        <f t="shared" si="35"/>
        <v>CIRC  355.6*10</v>
      </c>
      <c r="B326" s="174">
        <f t="shared" si="30"/>
        <v>85.230152054829659</v>
      </c>
      <c r="C326" s="173">
        <v>355.6</v>
      </c>
      <c r="D326" s="173">
        <v>10</v>
      </c>
      <c r="E326" s="173"/>
      <c r="F326" s="173"/>
      <c r="G326" s="173"/>
      <c r="H326" s="174">
        <f t="shared" si="31"/>
        <v>108.57344210806325</v>
      </c>
      <c r="I326" s="185">
        <f t="shared" si="32"/>
        <v>16223.499728243667</v>
      </c>
      <c r="J326" s="185">
        <f t="shared" si="33"/>
        <v>912.45780248839515</v>
      </c>
      <c r="K326" s="230">
        <v>1195</v>
      </c>
      <c r="L326" s="223">
        <f t="shared" si="34"/>
        <v>12.223919175125465</v>
      </c>
      <c r="M326" s="223"/>
      <c r="N326" s="223"/>
      <c r="O326" s="223"/>
      <c r="P326" s="223"/>
      <c r="Q326" s="223"/>
      <c r="R326" s="223"/>
      <c r="S326" s="173">
        <v>32450</v>
      </c>
      <c r="T326" s="224">
        <v>1825</v>
      </c>
    </row>
    <row r="327" spans="1:20" x14ac:dyDescent="0.25">
      <c r="A327" s="222" t="str">
        <f t="shared" si="35"/>
        <v>CIRC  355.6*12.5</v>
      </c>
      <c r="B327" s="174">
        <f t="shared" si="30"/>
        <v>105.76701812070333</v>
      </c>
      <c r="C327" s="173">
        <v>355.6</v>
      </c>
      <c r="D327" s="173">
        <v>12.5</v>
      </c>
      <c r="E327" s="173"/>
      <c r="F327" s="173"/>
      <c r="G327" s="173"/>
      <c r="H327" s="174">
        <f t="shared" si="31"/>
        <v>134.73505493083226</v>
      </c>
      <c r="I327" s="185">
        <f t="shared" si="32"/>
        <v>19852.176252511541</v>
      </c>
      <c r="J327" s="185">
        <f t="shared" si="33"/>
        <v>1116.5453460355197</v>
      </c>
      <c r="K327" s="230">
        <v>1472</v>
      </c>
      <c r="L327" s="223">
        <f t="shared" si="34"/>
        <v>12.138464688748739</v>
      </c>
      <c r="M327" s="223"/>
      <c r="N327" s="223"/>
      <c r="O327" s="223"/>
      <c r="P327" s="223"/>
      <c r="Q327" s="223"/>
      <c r="R327" s="223"/>
      <c r="S327" s="173">
        <v>39700</v>
      </c>
      <c r="T327" s="224">
        <v>2233</v>
      </c>
    </row>
    <row r="328" spans="1:20" x14ac:dyDescent="0.25">
      <c r="A328" s="222" t="str">
        <f t="shared" si="35"/>
        <v>CIRC  355.6*14.2</v>
      </c>
      <c r="B328" s="174">
        <f t="shared" si="30"/>
        <v>119.55600391885631</v>
      </c>
      <c r="C328" s="173">
        <v>355.6</v>
      </c>
      <c r="D328" s="173">
        <v>14.2</v>
      </c>
      <c r="E328" s="173"/>
      <c r="F328" s="173"/>
      <c r="G328" s="173"/>
      <c r="H328" s="174">
        <f t="shared" si="31"/>
        <v>152.30064193484878</v>
      </c>
      <c r="I328" s="185">
        <f t="shared" si="32"/>
        <v>22227.441036860542</v>
      </c>
      <c r="J328" s="185">
        <f t="shared" si="33"/>
        <v>1250.1372911620101</v>
      </c>
      <c r="K328" s="230">
        <v>1656</v>
      </c>
      <c r="L328" s="223">
        <f t="shared" si="34"/>
        <v>12.080749148955956</v>
      </c>
      <c r="M328" s="223"/>
      <c r="N328" s="223"/>
      <c r="O328" s="223"/>
      <c r="P328" s="223"/>
      <c r="Q328" s="223"/>
      <c r="R328" s="223"/>
      <c r="S328" s="173">
        <v>44450</v>
      </c>
      <c r="T328" s="224">
        <v>2500</v>
      </c>
    </row>
    <row r="329" spans="1:20" x14ac:dyDescent="0.25">
      <c r="A329" s="222" t="str">
        <f t="shared" si="35"/>
        <v>CIRC  355.6*16</v>
      </c>
      <c r="B329" s="174">
        <f t="shared" si="30"/>
        <v>134.00073906398211</v>
      </c>
      <c r="C329" s="173">
        <v>355.6</v>
      </c>
      <c r="D329" s="173">
        <v>16</v>
      </c>
      <c r="E329" s="173"/>
      <c r="F329" s="173"/>
      <c r="G329" s="173"/>
      <c r="H329" s="174">
        <f t="shared" si="31"/>
        <v>170.70157842545493</v>
      </c>
      <c r="I329" s="185">
        <f t="shared" si="32"/>
        <v>24662.998191225426</v>
      </c>
      <c r="J329" s="185">
        <f t="shared" si="33"/>
        <v>1387.1202582241522</v>
      </c>
      <c r="K329" s="230">
        <v>1847</v>
      </c>
      <c r="L329" s="223">
        <f t="shared" si="34"/>
        <v>12.01999168052957</v>
      </c>
      <c r="M329" s="223"/>
      <c r="N329" s="223"/>
      <c r="O329" s="223"/>
      <c r="P329" s="223"/>
      <c r="Q329" s="223"/>
      <c r="R329" s="223"/>
      <c r="S329" s="173">
        <v>49330</v>
      </c>
      <c r="T329" s="224">
        <v>2774</v>
      </c>
    </row>
    <row r="330" spans="1:20" x14ac:dyDescent="0.25">
      <c r="A330" s="222" t="str">
        <f t="shared" si="35"/>
        <v>CIRC  355.6*20</v>
      </c>
      <c r="B330" s="174">
        <f t="shared" si="30"/>
        <v>165.52800364352333</v>
      </c>
      <c r="C330" s="173">
        <v>355.6</v>
      </c>
      <c r="D330" s="173">
        <v>20</v>
      </c>
      <c r="E330" s="173"/>
      <c r="F330" s="173"/>
      <c r="G330" s="173"/>
      <c r="H330" s="174">
        <f t="shared" si="31"/>
        <v>210.8636989089469</v>
      </c>
      <c r="I330" s="185">
        <f t="shared" si="32"/>
        <v>29791.709009391445</v>
      </c>
      <c r="J330" s="185">
        <f t="shared" si="33"/>
        <v>1675.5741850051431</v>
      </c>
      <c r="K330" s="230">
        <v>2255</v>
      </c>
      <c r="L330" s="223">
        <f t="shared" si="34"/>
        <v>11.886303041736738</v>
      </c>
      <c r="M330" s="223"/>
      <c r="N330" s="223"/>
      <c r="O330" s="223"/>
      <c r="P330" s="223"/>
      <c r="Q330" s="223"/>
      <c r="R330" s="223"/>
      <c r="S330" s="173">
        <v>59580</v>
      </c>
      <c r="T330" s="224">
        <v>3351</v>
      </c>
    </row>
    <row r="331" spans="1:20" x14ac:dyDescent="0.25">
      <c r="A331" s="225" t="str">
        <f t="shared" si="35"/>
        <v>CIRC  355.6*25</v>
      </c>
      <c r="B331" s="180">
        <f t="shared" si="30"/>
        <v>203.82731676306921</v>
      </c>
      <c r="C331" s="179">
        <v>355.6</v>
      </c>
      <c r="D331" s="179">
        <v>25</v>
      </c>
      <c r="E331" s="179"/>
      <c r="F331" s="179"/>
      <c r="G331" s="179"/>
      <c r="H331" s="180">
        <f t="shared" si="31"/>
        <v>259.65263281919641</v>
      </c>
      <c r="I331" s="186">
        <f t="shared" si="32"/>
        <v>35676.713158833387</v>
      </c>
      <c r="J331" s="186">
        <f t="shared" si="33"/>
        <v>2006.5642946475468</v>
      </c>
      <c r="K331" s="231">
        <v>2738</v>
      </c>
      <c r="L331" s="226">
        <f t="shared" si="34"/>
        <v>11.721847124067095</v>
      </c>
      <c r="M331" s="226"/>
      <c r="N331" s="226"/>
      <c r="O331" s="226"/>
      <c r="P331" s="226"/>
      <c r="Q331" s="226"/>
      <c r="R331" s="226"/>
      <c r="S331" s="179">
        <v>71350</v>
      </c>
      <c r="T331" s="227">
        <v>4013</v>
      </c>
    </row>
    <row r="332" spans="1:20" x14ac:dyDescent="0.25">
      <c r="A332" s="64" t="str">
        <f t="shared" si="35"/>
        <v>CIRC  406.4*6.3</v>
      </c>
      <c r="B332" s="163">
        <f t="shared" si="30"/>
        <v>62.16252261978174</v>
      </c>
      <c r="C332" s="64">
        <v>406.4</v>
      </c>
      <c r="D332" s="64">
        <v>6.3</v>
      </c>
      <c r="E332" s="64"/>
      <c r="F332" s="64"/>
      <c r="G332" s="64"/>
      <c r="H332" s="163">
        <f t="shared" si="31"/>
        <v>79.187926904180557</v>
      </c>
      <c r="I332" s="187">
        <f t="shared" si="32"/>
        <v>15849.433874399147</v>
      </c>
      <c r="J332" s="187">
        <f t="shared" si="33"/>
        <v>779.991824527517</v>
      </c>
      <c r="K332" s="228">
        <v>1009</v>
      </c>
      <c r="L332" s="218">
        <f t="shared" si="34"/>
        <v>14.147424677304345</v>
      </c>
      <c r="M332" s="218"/>
      <c r="N332" s="218"/>
      <c r="O332" s="218"/>
      <c r="P332" s="218"/>
      <c r="Q332" s="218"/>
      <c r="R332" s="218"/>
      <c r="S332" s="64">
        <v>31700</v>
      </c>
      <c r="T332">
        <v>1560</v>
      </c>
    </row>
    <row r="333" spans="1:20" x14ac:dyDescent="0.25">
      <c r="A333" s="64" t="str">
        <f t="shared" si="35"/>
        <v>CIRC  406.4*8</v>
      </c>
      <c r="B333" s="163">
        <f t="shared" si="30"/>
        <v>78.601140228343013</v>
      </c>
      <c r="C333" s="64">
        <v>406.4</v>
      </c>
      <c r="D333" s="64">
        <v>8</v>
      </c>
      <c r="E333" s="64"/>
      <c r="F333" s="64"/>
      <c r="G333" s="64"/>
      <c r="H333" s="163">
        <f t="shared" si="31"/>
        <v>100.12884105521402</v>
      </c>
      <c r="I333" s="187">
        <f t="shared" si="32"/>
        <v>19873.892784930253</v>
      </c>
      <c r="J333" s="187">
        <f t="shared" si="33"/>
        <v>978.04590477018962</v>
      </c>
      <c r="K333" s="228">
        <v>1270</v>
      </c>
      <c r="L333" s="218">
        <f t="shared" si="34"/>
        <v>14.08840658129939</v>
      </c>
      <c r="M333" s="218"/>
      <c r="N333" s="218"/>
      <c r="O333" s="218"/>
      <c r="P333" s="218"/>
      <c r="Q333" s="218"/>
      <c r="R333" s="218"/>
      <c r="S333" s="64">
        <v>39750</v>
      </c>
      <c r="T333">
        <v>1956</v>
      </c>
    </row>
    <row r="334" spans="1:20" x14ac:dyDescent="0.25">
      <c r="A334" s="64" t="str">
        <f t="shared" si="35"/>
        <v>CIRC  406.4*10</v>
      </c>
      <c r="B334" s="163">
        <f t="shared" si="30"/>
        <v>97.758195238815034</v>
      </c>
      <c r="C334" s="64">
        <v>406.4</v>
      </c>
      <c r="D334" s="64">
        <v>10</v>
      </c>
      <c r="E334" s="64"/>
      <c r="F334" s="64"/>
      <c r="G334" s="64"/>
      <c r="H334" s="163">
        <f t="shared" si="31"/>
        <v>124.5327327882994</v>
      </c>
      <c r="I334" s="187">
        <f t="shared" si="32"/>
        <v>24475.812741491711</v>
      </c>
      <c r="J334" s="187">
        <f t="shared" si="33"/>
        <v>1204.5183435773479</v>
      </c>
      <c r="K334" s="228">
        <v>1572</v>
      </c>
      <c r="L334" s="218">
        <f t="shared" si="34"/>
        <v>14.019315247186647</v>
      </c>
      <c r="M334" s="218"/>
      <c r="N334" s="218"/>
      <c r="O334" s="218"/>
      <c r="P334" s="218"/>
      <c r="Q334" s="218"/>
      <c r="R334" s="218"/>
      <c r="S334" s="64">
        <v>48950</v>
      </c>
      <c r="T334">
        <v>2409</v>
      </c>
    </row>
    <row r="335" spans="1:20" x14ac:dyDescent="0.25">
      <c r="A335" s="64" t="str">
        <f t="shared" si="35"/>
        <v>CIRC  406.4*12.5</v>
      </c>
      <c r="B335" s="163">
        <f t="shared" si="30"/>
        <v>121.42707210068505</v>
      </c>
      <c r="C335" s="64">
        <v>406.4</v>
      </c>
      <c r="D335" s="64">
        <v>12.5</v>
      </c>
      <c r="E335" s="64"/>
      <c r="F335" s="64"/>
      <c r="G335" s="64"/>
      <c r="H335" s="163">
        <f t="shared" si="31"/>
        <v>154.68416828112746</v>
      </c>
      <c r="I335" s="187">
        <f t="shared" si="32"/>
        <v>30030.666728705204</v>
      </c>
      <c r="J335" s="187">
        <f t="shared" si="33"/>
        <v>1477.8871421606891</v>
      </c>
      <c r="K335" s="228">
        <v>1940</v>
      </c>
      <c r="L335" s="218">
        <f t="shared" si="34"/>
        <v>13.933478567823617</v>
      </c>
      <c r="M335" s="218"/>
      <c r="N335" s="218"/>
      <c r="O335" s="218"/>
      <c r="P335" s="218"/>
      <c r="Q335" s="218"/>
      <c r="R335" s="218"/>
      <c r="S335" s="64">
        <v>60060</v>
      </c>
      <c r="T335">
        <v>2956</v>
      </c>
    </row>
    <row r="336" spans="1:20" x14ac:dyDescent="0.25">
      <c r="A336" s="64" t="str">
        <f t="shared" si="35"/>
        <v>CIRC  406.4*14.2</v>
      </c>
      <c r="B336" s="163">
        <f t="shared" si="30"/>
        <v>137.34582524011554</v>
      </c>
      <c r="C336" s="64">
        <v>406.4</v>
      </c>
      <c r="D336" s="64">
        <v>14.2</v>
      </c>
      <c r="E336" s="64"/>
      <c r="F336" s="64"/>
      <c r="G336" s="64"/>
      <c r="H336" s="163">
        <f t="shared" si="31"/>
        <v>174.96283470078413</v>
      </c>
      <c r="I336" s="187">
        <f t="shared" si="32"/>
        <v>33685.26213555604</v>
      </c>
      <c r="J336" s="187">
        <f t="shared" si="33"/>
        <v>1657.7392783246082</v>
      </c>
      <c r="K336" s="228">
        <v>2185</v>
      </c>
      <c r="L336" s="218">
        <f t="shared" si="34"/>
        <v>13.875449542267091</v>
      </c>
      <c r="M336" s="218"/>
      <c r="N336" s="218"/>
      <c r="O336" s="218"/>
      <c r="P336" s="218"/>
      <c r="Q336" s="218"/>
      <c r="R336" s="218"/>
      <c r="S336" s="64">
        <v>67370</v>
      </c>
      <c r="T336">
        <v>3315</v>
      </c>
    </row>
    <row r="337" spans="1:20" x14ac:dyDescent="0.25">
      <c r="A337" s="64" t="str">
        <f t="shared" si="35"/>
        <v>CIRC  406.4*16</v>
      </c>
      <c r="B337" s="163">
        <f t="shared" si="30"/>
        <v>154.04560815835885</v>
      </c>
      <c r="C337" s="64">
        <v>406.4</v>
      </c>
      <c r="D337" s="64">
        <v>16</v>
      </c>
      <c r="E337" s="64"/>
      <c r="F337" s="64"/>
      <c r="G337" s="64"/>
      <c r="H337" s="163">
        <f t="shared" si="31"/>
        <v>196.23644351383291</v>
      </c>
      <c r="I337" s="187">
        <f t="shared" si="32"/>
        <v>37448.820945250998</v>
      </c>
      <c r="J337" s="187">
        <f t="shared" si="33"/>
        <v>1842.953786675738</v>
      </c>
      <c r="K337" s="228">
        <v>2440</v>
      </c>
      <c r="L337" s="218">
        <f t="shared" si="34"/>
        <v>13.814311419683573</v>
      </c>
      <c r="M337" s="218"/>
      <c r="N337" s="218"/>
      <c r="O337" s="218"/>
      <c r="P337" s="218"/>
      <c r="Q337" s="218"/>
      <c r="R337" s="218"/>
      <c r="S337" s="64">
        <v>74900</v>
      </c>
      <c r="T337">
        <v>3686</v>
      </c>
    </row>
    <row r="338" spans="1:20" x14ac:dyDescent="0.25">
      <c r="A338" s="64" t="str">
        <f t="shared" si="35"/>
        <v>CIRC  406.4*20</v>
      </c>
      <c r="B338" s="163">
        <f t="shared" si="30"/>
        <v>190.58409001149408</v>
      </c>
      <c r="C338" s="64">
        <v>406.4</v>
      </c>
      <c r="D338" s="64">
        <v>20</v>
      </c>
      <c r="E338" s="64"/>
      <c r="F338" s="64"/>
      <c r="G338" s="64"/>
      <c r="H338" s="163">
        <f t="shared" si="31"/>
        <v>242.7822802694192</v>
      </c>
      <c r="I338" s="187">
        <f t="shared" si="32"/>
        <v>45432.139445552748</v>
      </c>
      <c r="J338" s="187">
        <f t="shared" si="33"/>
        <v>2235.833634131533</v>
      </c>
      <c r="K338" s="228">
        <v>2989</v>
      </c>
      <c r="L338" s="218">
        <f t="shared" si="34"/>
        <v>13.67959063714993</v>
      </c>
      <c r="M338" s="218"/>
      <c r="N338" s="218"/>
      <c r="O338" s="218"/>
      <c r="P338" s="218"/>
      <c r="Q338" s="218"/>
      <c r="R338" s="218"/>
      <c r="S338" s="64">
        <v>90860</v>
      </c>
      <c r="T338">
        <v>4472</v>
      </c>
    </row>
    <row r="339" spans="1:20" x14ac:dyDescent="0.25">
      <c r="A339" s="64" t="str">
        <f t="shared" si="35"/>
        <v>CIRC  406.4*25</v>
      </c>
      <c r="B339" s="163">
        <f t="shared" si="30"/>
        <v>235.14742472303274</v>
      </c>
      <c r="C339" s="64">
        <v>406.4</v>
      </c>
      <c r="D339" s="64">
        <v>25</v>
      </c>
      <c r="E339" s="64"/>
      <c r="F339" s="64"/>
      <c r="G339" s="64"/>
      <c r="H339" s="163">
        <f t="shared" si="31"/>
        <v>299.55085951978691</v>
      </c>
      <c r="I339" s="187">
        <f t="shared" si="32"/>
        <v>54702.090795088508</v>
      </c>
      <c r="J339" s="187">
        <f t="shared" si="33"/>
        <v>2692.0320273173479</v>
      </c>
      <c r="K339" s="228">
        <v>3642</v>
      </c>
      <c r="L339" s="218">
        <f t="shared" si="34"/>
        <v>13.513463656664786</v>
      </c>
      <c r="M339" s="218"/>
      <c r="N339" s="218"/>
      <c r="O339" s="218"/>
      <c r="P339" s="218"/>
      <c r="Q339" s="218"/>
      <c r="R339" s="218"/>
      <c r="S339" s="64">
        <v>109400</v>
      </c>
      <c r="T339">
        <v>5384</v>
      </c>
    </row>
    <row r="340" spans="1:20" x14ac:dyDescent="0.25">
      <c r="A340" s="64" t="str">
        <f t="shared" si="35"/>
        <v>CIRC  406.4*30</v>
      </c>
      <c r="B340" s="163">
        <f t="shared" si="30"/>
        <v>278.47768431803729</v>
      </c>
      <c r="C340" s="64">
        <v>406.4</v>
      </c>
      <c r="D340" s="64">
        <v>30</v>
      </c>
      <c r="E340" s="64"/>
      <c r="F340" s="64"/>
      <c r="G340" s="64"/>
      <c r="H340" s="163">
        <f t="shared" si="31"/>
        <v>354.74864244335959</v>
      </c>
      <c r="I340" s="187">
        <f t="shared" si="32"/>
        <v>63223.728754626471</v>
      </c>
      <c r="J340" s="187">
        <f t="shared" si="33"/>
        <v>3111.4039741450033</v>
      </c>
      <c r="K340" s="228">
        <v>4259</v>
      </c>
      <c r="L340" s="218">
        <f t="shared" si="34"/>
        <v>13.349951310772635</v>
      </c>
      <c r="M340" s="218"/>
      <c r="N340" s="218"/>
      <c r="O340" s="218"/>
      <c r="P340" s="218"/>
      <c r="Q340" s="218"/>
      <c r="R340" s="218"/>
      <c r="S340" s="64">
        <v>126400</v>
      </c>
      <c r="T340">
        <v>6223</v>
      </c>
    </row>
    <row r="341" spans="1:20" x14ac:dyDescent="0.25">
      <c r="A341" s="64" t="str">
        <f>$B$225&amp;"  "&amp;C341&amp;"*"&amp;D341</f>
        <v>CIRC  406.4*40</v>
      </c>
      <c r="B341" s="163">
        <f>H341*0.785</f>
        <v>361.43897815844423</v>
      </c>
      <c r="C341" s="64">
        <v>406.4</v>
      </c>
      <c r="D341" s="64">
        <v>40</v>
      </c>
      <c r="E341" s="64"/>
      <c r="F341" s="64"/>
      <c r="G341" s="64"/>
      <c r="H341" s="163">
        <f>(C341^2-(C341-2*D341)^2)*PI()*0.01/4</f>
        <v>460.43181931012003</v>
      </c>
      <c r="I341" s="187">
        <f>(C341^4-(C341-2*D341)^4)*PI()*0.0001/64</f>
        <v>78186.479755234657</v>
      </c>
      <c r="J341" s="187">
        <f>I341/(C341*0.5*0.1)</f>
        <v>3847.7598304741464</v>
      </c>
      <c r="K341" s="228">
        <v>5391</v>
      </c>
      <c r="L341" s="218">
        <f>SQRT(I341/H341)</f>
        <v>13.031162649587335</v>
      </c>
      <c r="M341" s="218"/>
      <c r="N341" s="218"/>
      <c r="O341" s="218"/>
      <c r="P341" s="218"/>
      <c r="Q341" s="218"/>
      <c r="R341" s="218"/>
      <c r="S341" s="64">
        <v>156400</v>
      </c>
      <c r="T341">
        <v>7696</v>
      </c>
    </row>
    <row r="342" spans="1:20" x14ac:dyDescent="0.25">
      <c r="A342" s="219" t="str">
        <f t="shared" si="35"/>
        <v>CIRC  457*6.3</v>
      </c>
      <c r="B342" s="168">
        <f t="shared" ref="B342:B410" si="36">H342*0.785</f>
        <v>70.024116332755852</v>
      </c>
      <c r="C342" s="167">
        <v>457</v>
      </c>
      <c r="D342" s="167">
        <v>6.3</v>
      </c>
      <c r="E342" s="167"/>
      <c r="F342" s="167"/>
      <c r="G342" s="167"/>
      <c r="H342" s="168">
        <f t="shared" ref="H342:H410" si="37">(C342^2-(C342-2*D342)^2)*PI()*0.01/4</f>
        <v>89.202695965294069</v>
      </c>
      <c r="I342" s="184">
        <f t="shared" ref="I342:I410" si="38">(C342^4-(C342-2*D342)^4)*PI()*0.0001/64</f>
        <v>22654.15974469257</v>
      </c>
      <c r="J342" s="184">
        <f t="shared" ref="J342:J410" si="39">I342/(C342*0.5*0.1)</f>
        <v>991.42931048982791</v>
      </c>
      <c r="K342" s="229">
        <v>1280</v>
      </c>
      <c r="L342" s="220">
        <f t="shared" ref="L342:L410" si="40">SQRT(I342/H342)</f>
        <v>15.936207986845547</v>
      </c>
      <c r="M342" s="220"/>
      <c r="N342" s="220"/>
      <c r="O342" s="220"/>
      <c r="P342" s="220"/>
      <c r="Q342" s="220"/>
      <c r="R342" s="220"/>
      <c r="S342" s="167">
        <v>45310</v>
      </c>
      <c r="T342" s="221">
        <v>1983</v>
      </c>
    </row>
    <row r="343" spans="1:20" x14ac:dyDescent="0.25">
      <c r="A343" s="222" t="str">
        <f t="shared" si="35"/>
        <v>CIRC  457*8</v>
      </c>
      <c r="B343" s="174">
        <f t="shared" si="36"/>
        <v>88.584116371802125</v>
      </c>
      <c r="C343" s="173">
        <v>457</v>
      </c>
      <c r="D343" s="173">
        <v>8</v>
      </c>
      <c r="E343" s="173"/>
      <c r="F343" s="173"/>
      <c r="G343" s="173"/>
      <c r="H343" s="174">
        <f t="shared" si="37"/>
        <v>112.84600811694538</v>
      </c>
      <c r="I343" s="185">
        <f t="shared" si="38"/>
        <v>28446.362783629735</v>
      </c>
      <c r="J343" s="185">
        <f t="shared" si="39"/>
        <v>1244.9174084739489</v>
      </c>
      <c r="K343" s="230">
        <v>1613</v>
      </c>
      <c r="L343" s="223">
        <f t="shared" si="40"/>
        <v>15.877066794594018</v>
      </c>
      <c r="M343" s="223"/>
      <c r="N343" s="223"/>
      <c r="O343" s="223"/>
      <c r="P343" s="223"/>
      <c r="Q343" s="223"/>
      <c r="R343" s="223"/>
      <c r="S343" s="173">
        <v>56890</v>
      </c>
      <c r="T343" s="224">
        <v>2490</v>
      </c>
    </row>
    <row r="344" spans="1:20" x14ac:dyDescent="0.25">
      <c r="A344" s="222" t="str">
        <f t="shared" si="35"/>
        <v>CIRC  457*10</v>
      </c>
      <c r="B344" s="174">
        <f t="shared" si="36"/>
        <v>110.23691541813906</v>
      </c>
      <c r="C344" s="173">
        <v>457</v>
      </c>
      <c r="D344" s="173">
        <v>10</v>
      </c>
      <c r="E344" s="173"/>
      <c r="F344" s="173"/>
      <c r="G344" s="173"/>
      <c r="H344" s="174">
        <f t="shared" si="37"/>
        <v>140.42919161546376</v>
      </c>
      <c r="I344" s="185">
        <f t="shared" si="38"/>
        <v>35091.324083319683</v>
      </c>
      <c r="J344" s="185">
        <f t="shared" si="39"/>
        <v>1535.7253428148656</v>
      </c>
      <c r="K344" s="230">
        <v>1998</v>
      </c>
      <c r="L344" s="223">
        <f t="shared" si="40"/>
        <v>15.807790800741261</v>
      </c>
      <c r="M344" s="223"/>
      <c r="N344" s="223"/>
      <c r="O344" s="223"/>
      <c r="P344" s="223"/>
      <c r="Q344" s="223"/>
      <c r="R344" s="223"/>
      <c r="S344" s="173">
        <v>70180</v>
      </c>
      <c r="T344" s="224">
        <v>3071</v>
      </c>
    </row>
    <row r="345" spans="1:20" x14ac:dyDescent="0.25">
      <c r="A345" s="222" t="str">
        <f t="shared" si="35"/>
        <v>CIRC  457*12.5</v>
      </c>
      <c r="B345" s="174">
        <f t="shared" si="36"/>
        <v>137.02547232484008</v>
      </c>
      <c r="C345" s="173">
        <v>457</v>
      </c>
      <c r="D345" s="173">
        <v>12.5</v>
      </c>
      <c r="E345" s="173"/>
      <c r="F345" s="173"/>
      <c r="G345" s="173"/>
      <c r="H345" s="174">
        <f t="shared" si="37"/>
        <v>174.55474181508291</v>
      </c>
      <c r="I345" s="185">
        <f t="shared" si="38"/>
        <v>43144.804631147672</v>
      </c>
      <c r="J345" s="185">
        <f t="shared" si="39"/>
        <v>1888.1752573806421</v>
      </c>
      <c r="K345" s="230">
        <v>2470</v>
      </c>
      <c r="L345" s="223">
        <f t="shared" si="40"/>
        <v>15.721661012755616</v>
      </c>
      <c r="M345" s="223"/>
      <c r="N345" s="223"/>
      <c r="O345" s="223"/>
      <c r="P345" s="223"/>
      <c r="Q345" s="223"/>
      <c r="R345" s="223"/>
      <c r="S345" s="173">
        <v>86290</v>
      </c>
      <c r="T345" s="224">
        <v>3776</v>
      </c>
    </row>
    <row r="346" spans="1:20" x14ac:dyDescent="0.25">
      <c r="A346" s="222" t="str">
        <f t="shared" si="35"/>
        <v>CIRC  457*14.2</v>
      </c>
      <c r="B346" s="174">
        <f t="shared" si="36"/>
        <v>155.06560789475557</v>
      </c>
      <c r="C346" s="173">
        <v>457</v>
      </c>
      <c r="D346" s="173">
        <v>14.2</v>
      </c>
      <c r="E346" s="173"/>
      <c r="F346" s="173"/>
      <c r="G346" s="173"/>
      <c r="H346" s="174">
        <f t="shared" si="37"/>
        <v>197.53580623535743</v>
      </c>
      <c r="I346" s="185">
        <f t="shared" si="38"/>
        <v>48463.800143024135</v>
      </c>
      <c r="J346" s="185">
        <f t="shared" si="39"/>
        <v>2120.9540543993057</v>
      </c>
      <c r="K346" s="230">
        <v>2785</v>
      </c>
      <c r="L346" s="223">
        <f t="shared" si="40"/>
        <v>15.663392033656057</v>
      </c>
      <c r="M346" s="223"/>
      <c r="N346" s="223"/>
      <c r="O346" s="223"/>
      <c r="P346" s="223"/>
      <c r="Q346" s="223"/>
      <c r="R346" s="223"/>
      <c r="S346" s="173">
        <v>96930</v>
      </c>
      <c r="T346" s="224">
        <v>4242</v>
      </c>
    </row>
    <row r="347" spans="1:20" x14ac:dyDescent="0.25">
      <c r="A347" s="222" t="str">
        <f t="shared" si="35"/>
        <v>CIRC  457*16</v>
      </c>
      <c r="B347" s="174">
        <f t="shared" si="36"/>
        <v>174.01156044527721</v>
      </c>
      <c r="C347" s="173">
        <v>457</v>
      </c>
      <c r="D347" s="173">
        <v>16</v>
      </c>
      <c r="E347" s="173"/>
      <c r="F347" s="173"/>
      <c r="G347" s="173"/>
      <c r="H347" s="174">
        <f t="shared" si="37"/>
        <v>221.6707776372958</v>
      </c>
      <c r="I347" s="185">
        <f t="shared" si="38"/>
        <v>53959.377780942596</v>
      </c>
      <c r="J347" s="185">
        <f t="shared" si="39"/>
        <v>2361.4607343957373</v>
      </c>
      <c r="K347" s="230">
        <v>3113</v>
      </c>
      <c r="L347" s="223">
        <f t="shared" si="40"/>
        <v>15.60196301751802</v>
      </c>
      <c r="M347" s="223"/>
      <c r="N347" s="223"/>
      <c r="O347" s="223"/>
      <c r="P347" s="223"/>
      <c r="Q347" s="223"/>
      <c r="R347" s="223"/>
      <c r="S347" s="173">
        <v>107900</v>
      </c>
      <c r="T347" s="224">
        <v>4723</v>
      </c>
    </row>
    <row r="348" spans="1:20" x14ac:dyDescent="0.25">
      <c r="A348" s="222" t="str">
        <f t="shared" si="35"/>
        <v>CIRC  457*20</v>
      </c>
      <c r="B348" s="174">
        <f t="shared" si="36"/>
        <v>215.54153037014211</v>
      </c>
      <c r="C348" s="173">
        <v>457</v>
      </c>
      <c r="D348" s="173">
        <v>20</v>
      </c>
      <c r="E348" s="173"/>
      <c r="F348" s="173"/>
      <c r="G348" s="173"/>
      <c r="H348" s="174">
        <f t="shared" si="37"/>
        <v>274.57519792374791</v>
      </c>
      <c r="I348" s="185">
        <f t="shared" si="38"/>
        <v>65681.476314337153</v>
      </c>
      <c r="J348" s="185">
        <f t="shared" si="39"/>
        <v>2874.4628583954986</v>
      </c>
      <c r="K348" s="230">
        <v>3822</v>
      </c>
      <c r="L348" s="223">
        <f t="shared" si="40"/>
        <v>15.466455637928169</v>
      </c>
      <c r="M348" s="223"/>
      <c r="N348" s="223"/>
      <c r="O348" s="223"/>
      <c r="P348" s="223"/>
      <c r="Q348" s="223"/>
      <c r="R348" s="223"/>
      <c r="S348" s="173">
        <v>131400</v>
      </c>
      <c r="T348" s="224">
        <v>5749</v>
      </c>
    </row>
    <row r="349" spans="1:20" x14ac:dyDescent="0.25">
      <c r="A349" s="222" t="str">
        <f t="shared" si="35"/>
        <v>CIRC  457*25</v>
      </c>
      <c r="B349" s="174">
        <f t="shared" si="36"/>
        <v>266.34422517134271</v>
      </c>
      <c r="C349" s="173">
        <v>457</v>
      </c>
      <c r="D349" s="173">
        <v>25</v>
      </c>
      <c r="E349" s="173"/>
      <c r="F349" s="173"/>
      <c r="G349" s="173"/>
      <c r="H349" s="174">
        <f t="shared" si="37"/>
        <v>339.2920065876977</v>
      </c>
      <c r="I349" s="185">
        <f t="shared" si="38"/>
        <v>79415.111176924751</v>
      </c>
      <c r="J349" s="185">
        <f t="shared" si="39"/>
        <v>3475.4972068676038</v>
      </c>
      <c r="K349" s="230">
        <v>4671</v>
      </c>
      <c r="L349" s="223">
        <f t="shared" si="40"/>
        <v>15.299060428666852</v>
      </c>
      <c r="M349" s="223"/>
      <c r="N349" s="223"/>
      <c r="O349" s="223"/>
      <c r="P349" s="223"/>
      <c r="Q349" s="223"/>
      <c r="R349" s="223"/>
      <c r="S349" s="173">
        <v>158800</v>
      </c>
      <c r="T349" s="224">
        <v>6951</v>
      </c>
    </row>
    <row r="350" spans="1:20" x14ac:dyDescent="0.25">
      <c r="A350" s="222" t="str">
        <f t="shared" si="35"/>
        <v>CIRC  457*30</v>
      </c>
      <c r="B350" s="174">
        <f t="shared" si="36"/>
        <v>315.91384485600923</v>
      </c>
      <c r="C350" s="173">
        <v>457</v>
      </c>
      <c r="D350" s="173">
        <v>30</v>
      </c>
      <c r="E350" s="173"/>
      <c r="F350" s="173"/>
      <c r="G350" s="173"/>
      <c r="H350" s="174">
        <f t="shared" si="37"/>
        <v>402.43801892485254</v>
      </c>
      <c r="I350" s="185">
        <f t="shared" si="38"/>
        <v>92172.894711977249</v>
      </c>
      <c r="J350" s="185">
        <f t="shared" si="39"/>
        <v>4033.8247138720894</v>
      </c>
      <c r="K350" s="230">
        <v>5479</v>
      </c>
      <c r="L350" s="223">
        <f t="shared" si="40"/>
        <v>15.133943636739234</v>
      </c>
      <c r="M350" s="223"/>
      <c r="N350" s="223"/>
      <c r="O350" s="223"/>
      <c r="P350" s="223"/>
      <c r="Q350" s="223"/>
      <c r="R350" s="223"/>
      <c r="S350" s="173">
        <v>184300</v>
      </c>
      <c r="T350" s="224">
        <v>8068</v>
      </c>
    </row>
    <row r="351" spans="1:20" x14ac:dyDescent="0.25">
      <c r="A351" s="225" t="str">
        <f t="shared" si="35"/>
        <v>CIRC  457*40</v>
      </c>
      <c r="B351" s="180">
        <f t="shared" si="36"/>
        <v>411.3538588757404</v>
      </c>
      <c r="C351" s="179">
        <v>457</v>
      </c>
      <c r="D351" s="179">
        <v>40</v>
      </c>
      <c r="E351" s="179"/>
      <c r="F351" s="179"/>
      <c r="G351" s="179"/>
      <c r="H351" s="180">
        <f t="shared" si="37"/>
        <v>524.01765461877756</v>
      </c>
      <c r="I351" s="186">
        <f t="shared" si="38"/>
        <v>114949.1677392433</v>
      </c>
      <c r="J351" s="186">
        <f t="shared" si="39"/>
        <v>5030.5981505139298</v>
      </c>
      <c r="K351" s="231">
        <v>6977</v>
      </c>
      <c r="L351" s="226">
        <f t="shared" si="40"/>
        <v>14.810849064115128</v>
      </c>
      <c r="M351" s="226"/>
      <c r="N351" s="226"/>
      <c r="O351" s="226"/>
      <c r="P351" s="226"/>
      <c r="Q351" s="226"/>
      <c r="R351" s="226"/>
      <c r="S351" s="179">
        <v>229900</v>
      </c>
      <c r="T351" s="227">
        <v>10060</v>
      </c>
    </row>
    <row r="352" spans="1:20" x14ac:dyDescent="0.25">
      <c r="A352" s="64" t="str">
        <f t="shared" si="35"/>
        <v>CIRC  508*6.3</v>
      </c>
      <c r="B352" s="163">
        <f t="shared" si="36"/>
        <v>77.947857031603348</v>
      </c>
      <c r="C352" s="64">
        <v>508</v>
      </c>
      <c r="D352" s="64">
        <v>6.3</v>
      </c>
      <c r="E352" s="64"/>
      <c r="F352" s="64"/>
      <c r="G352" s="64"/>
      <c r="H352" s="163">
        <f t="shared" si="37"/>
        <v>99.296633161278152</v>
      </c>
      <c r="I352" s="187">
        <f t="shared" si="38"/>
        <v>31246.488271667135</v>
      </c>
      <c r="J352" s="187">
        <f t="shared" si="39"/>
        <v>1230.1767036089423</v>
      </c>
      <c r="K352" s="228">
        <v>1586</v>
      </c>
      <c r="L352" s="218">
        <f t="shared" si="40"/>
        <v>17.739172049450332</v>
      </c>
      <c r="M352" s="218"/>
      <c r="N352" s="218"/>
      <c r="O352" s="218"/>
      <c r="P352" s="218"/>
      <c r="Q352" s="218"/>
      <c r="R352" s="218"/>
      <c r="S352" s="64">
        <v>62490</v>
      </c>
      <c r="T352">
        <v>2460</v>
      </c>
    </row>
    <row r="353" spans="1:20" x14ac:dyDescent="0.25">
      <c r="A353" s="64" t="str">
        <f t="shared" si="35"/>
        <v>CIRC  508*8</v>
      </c>
      <c r="B353" s="163">
        <f t="shared" si="36"/>
        <v>98.646009322719507</v>
      </c>
      <c r="C353" s="64">
        <v>508</v>
      </c>
      <c r="D353" s="64">
        <v>8</v>
      </c>
      <c r="E353" s="64"/>
      <c r="F353" s="64"/>
      <c r="G353" s="64"/>
      <c r="H353" s="163">
        <f t="shared" si="37"/>
        <v>125.66370614359172</v>
      </c>
      <c r="I353" s="187">
        <f t="shared" si="38"/>
        <v>39279.961266363905</v>
      </c>
      <c r="J353" s="187">
        <f t="shared" si="39"/>
        <v>1546.4551679670828</v>
      </c>
      <c r="K353" s="228">
        <v>2000</v>
      </c>
      <c r="L353" s="218">
        <f t="shared" si="40"/>
        <v>17.679932126566552</v>
      </c>
      <c r="M353" s="218"/>
      <c r="N353" s="218"/>
      <c r="O353" s="218"/>
      <c r="P353" s="218"/>
      <c r="Q353" s="218"/>
      <c r="R353" s="218"/>
      <c r="S353" s="64">
        <v>78560</v>
      </c>
      <c r="T353">
        <v>3093</v>
      </c>
    </row>
    <row r="354" spans="1:20" x14ac:dyDescent="0.25">
      <c r="A354" s="64" t="str">
        <f t="shared" si="35"/>
        <v>CIRC  508*10</v>
      </c>
      <c r="B354" s="163">
        <f t="shared" si="36"/>
        <v>122.81428160678578</v>
      </c>
      <c r="C354" s="64">
        <v>508</v>
      </c>
      <c r="D354" s="64">
        <v>10</v>
      </c>
      <c r="E354" s="64"/>
      <c r="F354" s="64"/>
      <c r="G354" s="64"/>
      <c r="H354" s="163">
        <f t="shared" si="37"/>
        <v>156.4513141487717</v>
      </c>
      <c r="I354" s="187">
        <f t="shared" si="38"/>
        <v>48520.246056958567</v>
      </c>
      <c r="J354" s="187">
        <f t="shared" si="39"/>
        <v>1910.2459077542742</v>
      </c>
      <c r="K354" s="228">
        <v>2480</v>
      </c>
      <c r="L354" s="218">
        <f t="shared" si="40"/>
        <v>17.610508226624241</v>
      </c>
      <c r="M354" s="218"/>
      <c r="N354" s="218"/>
      <c r="O354" s="218"/>
      <c r="P354" s="218"/>
      <c r="Q354" s="218"/>
      <c r="R354" s="218"/>
      <c r="S354" s="64">
        <v>97040</v>
      </c>
      <c r="T354">
        <v>3820</v>
      </c>
    </row>
    <row r="355" spans="1:20" x14ac:dyDescent="0.25">
      <c r="A355" s="64" t="str">
        <f t="shared" si="35"/>
        <v>CIRC  508*12.5</v>
      </c>
      <c r="B355" s="163">
        <f t="shared" si="36"/>
        <v>152.74718006064847</v>
      </c>
      <c r="C355" s="64">
        <v>508</v>
      </c>
      <c r="D355" s="64">
        <v>12.5</v>
      </c>
      <c r="E355" s="64"/>
      <c r="F355" s="64"/>
      <c r="G355" s="64"/>
      <c r="H355" s="163">
        <f t="shared" si="37"/>
        <v>194.58239498171781</v>
      </c>
      <c r="I355" s="187">
        <f t="shared" si="38"/>
        <v>59755.402200907498</v>
      </c>
      <c r="J355" s="187">
        <f t="shared" si="39"/>
        <v>2352.5748897995077</v>
      </c>
      <c r="K355" s="228">
        <v>3070</v>
      </c>
      <c r="L355" s="218">
        <f t="shared" si="40"/>
        <v>17.52414405898331</v>
      </c>
      <c r="M355" s="218"/>
      <c r="N355" s="218"/>
      <c r="O355" s="218"/>
      <c r="P355" s="218"/>
      <c r="Q355" s="218"/>
      <c r="R355" s="218"/>
      <c r="S355" s="64">
        <v>119500</v>
      </c>
      <c r="T355">
        <v>4705</v>
      </c>
    </row>
    <row r="356" spans="1:20" x14ac:dyDescent="0.25">
      <c r="A356" s="64" t="str">
        <f t="shared" si="35"/>
        <v>CIRC  508*14.2</v>
      </c>
      <c r="B356" s="163">
        <f t="shared" si="36"/>
        <v>172.92546788263388</v>
      </c>
      <c r="C356" s="64">
        <v>508</v>
      </c>
      <c r="D356" s="64">
        <v>14.2</v>
      </c>
      <c r="E356" s="64"/>
      <c r="F356" s="64"/>
      <c r="G356" s="64"/>
      <c r="H356" s="163">
        <f t="shared" si="37"/>
        <v>220.28722023265462</v>
      </c>
      <c r="I356" s="187">
        <f t="shared" si="38"/>
        <v>67198.638560693318</v>
      </c>
      <c r="J356" s="187">
        <f t="shared" si="39"/>
        <v>2645.6156913658783</v>
      </c>
      <c r="K356" s="228">
        <v>3463</v>
      </c>
      <c r="L356" s="218">
        <f t="shared" si="40"/>
        <v>17.465683496502507</v>
      </c>
      <c r="M356" s="218"/>
      <c r="N356" s="218"/>
      <c r="O356" s="218"/>
      <c r="P356" s="218"/>
      <c r="Q356" s="218"/>
      <c r="R356" s="218"/>
      <c r="S356" s="64">
        <v>134400</v>
      </c>
      <c r="T356">
        <v>5291</v>
      </c>
    </row>
    <row r="357" spans="1:20" x14ac:dyDescent="0.25">
      <c r="A357" s="64" t="str">
        <f t="shared" ref="A357:A425" si="41">$B$225&amp;"  "&amp;C357&amp;"*"&amp;D357</f>
        <v>CIRC  508*16</v>
      </c>
      <c r="B357" s="163">
        <f t="shared" si="36"/>
        <v>194.13534634711198</v>
      </c>
      <c r="C357" s="64">
        <v>508</v>
      </c>
      <c r="D357" s="64">
        <v>16</v>
      </c>
      <c r="E357" s="64"/>
      <c r="F357" s="64"/>
      <c r="G357" s="64"/>
      <c r="H357" s="163">
        <f t="shared" si="37"/>
        <v>247.30617369058851</v>
      </c>
      <c r="I357" s="187">
        <f t="shared" si="38"/>
        <v>74909.040010879267</v>
      </c>
      <c r="J357" s="187">
        <f t="shared" si="39"/>
        <v>2949.1748035779237</v>
      </c>
      <c r="K357" s="228">
        <v>3874</v>
      </c>
      <c r="L357" s="218">
        <f t="shared" si="40"/>
        <v>17.40402252354323</v>
      </c>
      <c r="M357" s="218"/>
      <c r="N357" s="218"/>
      <c r="O357" s="218"/>
      <c r="P357" s="218"/>
      <c r="Q357" s="218"/>
      <c r="R357" s="218"/>
      <c r="S357" s="64">
        <v>149800</v>
      </c>
      <c r="T357">
        <v>5898</v>
      </c>
    </row>
    <row r="358" spans="1:20" x14ac:dyDescent="0.25">
      <c r="A358" s="64" t="str">
        <f t="shared" si="41"/>
        <v>CIRC  508*20</v>
      </c>
      <c r="B358" s="163">
        <f t="shared" si="36"/>
        <v>240.69626274743561</v>
      </c>
      <c r="C358" s="64">
        <v>508</v>
      </c>
      <c r="D358" s="64">
        <v>20</v>
      </c>
      <c r="E358" s="64"/>
      <c r="F358" s="64"/>
      <c r="G358" s="64"/>
      <c r="H358" s="163">
        <f t="shared" si="37"/>
        <v>306.61944299036384</v>
      </c>
      <c r="I358" s="187">
        <f t="shared" si="38"/>
        <v>91427.785510866684</v>
      </c>
      <c r="J358" s="187">
        <f t="shared" si="39"/>
        <v>3599.5191146010502</v>
      </c>
      <c r="K358" s="228">
        <v>4766</v>
      </c>
      <c r="L358" s="218">
        <f t="shared" si="40"/>
        <v>17.267889274604467</v>
      </c>
      <c r="M358" s="218"/>
      <c r="N358" s="218"/>
      <c r="O358" s="218"/>
      <c r="P358" s="218"/>
      <c r="Q358" s="218"/>
      <c r="R358" s="218"/>
      <c r="S358" s="64">
        <v>182900</v>
      </c>
      <c r="T358">
        <v>7199</v>
      </c>
    </row>
    <row r="359" spans="1:20" x14ac:dyDescent="0.25">
      <c r="A359" s="64" t="str">
        <f t="shared" si="41"/>
        <v>CIRC  508*25</v>
      </c>
      <c r="B359" s="163">
        <f t="shared" si="36"/>
        <v>297.7876406429595</v>
      </c>
      <c r="C359" s="64">
        <v>508</v>
      </c>
      <c r="D359" s="64">
        <v>25</v>
      </c>
      <c r="E359" s="64"/>
      <c r="F359" s="64"/>
      <c r="G359" s="64"/>
      <c r="H359" s="163">
        <f t="shared" si="37"/>
        <v>379.34731292096751</v>
      </c>
      <c r="I359" s="187">
        <f t="shared" si="38"/>
        <v>110918.30919324401</v>
      </c>
      <c r="J359" s="187">
        <f t="shared" si="39"/>
        <v>4366.8625666631497</v>
      </c>
      <c r="K359" s="228">
        <v>5837</v>
      </c>
      <c r="L359" s="218">
        <f t="shared" si="40"/>
        <v>17.099488296437414</v>
      </c>
      <c r="M359" s="218"/>
      <c r="N359" s="218"/>
      <c r="O359" s="218"/>
      <c r="P359" s="218"/>
      <c r="Q359" s="218"/>
      <c r="R359" s="218"/>
      <c r="S359" s="64">
        <v>221800</v>
      </c>
      <c r="T359">
        <v>8734</v>
      </c>
    </row>
    <row r="360" spans="1:20" x14ac:dyDescent="0.25">
      <c r="A360" s="64" t="str">
        <f t="shared" si="41"/>
        <v>CIRC  508*30</v>
      </c>
      <c r="B360" s="163">
        <f t="shared" si="36"/>
        <v>353.64594342194943</v>
      </c>
      <c r="C360" s="64">
        <v>508</v>
      </c>
      <c r="D360" s="64">
        <v>30</v>
      </c>
      <c r="E360" s="64"/>
      <c r="F360" s="64"/>
      <c r="G360" s="64"/>
      <c r="H360" s="163">
        <f t="shared" si="37"/>
        <v>450.50438652477635</v>
      </c>
      <c r="I360" s="187">
        <f t="shared" si="38"/>
        <v>129173.12274824914</v>
      </c>
      <c r="J360" s="187">
        <f t="shared" si="39"/>
        <v>5085.5560137105958</v>
      </c>
      <c r="K360" s="228">
        <v>6864</v>
      </c>
      <c r="L360" s="218">
        <f t="shared" si="40"/>
        <v>16.933103672983286</v>
      </c>
      <c r="M360" s="218"/>
      <c r="N360" s="218"/>
      <c r="O360" s="218"/>
      <c r="P360" s="218"/>
      <c r="Q360" s="218"/>
      <c r="R360" s="218"/>
      <c r="S360" s="64">
        <v>258300</v>
      </c>
      <c r="T360">
        <v>10170</v>
      </c>
    </row>
    <row r="361" spans="1:20" x14ac:dyDescent="0.25">
      <c r="A361" s="64" t="str">
        <f t="shared" si="41"/>
        <v>CIRC  508*40</v>
      </c>
      <c r="B361" s="163">
        <f t="shared" si="36"/>
        <v>461.66332363032734</v>
      </c>
      <c r="C361" s="64">
        <v>508</v>
      </c>
      <c r="D361" s="64">
        <v>40</v>
      </c>
      <c r="E361" s="64"/>
      <c r="F361" s="64"/>
      <c r="G361" s="64"/>
      <c r="H361" s="163">
        <f t="shared" si="37"/>
        <v>588.1061447520093</v>
      </c>
      <c r="I361" s="187">
        <f t="shared" si="38"/>
        <v>162187.91259970912</v>
      </c>
      <c r="J361" s="187">
        <f t="shared" si="39"/>
        <v>6385.350889752327</v>
      </c>
      <c r="K361" s="228">
        <v>8782</v>
      </c>
      <c r="L361" s="218">
        <f t="shared" si="40"/>
        <v>16.606625183943905</v>
      </c>
      <c r="M361" s="218"/>
      <c r="N361" s="218"/>
      <c r="O361" s="218"/>
      <c r="P361" s="218"/>
      <c r="Q361" s="218"/>
      <c r="R361" s="218"/>
      <c r="S361" s="64">
        <v>324400</v>
      </c>
      <c r="T361">
        <v>12770</v>
      </c>
    </row>
    <row r="362" spans="1:20" x14ac:dyDescent="0.25">
      <c r="A362" s="64" t="str">
        <f>$B$225&amp;"  "&amp;C362&amp;"*"&amp;D362</f>
        <v>CIRC  508*50</v>
      </c>
      <c r="B362" s="163">
        <f>H362*0.785</f>
        <v>564.74840337256921</v>
      </c>
      <c r="C362" s="64">
        <v>508</v>
      </c>
      <c r="D362" s="64">
        <v>50</v>
      </c>
      <c r="E362" s="64"/>
      <c r="F362" s="64"/>
      <c r="G362" s="64"/>
      <c r="H362" s="163">
        <f>(C362^2-(C362-2*D362)^2)*PI()*0.01/4</f>
        <v>719.42471767206268</v>
      </c>
      <c r="I362" s="187">
        <f>(C362^4-(C362-2*D362)^4)*PI()*0.0001/64</f>
        <v>190884.96033992837</v>
      </c>
      <c r="J362" s="187">
        <f>I362/(C362*0.5*0.1)</f>
        <v>7515.1559188948168</v>
      </c>
      <c r="K362" s="228">
        <v>10530</v>
      </c>
      <c r="L362" s="218">
        <f>SQRT(I362/H362)</f>
        <v>16.288953311984169</v>
      </c>
      <c r="M362" s="218"/>
      <c r="N362" s="218"/>
      <c r="O362" s="218"/>
      <c r="P362" s="218"/>
      <c r="Q362" s="218"/>
      <c r="R362" s="218"/>
      <c r="S362" s="64">
        <v>381800</v>
      </c>
      <c r="T362">
        <v>15030</v>
      </c>
    </row>
    <row r="363" spans="1:20" x14ac:dyDescent="0.25">
      <c r="A363" s="219" t="str">
        <f t="shared" si="41"/>
        <v>CIRC  610*6.3</v>
      </c>
      <c r="B363" s="168">
        <f t="shared" si="36"/>
        <v>93.795338429298383</v>
      </c>
      <c r="C363" s="167">
        <v>610</v>
      </c>
      <c r="D363" s="167">
        <v>6.3</v>
      </c>
      <c r="E363" s="167"/>
      <c r="F363" s="167"/>
      <c r="G363" s="167"/>
      <c r="H363" s="168">
        <f t="shared" si="37"/>
        <v>119.48450755324635</v>
      </c>
      <c r="I363" s="184">
        <f t="shared" si="38"/>
        <v>54439.140019647872</v>
      </c>
      <c r="J363" s="184">
        <f t="shared" si="39"/>
        <v>1784.8898367097663</v>
      </c>
      <c r="K363" s="229">
        <v>2296</v>
      </c>
      <c r="L363" s="220">
        <f t="shared" si="40"/>
        <v>21.345180369348022</v>
      </c>
      <c r="M363" s="220"/>
      <c r="N363" s="220"/>
      <c r="O363" s="220"/>
      <c r="P363" s="220"/>
      <c r="Q363" s="220"/>
      <c r="R363" s="220"/>
      <c r="S363" s="167">
        <v>108900</v>
      </c>
      <c r="T363" s="221">
        <v>3570</v>
      </c>
    </row>
    <row r="364" spans="1:20" x14ac:dyDescent="0.25">
      <c r="A364" s="222" t="str">
        <f t="shared" si="41"/>
        <v>CIRC  610*8</v>
      </c>
      <c r="B364" s="174">
        <f t="shared" si="36"/>
        <v>118.76979522455429</v>
      </c>
      <c r="C364" s="173">
        <v>610</v>
      </c>
      <c r="D364" s="173">
        <v>8</v>
      </c>
      <c r="E364" s="173"/>
      <c r="F364" s="173"/>
      <c r="G364" s="173"/>
      <c r="H364" s="174">
        <f t="shared" si="37"/>
        <v>151.29910219688443</v>
      </c>
      <c r="I364" s="185">
        <f t="shared" si="38"/>
        <v>68551.353718875383</v>
      </c>
      <c r="J364" s="185">
        <f t="shared" si="39"/>
        <v>2247.58536783198</v>
      </c>
      <c r="K364" s="230">
        <v>2899</v>
      </c>
      <c r="L364" s="223">
        <f t="shared" si="40"/>
        <v>21.285793384320915</v>
      </c>
      <c r="M364" s="223"/>
      <c r="N364" s="223"/>
      <c r="O364" s="223"/>
      <c r="P364" s="223"/>
      <c r="Q364" s="223"/>
      <c r="R364" s="223"/>
      <c r="S364" s="173">
        <v>137100</v>
      </c>
      <c r="T364" s="224">
        <v>4495</v>
      </c>
    </row>
    <row r="365" spans="1:20" x14ac:dyDescent="0.25">
      <c r="A365" s="222" t="str">
        <f t="shared" si="41"/>
        <v>CIRC  610*10</v>
      </c>
      <c r="B365" s="174">
        <f t="shared" si="36"/>
        <v>147.96901398407928</v>
      </c>
      <c r="C365" s="173">
        <v>610</v>
      </c>
      <c r="D365" s="173">
        <v>10</v>
      </c>
      <c r="E365" s="173"/>
      <c r="F365" s="173"/>
      <c r="G365" s="173"/>
      <c r="H365" s="174">
        <f t="shared" si="37"/>
        <v>188.4955592153876</v>
      </c>
      <c r="I365" s="185">
        <f t="shared" si="38"/>
        <v>84846.563591826343</v>
      </c>
      <c r="J365" s="185">
        <f t="shared" si="39"/>
        <v>2781.8545439943064</v>
      </c>
      <c r="K365" s="230">
        <v>3600</v>
      </c>
      <c r="L365" s="223">
        <f t="shared" si="40"/>
        <v>21.216149509277127</v>
      </c>
      <c r="M365" s="223"/>
      <c r="N365" s="223"/>
      <c r="O365" s="223"/>
      <c r="P365" s="223"/>
      <c r="Q365" s="223"/>
      <c r="R365" s="223"/>
      <c r="S365" s="173">
        <v>169700</v>
      </c>
      <c r="T365" s="224">
        <v>5564</v>
      </c>
    </row>
    <row r="366" spans="1:20" x14ac:dyDescent="0.25">
      <c r="A366" s="222" t="str">
        <f t="shared" si="41"/>
        <v>CIRC  610*12.5</v>
      </c>
      <c r="B366" s="174">
        <f t="shared" si="36"/>
        <v>184.19059553226535</v>
      </c>
      <c r="C366" s="173">
        <v>610</v>
      </c>
      <c r="D366" s="173">
        <v>12.5</v>
      </c>
      <c r="E366" s="173"/>
      <c r="F366" s="173"/>
      <c r="G366" s="173"/>
      <c r="H366" s="174">
        <f t="shared" si="37"/>
        <v>234.63770131498768</v>
      </c>
      <c r="I366" s="185">
        <f t="shared" si="38"/>
        <v>104754.73499489286</v>
      </c>
      <c r="J366" s="185">
        <f t="shared" si="39"/>
        <v>3434.5814752423889</v>
      </c>
      <c r="K366" s="230">
        <v>4463</v>
      </c>
      <c r="L366" s="223">
        <f t="shared" si="40"/>
        <v>21.12943740377391</v>
      </c>
      <c r="M366" s="223"/>
      <c r="N366" s="223"/>
      <c r="O366" s="223"/>
      <c r="P366" s="223"/>
      <c r="Q366" s="223"/>
      <c r="R366" s="223"/>
      <c r="S366" s="173">
        <v>209500</v>
      </c>
      <c r="T366" s="224">
        <v>6869</v>
      </c>
    </row>
    <row r="367" spans="1:20" x14ac:dyDescent="0.25">
      <c r="A367" s="222" t="str">
        <f t="shared" si="41"/>
        <v>CIRC  610*14.2</v>
      </c>
      <c r="B367" s="174">
        <f t="shared" si="36"/>
        <v>208.64518785839081</v>
      </c>
      <c r="C367" s="173">
        <v>610</v>
      </c>
      <c r="D367" s="173">
        <v>14.2</v>
      </c>
      <c r="E367" s="173"/>
      <c r="F367" s="173"/>
      <c r="G367" s="173"/>
      <c r="H367" s="174">
        <f t="shared" si="37"/>
        <v>265.79004822724943</v>
      </c>
      <c r="I367" s="185">
        <f t="shared" si="38"/>
        <v>118003.89745064963</v>
      </c>
      <c r="J367" s="185">
        <f t="shared" si="39"/>
        <v>3868.9802442835944</v>
      </c>
      <c r="K367" s="230">
        <v>5042</v>
      </c>
      <c r="L367" s="223">
        <f t="shared" si="40"/>
        <v>21.070692916940342</v>
      </c>
      <c r="M367" s="223"/>
      <c r="N367" s="223"/>
      <c r="O367" s="223"/>
      <c r="P367" s="223"/>
      <c r="Q367" s="223"/>
      <c r="R367" s="223"/>
      <c r="S367" s="173">
        <v>236000</v>
      </c>
      <c r="T367" s="224">
        <v>7738</v>
      </c>
    </row>
    <row r="368" spans="1:20" x14ac:dyDescent="0.25">
      <c r="A368" s="222" t="str">
        <f t="shared" si="41"/>
        <v>CIRC  610*16</v>
      </c>
      <c r="B368" s="174">
        <f t="shared" si="36"/>
        <v>234.38291815078156</v>
      </c>
      <c r="C368" s="173">
        <v>610</v>
      </c>
      <c r="D368" s="173">
        <v>16</v>
      </c>
      <c r="E368" s="173"/>
      <c r="F368" s="173"/>
      <c r="G368" s="173"/>
      <c r="H368" s="174">
        <f t="shared" si="37"/>
        <v>298.57696579717395</v>
      </c>
      <c r="I368" s="185">
        <f t="shared" si="38"/>
        <v>131781.4225090697</v>
      </c>
      <c r="J368" s="185">
        <f t="shared" si="39"/>
        <v>4320.7023773465471</v>
      </c>
      <c r="K368" s="230">
        <v>5647</v>
      </c>
      <c r="L368" s="223">
        <f t="shared" si="40"/>
        <v>21.008688678734806</v>
      </c>
      <c r="M368" s="223"/>
      <c r="N368" s="223"/>
      <c r="O368" s="223"/>
      <c r="P368" s="223"/>
      <c r="Q368" s="223"/>
      <c r="R368" s="223"/>
      <c r="S368" s="173">
        <v>263600</v>
      </c>
      <c r="T368" s="224">
        <v>8641</v>
      </c>
    </row>
    <row r="369" spans="1:20" x14ac:dyDescent="0.25">
      <c r="A369" s="222" t="str">
        <f t="shared" si="41"/>
        <v>CIRC  610*20</v>
      </c>
      <c r="B369" s="174">
        <f t="shared" si="36"/>
        <v>291.00572750202252</v>
      </c>
      <c r="C369" s="173">
        <v>610</v>
      </c>
      <c r="D369" s="173">
        <v>20</v>
      </c>
      <c r="E369" s="173"/>
      <c r="F369" s="173"/>
      <c r="G369" s="173"/>
      <c r="H369" s="174">
        <f t="shared" si="37"/>
        <v>370.70793312359558</v>
      </c>
      <c r="I369" s="185">
        <f t="shared" si="38"/>
        <v>161489.64336696634</v>
      </c>
      <c r="J369" s="185">
        <f t="shared" si="39"/>
        <v>5294.742405474306</v>
      </c>
      <c r="K369" s="230">
        <v>6965</v>
      </c>
      <c r="L369" s="223">
        <f t="shared" si="40"/>
        <v>20.871631464741803</v>
      </c>
      <c r="M369" s="223"/>
      <c r="N369" s="223"/>
      <c r="O369" s="223"/>
      <c r="P369" s="223"/>
      <c r="Q369" s="223"/>
      <c r="R369" s="223"/>
      <c r="S369" s="173">
        <v>323000</v>
      </c>
      <c r="T369" s="224">
        <v>10590</v>
      </c>
    </row>
    <row r="370" spans="1:20" x14ac:dyDescent="0.25">
      <c r="A370" s="222" t="str">
        <f t="shared" si="41"/>
        <v>CIRC  610*25</v>
      </c>
      <c r="B370" s="174">
        <f t="shared" si="36"/>
        <v>360.67447158619325</v>
      </c>
      <c r="C370" s="173">
        <v>610</v>
      </c>
      <c r="D370" s="173">
        <v>25</v>
      </c>
      <c r="E370" s="173"/>
      <c r="F370" s="173"/>
      <c r="G370" s="173"/>
      <c r="H370" s="174">
        <f t="shared" si="37"/>
        <v>459.4579255875073</v>
      </c>
      <c r="I370" s="185">
        <f t="shared" si="38"/>
        <v>196906.43723459606</v>
      </c>
      <c r="J370" s="185">
        <f t="shared" si="39"/>
        <v>6455.948761790035</v>
      </c>
      <c r="K370" s="230">
        <v>8561</v>
      </c>
      <c r="L370" s="223">
        <f t="shared" si="40"/>
        <v>20.701751133660164</v>
      </c>
      <c r="M370" s="223"/>
      <c r="N370" s="223"/>
      <c r="O370" s="223"/>
      <c r="P370" s="223"/>
      <c r="Q370" s="223"/>
      <c r="R370" s="223"/>
      <c r="S370" s="173">
        <v>393800</v>
      </c>
      <c r="T370" s="224">
        <v>12910</v>
      </c>
    </row>
    <row r="371" spans="1:20" x14ac:dyDescent="0.25">
      <c r="A371" s="222" t="str">
        <f t="shared" si="41"/>
        <v>CIRC  610*30</v>
      </c>
      <c r="B371" s="174">
        <f t="shared" si="36"/>
        <v>429.11014055382981</v>
      </c>
      <c r="C371" s="173">
        <v>610</v>
      </c>
      <c r="D371" s="173">
        <v>30</v>
      </c>
      <c r="E371" s="173"/>
      <c r="F371" s="173"/>
      <c r="G371" s="173"/>
      <c r="H371" s="174">
        <f t="shared" si="37"/>
        <v>546.63712172462397</v>
      </c>
      <c r="I371" s="185">
        <f t="shared" si="38"/>
        <v>230475.8764471446</v>
      </c>
      <c r="J371" s="185">
        <f t="shared" si="39"/>
        <v>7556.5861130211342</v>
      </c>
      <c r="K371" s="230">
        <v>10101</v>
      </c>
      <c r="L371" s="223">
        <f t="shared" si="40"/>
        <v>20.533509198381072</v>
      </c>
      <c r="M371" s="223"/>
      <c r="N371" s="223"/>
      <c r="O371" s="223"/>
      <c r="P371" s="223"/>
      <c r="Q371" s="223"/>
      <c r="R371" s="223"/>
      <c r="S371" s="173">
        <v>461000</v>
      </c>
      <c r="T371" s="224">
        <v>15110</v>
      </c>
    </row>
    <row r="372" spans="1:20" x14ac:dyDescent="0.25">
      <c r="A372" s="222" t="str">
        <f t="shared" si="41"/>
        <v>CIRC  610*40</v>
      </c>
      <c r="B372" s="174">
        <f t="shared" si="36"/>
        <v>562.28225313950111</v>
      </c>
      <c r="C372" s="173">
        <v>610</v>
      </c>
      <c r="D372" s="173">
        <v>40</v>
      </c>
      <c r="E372" s="173"/>
      <c r="F372" s="173"/>
      <c r="G372" s="173"/>
      <c r="H372" s="174">
        <f t="shared" si="37"/>
        <v>716.28312501847279</v>
      </c>
      <c r="I372" s="185">
        <f t="shared" si="38"/>
        <v>292333.05039816425</v>
      </c>
      <c r="J372" s="185">
        <f t="shared" si="39"/>
        <v>9584.6901769889919</v>
      </c>
      <c r="K372" s="230">
        <v>13017</v>
      </c>
      <c r="L372" s="223">
        <f t="shared" si="40"/>
        <v>20.202103850836924</v>
      </c>
      <c r="M372" s="223"/>
      <c r="N372" s="223"/>
      <c r="O372" s="223"/>
      <c r="P372" s="223"/>
      <c r="Q372" s="223"/>
      <c r="R372" s="223"/>
      <c r="S372" s="173">
        <v>584700</v>
      </c>
      <c r="T372" s="224">
        <v>19170</v>
      </c>
    </row>
    <row r="373" spans="1:20" x14ac:dyDescent="0.25">
      <c r="A373" s="225" t="str">
        <f t="shared" si="41"/>
        <v>CIRC  610*50</v>
      </c>
      <c r="B373" s="180">
        <f t="shared" si="36"/>
        <v>690.52206525903648</v>
      </c>
      <c r="C373" s="179">
        <v>610</v>
      </c>
      <c r="D373" s="179">
        <v>50</v>
      </c>
      <c r="E373" s="179"/>
      <c r="F373" s="179"/>
      <c r="G373" s="179"/>
      <c r="H373" s="180">
        <f t="shared" si="37"/>
        <v>879.64594300514204</v>
      </c>
      <c r="I373" s="186">
        <f t="shared" si="38"/>
        <v>347570.10322990676</v>
      </c>
      <c r="J373" s="186">
        <f t="shared" si="39"/>
        <v>11395.74108950514</v>
      </c>
      <c r="K373" s="231">
        <v>15722</v>
      </c>
      <c r="L373" s="226">
        <f t="shared" si="40"/>
        <v>19.87775138188422</v>
      </c>
      <c r="M373" s="226"/>
      <c r="N373" s="226"/>
      <c r="O373" s="226"/>
      <c r="P373" s="226"/>
      <c r="Q373" s="226"/>
      <c r="R373" s="226"/>
      <c r="S373" s="179">
        <v>695100</v>
      </c>
      <c r="T373" s="227">
        <v>22790</v>
      </c>
    </row>
    <row r="374" spans="1:20" x14ac:dyDescent="0.25">
      <c r="A374" s="64" t="str">
        <f t="shared" si="41"/>
        <v>CIRC  711*6.3</v>
      </c>
      <c r="B374" s="163">
        <f t="shared" si="36"/>
        <v>109.48745236231007</v>
      </c>
      <c r="C374" s="64">
        <v>711</v>
      </c>
      <c r="D374" s="64">
        <v>6.3</v>
      </c>
      <c r="E374" s="64"/>
      <c r="F374" s="64"/>
      <c r="G374" s="64"/>
      <c r="H374" s="163">
        <f t="shared" si="37"/>
        <v>139.4744616080383</v>
      </c>
      <c r="I374" s="187">
        <f t="shared" si="38"/>
        <v>86586.056096947257</v>
      </c>
      <c r="J374" s="187">
        <f t="shared" si="39"/>
        <v>2435.613392319191</v>
      </c>
      <c r="K374" s="228">
        <v>3129</v>
      </c>
      <c r="L374" s="218">
        <f t="shared" si="40"/>
        <v>24.915903054073716</v>
      </c>
      <c r="M374" s="218"/>
      <c r="N374" s="218"/>
      <c r="O374" s="218"/>
      <c r="P374" s="218"/>
      <c r="Q374" s="218"/>
      <c r="R374" s="218"/>
      <c r="S374" s="64">
        <v>173200</v>
      </c>
      <c r="T374">
        <v>4871</v>
      </c>
    </row>
    <row r="375" spans="1:20" x14ac:dyDescent="0.25">
      <c r="A375" s="64" t="str">
        <f t="shared" si="41"/>
        <v>CIRC  711*8</v>
      </c>
      <c r="B375" s="163">
        <f t="shared" si="36"/>
        <v>138.69628910774361</v>
      </c>
      <c r="C375" s="64">
        <v>711</v>
      </c>
      <c r="D375" s="64">
        <v>8</v>
      </c>
      <c r="E375" s="64"/>
      <c r="F375" s="64"/>
      <c r="G375" s="64"/>
      <c r="H375" s="163">
        <f t="shared" si="37"/>
        <v>176.68317083788995</v>
      </c>
      <c r="I375" s="187">
        <f t="shared" si="38"/>
        <v>109162.15112444549</v>
      </c>
      <c r="J375" s="187">
        <f t="shared" si="39"/>
        <v>3070.6652918268769</v>
      </c>
      <c r="K375" s="228">
        <v>3954</v>
      </c>
      <c r="L375" s="218">
        <f t="shared" si="40"/>
        <v>24.85641265347838</v>
      </c>
      <c r="M375" s="218"/>
      <c r="N375" s="218"/>
      <c r="O375" s="218"/>
      <c r="P375" s="218"/>
      <c r="Q375" s="218"/>
      <c r="R375" s="218"/>
      <c r="S375" s="64">
        <v>218300</v>
      </c>
      <c r="T375">
        <v>6141</v>
      </c>
    </row>
    <row r="376" spans="1:20" x14ac:dyDescent="0.25">
      <c r="A376" s="64" t="str">
        <f t="shared" si="41"/>
        <v>CIRC  711*10</v>
      </c>
      <c r="B376" s="163">
        <f t="shared" si="36"/>
        <v>172.87713133806591</v>
      </c>
      <c r="C376" s="64">
        <v>711</v>
      </c>
      <c r="D376" s="64">
        <v>10</v>
      </c>
      <c r="E376" s="64"/>
      <c r="F376" s="64"/>
      <c r="G376" s="64"/>
      <c r="H376" s="163">
        <f t="shared" si="37"/>
        <v>220.22564501664448</v>
      </c>
      <c r="I376" s="187">
        <f t="shared" si="38"/>
        <v>135301.40593915724</v>
      </c>
      <c r="J376" s="187">
        <f t="shared" si="39"/>
        <v>3805.9467212139866</v>
      </c>
      <c r="K376" s="228">
        <v>4914</v>
      </c>
      <c r="L376" s="218">
        <f t="shared" si="40"/>
        <v>24.786614331126387</v>
      </c>
      <c r="M376" s="218"/>
      <c r="N376" s="218"/>
      <c r="O376" s="218"/>
      <c r="P376" s="218"/>
      <c r="Q376" s="218"/>
      <c r="R376" s="218"/>
      <c r="S376" s="64">
        <v>270600</v>
      </c>
      <c r="T376">
        <v>7612</v>
      </c>
    </row>
    <row r="377" spans="1:20" x14ac:dyDescent="0.25">
      <c r="A377" s="64" t="str">
        <f t="shared" si="41"/>
        <v>CIRC  711*12.5</v>
      </c>
      <c r="B377" s="163">
        <f t="shared" si="36"/>
        <v>215.32574222474869</v>
      </c>
      <c r="C377" s="64">
        <v>711</v>
      </c>
      <c r="D377" s="64">
        <v>12.5</v>
      </c>
      <c r="E377" s="64"/>
      <c r="F377" s="64"/>
      <c r="G377" s="64"/>
      <c r="H377" s="163">
        <f t="shared" si="37"/>
        <v>274.30030856655884</v>
      </c>
      <c r="I377" s="187">
        <f t="shared" si="38"/>
        <v>167343.2464356648</v>
      </c>
      <c r="J377" s="187">
        <f t="shared" si="39"/>
        <v>4707.2643160524549</v>
      </c>
      <c r="K377" s="228">
        <v>6099</v>
      </c>
      <c r="L377" s="218">
        <f t="shared" si="40"/>
        <v>24.699658398447536</v>
      </c>
      <c r="M377" s="218"/>
      <c r="N377" s="218"/>
      <c r="O377" s="218"/>
      <c r="P377" s="218"/>
      <c r="Q377" s="218"/>
      <c r="R377" s="218"/>
      <c r="S377" s="64">
        <v>334700</v>
      </c>
      <c r="T377">
        <v>9415</v>
      </c>
    </row>
    <row r="378" spans="1:20" x14ac:dyDescent="0.25">
      <c r="A378" s="64" t="str">
        <f t="shared" si="41"/>
        <v>CIRC  711*14.2</v>
      </c>
      <c r="B378" s="163">
        <f t="shared" si="36"/>
        <v>244.01471450105183</v>
      </c>
      <c r="C378" s="64">
        <v>711</v>
      </c>
      <c r="D378" s="64">
        <v>14.2</v>
      </c>
      <c r="E378" s="64"/>
      <c r="F378" s="64"/>
      <c r="G378" s="64"/>
      <c r="H378" s="163">
        <f t="shared" si="37"/>
        <v>310.84677006503415</v>
      </c>
      <c r="I378" s="187">
        <f t="shared" si="38"/>
        <v>188735.232519521</v>
      </c>
      <c r="J378" s="187">
        <f t="shared" si="39"/>
        <v>5309.0079471032623</v>
      </c>
      <c r="K378" s="228">
        <v>6895</v>
      </c>
      <c r="L378" s="218">
        <f t="shared" si="40"/>
        <v>24.640715289942378</v>
      </c>
      <c r="M378" s="218"/>
      <c r="N378" s="218"/>
      <c r="O378" s="218"/>
      <c r="P378" s="218"/>
      <c r="Q378" s="218"/>
      <c r="R378" s="218"/>
      <c r="S378" s="64">
        <v>377500</v>
      </c>
      <c r="T378">
        <v>10620</v>
      </c>
    </row>
    <row r="379" spans="1:20" x14ac:dyDescent="0.25">
      <c r="A379" s="64" t="str">
        <f t="shared" si="41"/>
        <v>CIRC  711*16</v>
      </c>
      <c r="B379" s="163">
        <f t="shared" si="36"/>
        <v>274.23590591716021</v>
      </c>
      <c r="C379" s="64">
        <v>711</v>
      </c>
      <c r="D379" s="64">
        <v>16</v>
      </c>
      <c r="E379" s="64"/>
      <c r="F379" s="64"/>
      <c r="G379" s="64"/>
      <c r="H379" s="163">
        <f t="shared" si="37"/>
        <v>349.34510307918498</v>
      </c>
      <c r="I379" s="187">
        <f t="shared" si="38"/>
        <v>211039.81345151452</v>
      </c>
      <c r="J379" s="187">
        <f t="shared" si="39"/>
        <v>5936.4223193112375</v>
      </c>
      <c r="K379" s="228">
        <v>7730</v>
      </c>
      <c r="L379" s="218">
        <f t="shared" si="40"/>
        <v>24.57847127060591</v>
      </c>
      <c r="M379" s="218"/>
      <c r="N379" s="218"/>
      <c r="O379" s="218"/>
      <c r="P379" s="218"/>
      <c r="Q379" s="218"/>
      <c r="R379" s="218"/>
      <c r="S379" s="64">
        <v>422100</v>
      </c>
      <c r="T379">
        <v>11870</v>
      </c>
    </row>
    <row r="380" spans="1:20" x14ac:dyDescent="0.25">
      <c r="A380" s="64" t="str">
        <f t="shared" si="41"/>
        <v>CIRC  711*20</v>
      </c>
      <c r="B380" s="163">
        <f t="shared" si="36"/>
        <v>340.82196220999589</v>
      </c>
      <c r="C380" s="64">
        <v>711</v>
      </c>
      <c r="D380" s="64">
        <v>20</v>
      </c>
      <c r="E380" s="64"/>
      <c r="F380" s="64"/>
      <c r="G380" s="64"/>
      <c r="H380" s="163">
        <f t="shared" si="37"/>
        <v>434.16810472610939</v>
      </c>
      <c r="I380" s="187">
        <f t="shared" si="38"/>
        <v>259350.86006827236</v>
      </c>
      <c r="J380" s="187">
        <f t="shared" si="39"/>
        <v>7295.3828429893765</v>
      </c>
      <c r="K380" s="228">
        <v>9552</v>
      </c>
      <c r="L380" s="218">
        <f t="shared" si="40"/>
        <v>24.440770241545174</v>
      </c>
      <c r="M380" s="218"/>
      <c r="N380" s="218"/>
      <c r="O380" s="218"/>
      <c r="P380" s="218"/>
      <c r="Q380" s="218"/>
      <c r="R380" s="218"/>
      <c r="S380" s="64">
        <v>518700</v>
      </c>
      <c r="T380">
        <v>14590</v>
      </c>
    </row>
    <row r="381" spans="1:20" x14ac:dyDescent="0.25">
      <c r="A381" s="64" t="str">
        <f t="shared" si="41"/>
        <v>CIRC  711*25</v>
      </c>
      <c r="B381" s="163">
        <f t="shared" si="36"/>
        <v>422.94476497115994</v>
      </c>
      <c r="C381" s="64">
        <v>711</v>
      </c>
      <c r="D381" s="64">
        <v>25</v>
      </c>
      <c r="E381" s="64"/>
      <c r="F381" s="64"/>
      <c r="G381" s="64"/>
      <c r="H381" s="163">
        <f t="shared" si="37"/>
        <v>538.78314009064957</v>
      </c>
      <c r="I381" s="187">
        <f t="shared" si="38"/>
        <v>317357.41257081996</v>
      </c>
      <c r="J381" s="187">
        <f t="shared" si="39"/>
        <v>8927.0720835673674</v>
      </c>
      <c r="K381" s="228">
        <v>11770</v>
      </c>
      <c r="L381" s="218">
        <f t="shared" si="40"/>
        <v>24.269862999201294</v>
      </c>
      <c r="M381" s="218"/>
      <c r="N381" s="218"/>
      <c r="O381" s="218"/>
      <c r="P381" s="218"/>
      <c r="Q381" s="218"/>
      <c r="R381" s="218"/>
      <c r="S381" s="64">
        <v>634700</v>
      </c>
      <c r="T381">
        <v>17850</v>
      </c>
    </row>
    <row r="382" spans="1:20" x14ac:dyDescent="0.25">
      <c r="A382" s="64" t="str">
        <f t="shared" si="41"/>
        <v>CIRC  711*30</v>
      </c>
      <c r="B382" s="163">
        <f t="shared" si="36"/>
        <v>503.83449261578994</v>
      </c>
      <c r="C382" s="64">
        <v>711</v>
      </c>
      <c r="D382" s="64">
        <v>30</v>
      </c>
      <c r="E382" s="64"/>
      <c r="F382" s="64"/>
      <c r="G382" s="64"/>
      <c r="H382" s="163">
        <f t="shared" si="37"/>
        <v>641.8273791283948</v>
      </c>
      <c r="I382" s="187">
        <f t="shared" si="38"/>
        <v>372790.18976647378</v>
      </c>
      <c r="J382" s="187">
        <f t="shared" si="39"/>
        <v>10486.362581335407</v>
      </c>
      <c r="K382" s="228">
        <v>13922</v>
      </c>
      <c r="L382" s="218">
        <f t="shared" si="40"/>
        <v>24.100337134571376</v>
      </c>
      <c r="M382" s="218"/>
      <c r="N382" s="218"/>
      <c r="O382" s="218"/>
      <c r="P382" s="218"/>
      <c r="Q382" s="218"/>
      <c r="R382" s="218"/>
      <c r="S382" s="64">
        <v>745600</v>
      </c>
      <c r="T382">
        <v>20970</v>
      </c>
    </row>
    <row r="383" spans="1:20" x14ac:dyDescent="0.25">
      <c r="A383" s="64" t="str">
        <f t="shared" si="41"/>
        <v>CIRC  711*40</v>
      </c>
      <c r="B383" s="163">
        <f t="shared" si="36"/>
        <v>661.91472255544795</v>
      </c>
      <c r="C383" s="64">
        <v>711</v>
      </c>
      <c r="D383" s="64">
        <v>40</v>
      </c>
      <c r="E383" s="64"/>
      <c r="F383" s="64"/>
      <c r="G383" s="64"/>
      <c r="H383" s="163">
        <f t="shared" si="37"/>
        <v>843.20346822350052</v>
      </c>
      <c r="I383" s="187">
        <f t="shared" si="38"/>
        <v>476242.37285696832</v>
      </c>
      <c r="J383" s="187">
        <f t="shared" si="39"/>
        <v>13396.409925653115</v>
      </c>
      <c r="K383" s="228">
        <v>18031</v>
      </c>
      <c r="L383" s="218">
        <f t="shared" si="40"/>
        <v>23.765547542608818</v>
      </c>
      <c r="M383" s="218"/>
      <c r="N383" s="218"/>
      <c r="O383" s="218"/>
      <c r="P383" s="218"/>
      <c r="Q383" s="218"/>
      <c r="R383" s="218"/>
      <c r="S383" s="64">
        <v>952500</v>
      </c>
      <c r="T383">
        <v>26790</v>
      </c>
    </row>
    <row r="384" spans="1:20" x14ac:dyDescent="0.25">
      <c r="A384" s="64" t="str">
        <f t="shared" si="41"/>
        <v>CIRC  711*50</v>
      </c>
      <c r="B384" s="163">
        <f t="shared" si="36"/>
        <v>815.06265202896998</v>
      </c>
      <c r="C384" s="64">
        <v>711</v>
      </c>
      <c r="D384" s="64">
        <v>50</v>
      </c>
      <c r="E384" s="64"/>
      <c r="F384" s="64"/>
      <c r="G384" s="64"/>
      <c r="H384" s="163">
        <f t="shared" si="37"/>
        <v>1038.2963720114267</v>
      </c>
      <c r="I384" s="187">
        <f t="shared" si="38"/>
        <v>570311.53760704142</v>
      </c>
      <c r="J384" s="187">
        <f t="shared" si="39"/>
        <v>16042.518638735341</v>
      </c>
      <c r="K384" s="228">
        <v>21888</v>
      </c>
      <c r="L384" s="218">
        <f t="shared" si="40"/>
        <v>23.436643317676701</v>
      </c>
      <c r="M384" s="218"/>
      <c r="N384" s="218"/>
      <c r="O384" s="218"/>
      <c r="P384" s="218"/>
      <c r="Q384" s="218"/>
      <c r="R384" s="218"/>
      <c r="S384" s="64">
        <v>1141000</v>
      </c>
      <c r="T384">
        <v>32090</v>
      </c>
    </row>
    <row r="385" spans="1:20" x14ac:dyDescent="0.25">
      <c r="A385" s="64" t="str">
        <f t="shared" si="41"/>
        <v>CIRC  711*60</v>
      </c>
      <c r="B385" s="163">
        <f t="shared" si="36"/>
        <v>963.27828103635602</v>
      </c>
      <c r="C385" s="64">
        <v>711</v>
      </c>
      <c r="D385" s="64">
        <v>60</v>
      </c>
      <c r="E385" s="64"/>
      <c r="F385" s="64"/>
      <c r="G385" s="64"/>
      <c r="H385" s="163">
        <f t="shared" si="37"/>
        <v>1227.1060904921733</v>
      </c>
      <c r="I385" s="187">
        <f t="shared" si="38"/>
        <v>655582.96272805671</v>
      </c>
      <c r="J385" s="187">
        <f t="shared" si="39"/>
        <v>18441.152256766713</v>
      </c>
      <c r="K385" s="228">
        <v>25500</v>
      </c>
      <c r="L385" s="218">
        <f t="shared" si="40"/>
        <v>23.113875702702913</v>
      </c>
      <c r="M385" s="218"/>
      <c r="N385" s="218"/>
      <c r="O385" s="218"/>
      <c r="P385" s="218"/>
      <c r="Q385" s="218"/>
      <c r="R385" s="218"/>
      <c r="S385" s="64">
        <v>1311000</v>
      </c>
      <c r="T385">
        <v>36880</v>
      </c>
    </row>
    <row r="386" spans="1:20" x14ac:dyDescent="0.25">
      <c r="A386" s="219" t="str">
        <f t="shared" si="41"/>
        <v>CIRC  762*6.3</v>
      </c>
      <c r="B386" s="168">
        <f t="shared" si="36"/>
        <v>117.41119306115722</v>
      </c>
      <c r="C386" s="167">
        <v>762</v>
      </c>
      <c r="D386" s="167">
        <v>6.3</v>
      </c>
      <c r="E386" s="167"/>
      <c r="F386" s="167"/>
      <c r="G386" s="167"/>
      <c r="H386" s="168">
        <f t="shared" si="37"/>
        <v>149.56839880402194</v>
      </c>
      <c r="I386" s="184">
        <f t="shared" si="38"/>
        <v>106777.28748007804</v>
      </c>
      <c r="J386" s="184">
        <f t="shared" si="39"/>
        <v>2802.5534771674024</v>
      </c>
      <c r="K386" s="229">
        <v>3598</v>
      </c>
      <c r="L386" s="220">
        <f t="shared" si="40"/>
        <v>26.7189581570839</v>
      </c>
      <c r="M386" s="220"/>
      <c r="N386" s="220"/>
      <c r="O386" s="220"/>
      <c r="P386" s="220"/>
      <c r="Q386" s="220"/>
      <c r="R386" s="220"/>
      <c r="S386" s="167">
        <v>213600</v>
      </c>
      <c r="T386" s="221">
        <v>5605</v>
      </c>
    </row>
    <row r="387" spans="1:20" x14ac:dyDescent="0.25">
      <c r="A387" s="222" t="str">
        <f t="shared" si="41"/>
        <v>CIRC  762*8</v>
      </c>
      <c r="B387" s="174">
        <f t="shared" si="36"/>
        <v>148.75818205866102</v>
      </c>
      <c r="C387" s="173">
        <v>762</v>
      </c>
      <c r="D387" s="173">
        <v>8</v>
      </c>
      <c r="E387" s="173"/>
      <c r="F387" s="173"/>
      <c r="G387" s="173"/>
      <c r="H387" s="174">
        <f t="shared" si="37"/>
        <v>189.50086886453633</v>
      </c>
      <c r="I387" s="185">
        <f t="shared" si="38"/>
        <v>134683.0050237476</v>
      </c>
      <c r="J387" s="185">
        <f t="shared" si="39"/>
        <v>3534.9870084973122</v>
      </c>
      <c r="K387" s="230">
        <v>4548</v>
      </c>
      <c r="L387" s="223">
        <f t="shared" si="40"/>
        <v>26.659426100349574</v>
      </c>
      <c r="M387" s="223"/>
      <c r="N387" s="223"/>
      <c r="O387" s="223"/>
      <c r="P387" s="223"/>
      <c r="Q387" s="223"/>
      <c r="R387" s="223"/>
      <c r="S387" s="173">
        <v>269400</v>
      </c>
      <c r="T387" s="224">
        <v>7070</v>
      </c>
    </row>
    <row r="388" spans="1:20" x14ac:dyDescent="0.25">
      <c r="A388" s="222" t="str">
        <f t="shared" si="41"/>
        <v>CIRC  762*10</v>
      </c>
      <c r="B388" s="174">
        <f t="shared" si="36"/>
        <v>185.45449752671269</v>
      </c>
      <c r="C388" s="173">
        <v>762</v>
      </c>
      <c r="D388" s="173">
        <v>10</v>
      </c>
      <c r="E388" s="173"/>
      <c r="F388" s="173"/>
      <c r="G388" s="173"/>
      <c r="H388" s="174">
        <f t="shared" si="37"/>
        <v>236.24776754995244</v>
      </c>
      <c r="I388" s="185">
        <f t="shared" si="38"/>
        <v>167028.35289665413</v>
      </c>
      <c r="J388" s="185">
        <f t="shared" si="39"/>
        <v>4383.9462702533892</v>
      </c>
      <c r="K388" s="230">
        <v>5655</v>
      </c>
      <c r="L388" s="223">
        <f t="shared" si="40"/>
        <v>26.589565622627234</v>
      </c>
      <c r="M388" s="223"/>
      <c r="N388" s="223"/>
      <c r="O388" s="223"/>
      <c r="P388" s="223"/>
      <c r="Q388" s="223"/>
      <c r="R388" s="223"/>
      <c r="S388" s="173">
        <v>334100</v>
      </c>
      <c r="T388" s="224">
        <v>8768</v>
      </c>
    </row>
    <row r="389" spans="1:20" x14ac:dyDescent="0.25">
      <c r="A389" s="222" t="str">
        <f t="shared" si="41"/>
        <v>CIRC  762*12.5</v>
      </c>
      <c r="B389" s="174">
        <f t="shared" si="36"/>
        <v>231.04744996055709</v>
      </c>
      <c r="C389" s="173">
        <v>762</v>
      </c>
      <c r="D389" s="173">
        <v>12.5</v>
      </c>
      <c r="E389" s="173"/>
      <c r="F389" s="173"/>
      <c r="G389" s="173"/>
      <c r="H389" s="174">
        <f t="shared" si="37"/>
        <v>294.32796173319372</v>
      </c>
      <c r="I389" s="185">
        <f t="shared" si="38"/>
        <v>206730.99353704107</v>
      </c>
      <c r="J389" s="185">
        <f t="shared" si="39"/>
        <v>5426.0103290561956</v>
      </c>
      <c r="K389" s="230">
        <v>7023</v>
      </c>
      <c r="L389" s="223">
        <f t="shared" si="40"/>
        <v>26.502511673424468</v>
      </c>
      <c r="M389" s="223"/>
      <c r="N389" s="223"/>
      <c r="O389" s="223"/>
      <c r="P389" s="223"/>
      <c r="Q389" s="223"/>
      <c r="R389" s="223"/>
      <c r="S389" s="173">
        <v>413500</v>
      </c>
      <c r="T389" s="224">
        <v>10850</v>
      </c>
    </row>
    <row r="390" spans="1:20" x14ac:dyDescent="0.25">
      <c r="A390" s="222" t="str">
        <f t="shared" si="41"/>
        <v>CIRC  762*14.2</v>
      </c>
      <c r="B390" s="174">
        <f t="shared" si="36"/>
        <v>261.8745744889298</v>
      </c>
      <c r="C390" s="173">
        <v>762</v>
      </c>
      <c r="D390" s="173">
        <v>14.2</v>
      </c>
      <c r="E390" s="173"/>
      <c r="F390" s="173"/>
      <c r="G390" s="173"/>
      <c r="H390" s="174">
        <f t="shared" si="37"/>
        <v>333.59818406233092</v>
      </c>
      <c r="I390" s="185">
        <f t="shared" si="38"/>
        <v>233271.23235087577</v>
      </c>
      <c r="J390" s="185">
        <f t="shared" si="39"/>
        <v>6122.6045236450327</v>
      </c>
      <c r="K390" s="230">
        <v>7942</v>
      </c>
      <c r="L390" s="223">
        <f t="shared" si="40"/>
        <v>26.443488801593482</v>
      </c>
      <c r="M390" s="223"/>
      <c r="N390" s="223"/>
      <c r="O390" s="223"/>
      <c r="P390" s="223"/>
      <c r="Q390" s="223"/>
      <c r="R390" s="223"/>
      <c r="S390" s="173">
        <v>466500</v>
      </c>
      <c r="T390" s="224">
        <v>12250</v>
      </c>
    </row>
    <row r="391" spans="1:20" x14ac:dyDescent="0.25">
      <c r="A391" s="222" t="str">
        <f t="shared" si="41"/>
        <v>CIRC  762*16</v>
      </c>
      <c r="B391" s="174">
        <f t="shared" si="36"/>
        <v>294.35969181899497</v>
      </c>
      <c r="C391" s="173">
        <v>762</v>
      </c>
      <c r="D391" s="173">
        <v>16</v>
      </c>
      <c r="E391" s="173"/>
      <c r="F391" s="173"/>
      <c r="G391" s="173"/>
      <c r="H391" s="174">
        <f t="shared" si="37"/>
        <v>374.98049913247769</v>
      </c>
      <c r="I391" s="185">
        <f t="shared" si="38"/>
        <v>260973.30307873484</v>
      </c>
      <c r="J391" s="185">
        <f t="shared" si="39"/>
        <v>6849.6929941925155</v>
      </c>
      <c r="K391" s="230">
        <v>8906</v>
      </c>
      <c r="L391" s="223">
        <f t="shared" si="40"/>
        <v>26.381148572418148</v>
      </c>
      <c r="M391" s="223"/>
      <c r="N391" s="223"/>
      <c r="O391" s="223"/>
      <c r="P391" s="223"/>
      <c r="Q391" s="223"/>
      <c r="R391" s="223"/>
      <c r="S391" s="173">
        <v>521900</v>
      </c>
      <c r="T391" s="224">
        <v>13700</v>
      </c>
    </row>
    <row r="392" spans="1:20" x14ac:dyDescent="0.25">
      <c r="A392" s="222" t="str">
        <f t="shared" si="41"/>
        <v>CIRC  762*20</v>
      </c>
      <c r="B392" s="174">
        <f t="shared" si="36"/>
        <v>365.97669458728939</v>
      </c>
      <c r="C392" s="173">
        <v>762</v>
      </c>
      <c r="D392" s="173">
        <v>20</v>
      </c>
      <c r="E392" s="173"/>
      <c r="F392" s="173"/>
      <c r="G392" s="173"/>
      <c r="H392" s="174">
        <f t="shared" si="37"/>
        <v>466.21234979272532</v>
      </c>
      <c r="I392" s="185">
        <f t="shared" si="38"/>
        <v>321082.77636399888</v>
      </c>
      <c r="J392" s="185">
        <f t="shared" si="39"/>
        <v>8427.3694583726738</v>
      </c>
      <c r="K392" s="230">
        <v>11014</v>
      </c>
      <c r="L392" s="223">
        <f t="shared" si="40"/>
        <v>26.243189592730531</v>
      </c>
      <c r="M392" s="223"/>
      <c r="N392" s="223"/>
      <c r="O392" s="223"/>
      <c r="P392" s="223"/>
      <c r="Q392" s="223"/>
      <c r="R392" s="223"/>
      <c r="S392" s="173">
        <v>642200</v>
      </c>
      <c r="T392" s="224">
        <v>16850</v>
      </c>
    </row>
    <row r="393" spans="1:20" x14ac:dyDescent="0.25">
      <c r="A393" s="222" t="str">
        <f>$B$225&amp;"  "&amp;C393&amp;"*"&amp;D393</f>
        <v>CIRC  762*25</v>
      </c>
      <c r="B393" s="174">
        <f>H393*0.785</f>
        <v>454.38818044277679</v>
      </c>
      <c r="C393" s="173">
        <v>762</v>
      </c>
      <c r="D393" s="173">
        <v>25</v>
      </c>
      <c r="E393" s="173"/>
      <c r="F393" s="173"/>
      <c r="G393" s="173"/>
      <c r="H393" s="174">
        <f>(C393^2-(C393-2*D393)^2)*PI()*0.01/4</f>
        <v>578.83844642391944</v>
      </c>
      <c r="I393" s="185">
        <f>(C393^4-(C393-2*D393)^4)*PI()*0.0001/64</f>
        <v>393461.09266831103</v>
      </c>
      <c r="J393" s="185">
        <f>I393/(C393*0.5*0.1)</f>
        <v>10327.062799693202</v>
      </c>
      <c r="K393" s="230">
        <v>13584</v>
      </c>
      <c r="L393" s="223">
        <f>SQRT(I393/H393)</f>
        <v>26.071871816193021</v>
      </c>
      <c r="M393" s="223"/>
      <c r="N393" s="223"/>
      <c r="O393" s="223"/>
      <c r="P393" s="223"/>
      <c r="Q393" s="223"/>
      <c r="R393" s="223"/>
      <c r="S393" s="173">
        <v>786900</v>
      </c>
      <c r="T393" s="224">
        <v>20650</v>
      </c>
    </row>
    <row r="394" spans="1:20" x14ac:dyDescent="0.25">
      <c r="A394" s="222" t="str">
        <f>$B$225&amp;"  "&amp;C394&amp;"*"&amp;D394</f>
        <v>CIRC  762*30</v>
      </c>
      <c r="B394" s="174">
        <f>H394*0.785</f>
        <v>541.56659118173013</v>
      </c>
      <c r="C394" s="173">
        <v>762</v>
      </c>
      <c r="D394" s="173">
        <v>30</v>
      </c>
      <c r="E394" s="173"/>
      <c r="F394" s="173"/>
      <c r="G394" s="173"/>
      <c r="H394" s="174">
        <f>(C394^2-(C394-2*D394)^2)*PI()*0.01/4</f>
        <v>689.89374672831855</v>
      </c>
      <c r="I394" s="185">
        <f>(C394^4-(C394-2*D394)^4)*PI()*0.0001/64</f>
        <v>462853.16414876265</v>
      </c>
      <c r="J394" s="185">
        <f>I394/(C394*0.5*0.1)</f>
        <v>12148.377011778546</v>
      </c>
      <c r="K394" s="230">
        <v>16084</v>
      </c>
      <c r="L394" s="223">
        <f>SQRT(I394/H394)</f>
        <v>25.901833911906703</v>
      </c>
      <c r="M394" s="223"/>
      <c r="N394" s="223"/>
      <c r="O394" s="223"/>
      <c r="P394" s="223"/>
      <c r="Q394" s="223"/>
      <c r="R394" s="223"/>
      <c r="S394" s="173">
        <v>925700</v>
      </c>
      <c r="T394" s="224">
        <v>24300</v>
      </c>
    </row>
    <row r="395" spans="1:20" x14ac:dyDescent="0.25">
      <c r="A395" s="222" t="str">
        <f>$B$225&amp;"  "&amp;C395&amp;"*"&amp;D395</f>
        <v>CIRC  762*40</v>
      </c>
      <c r="B395" s="174">
        <f>H395*0.785</f>
        <v>712.22418731003484</v>
      </c>
      <c r="C395" s="173">
        <v>762</v>
      </c>
      <c r="D395" s="173">
        <v>40</v>
      </c>
      <c r="E395" s="173"/>
      <c r="F395" s="173"/>
      <c r="G395" s="173"/>
      <c r="H395" s="174">
        <f>(C395^2-(C395-2*D395)^2)*PI()*0.01/4</f>
        <v>907.29195835673227</v>
      </c>
      <c r="I395" s="185">
        <f>(C395^4-(C395-2*D395)^4)*PI()*0.0001/64</f>
        <v>593010.56044175196</v>
      </c>
      <c r="J395" s="185">
        <f>I395/(C395*0.5*0.1)</f>
        <v>15564.581638891126</v>
      </c>
      <c r="K395" s="230">
        <v>20873</v>
      </c>
      <c r="L395" s="223">
        <f>SQRT(I395/H395)</f>
        <v>25.565699677497584</v>
      </c>
      <c r="M395" s="223"/>
      <c r="N395" s="223"/>
      <c r="O395" s="223"/>
      <c r="P395" s="223"/>
      <c r="Q395" s="223"/>
      <c r="R395" s="223"/>
      <c r="S395" s="173">
        <v>1186000</v>
      </c>
      <c r="T395" s="224">
        <v>31130</v>
      </c>
    </row>
    <row r="396" spans="1:20" x14ac:dyDescent="0.25">
      <c r="A396" s="225" t="str">
        <f>$B$225&amp;"  "&amp;C396&amp;"*"&amp;D396</f>
        <v>CIRC  762*50</v>
      </c>
      <c r="B396" s="180">
        <f>H396*0.785</f>
        <v>877.94948297220367</v>
      </c>
      <c r="C396" s="179">
        <v>762</v>
      </c>
      <c r="D396" s="179">
        <v>50</v>
      </c>
      <c r="E396" s="179"/>
      <c r="F396" s="179"/>
      <c r="G396" s="179"/>
      <c r="H396" s="180">
        <f>(C396^2-(C396-2*D396)^2)*PI()*0.01/4</f>
        <v>1118.4069846779664</v>
      </c>
      <c r="I396" s="186">
        <f>(C396^4-(C396-2*D396)^4)*PI()*0.0001/64</f>
        <v>712207.15987785242</v>
      </c>
      <c r="J396" s="186">
        <f>I396/(C396*0.5*0.1)</f>
        <v>18693.101309129983</v>
      </c>
      <c r="K396" s="231">
        <v>25389</v>
      </c>
      <c r="L396" s="226">
        <f>SQRT(I396/H396)</f>
        <v>25.23499554190569</v>
      </c>
      <c r="M396" s="226"/>
      <c r="N396" s="226"/>
      <c r="O396" s="226"/>
      <c r="P396" s="226"/>
      <c r="Q396" s="226"/>
      <c r="R396" s="226"/>
      <c r="S396" s="179">
        <v>1424000</v>
      </c>
      <c r="T396" s="227">
        <v>37390</v>
      </c>
    </row>
    <row r="397" spans="1:20" x14ac:dyDescent="0.25">
      <c r="A397" s="64" t="str">
        <f t="shared" si="41"/>
        <v>CIRC  813*8</v>
      </c>
      <c r="B397" s="163">
        <f t="shared" si="36"/>
        <v>158.8200750095784</v>
      </c>
      <c r="C397" s="64">
        <v>813</v>
      </c>
      <c r="D397" s="64">
        <v>8</v>
      </c>
      <c r="E397" s="64"/>
      <c r="F397" s="64"/>
      <c r="G397" s="64"/>
      <c r="H397" s="163">
        <f t="shared" si="37"/>
        <v>202.31856689118268</v>
      </c>
      <c r="I397" s="187">
        <f t="shared" si="38"/>
        <v>163900.54712242461</v>
      </c>
      <c r="J397" s="187">
        <f t="shared" si="39"/>
        <v>4031.9937791494363</v>
      </c>
      <c r="K397" s="228">
        <v>5184</v>
      </c>
      <c r="L397" s="218">
        <f t="shared" si="40"/>
        <v>28.462453337686824</v>
      </c>
      <c r="M397" s="218"/>
      <c r="N397" s="218"/>
      <c r="O397" s="218"/>
      <c r="P397" s="218"/>
      <c r="Q397" s="218"/>
      <c r="R397" s="218"/>
      <c r="S397" s="64">
        <v>327800</v>
      </c>
      <c r="T397">
        <v>8064</v>
      </c>
    </row>
    <row r="398" spans="1:20" x14ac:dyDescent="0.25">
      <c r="A398" s="64" t="str">
        <f t="shared" si="41"/>
        <v>CIRC  813*10</v>
      </c>
      <c r="B398" s="163">
        <f t="shared" si="36"/>
        <v>198.03186371535944</v>
      </c>
      <c r="C398" s="64">
        <v>813</v>
      </c>
      <c r="D398" s="64">
        <v>10</v>
      </c>
      <c r="E398" s="64"/>
      <c r="F398" s="64"/>
      <c r="G398" s="64"/>
      <c r="H398" s="163">
        <f t="shared" si="37"/>
        <v>252.26989008326041</v>
      </c>
      <c r="I398" s="187">
        <f t="shared" si="38"/>
        <v>203363.90317963171</v>
      </c>
      <c r="J398" s="187">
        <f t="shared" si="39"/>
        <v>5002.8020462394015</v>
      </c>
      <c r="K398" s="228">
        <v>6448</v>
      </c>
      <c r="L398" s="218">
        <f t="shared" si="40"/>
        <v>28.392538632535132</v>
      </c>
      <c r="M398" s="218"/>
      <c r="N398" s="218"/>
      <c r="O398" s="218"/>
      <c r="P398" s="218"/>
      <c r="Q398" s="218"/>
      <c r="R398" s="218"/>
      <c r="S398" s="64">
        <v>406700</v>
      </c>
      <c r="T398">
        <v>10010</v>
      </c>
    </row>
    <row r="399" spans="1:20" x14ac:dyDescent="0.25">
      <c r="A399" s="64" t="str">
        <f t="shared" si="41"/>
        <v>CIRC  813*12.5</v>
      </c>
      <c r="B399" s="163">
        <f t="shared" si="36"/>
        <v>246.76915769636554</v>
      </c>
      <c r="C399" s="64">
        <v>813</v>
      </c>
      <c r="D399" s="64">
        <v>12.5</v>
      </c>
      <c r="E399" s="64"/>
      <c r="F399" s="64"/>
      <c r="G399" s="64"/>
      <c r="H399" s="163">
        <f t="shared" si="37"/>
        <v>314.35561489982871</v>
      </c>
      <c r="I399" s="187">
        <f t="shared" si="38"/>
        <v>251860.34335192759</v>
      </c>
      <c r="J399" s="187">
        <f t="shared" si="39"/>
        <v>6195.8264047214652</v>
      </c>
      <c r="K399" s="228">
        <v>8011</v>
      </c>
      <c r="L399" s="218">
        <f t="shared" si="40"/>
        <v>28.305399219936824</v>
      </c>
      <c r="M399" s="218"/>
      <c r="N399" s="218"/>
      <c r="O399" s="218"/>
      <c r="P399" s="218"/>
      <c r="Q399" s="218"/>
      <c r="R399" s="218"/>
      <c r="S399" s="64">
        <v>503700</v>
      </c>
      <c r="T399">
        <v>12390</v>
      </c>
    </row>
    <row r="400" spans="1:20" x14ac:dyDescent="0.25">
      <c r="A400" s="64" t="str">
        <f t="shared" si="41"/>
        <v>CIRC  813*14.2</v>
      </c>
      <c r="B400" s="163">
        <f t="shared" si="36"/>
        <v>279.73443447680842</v>
      </c>
      <c r="C400" s="64">
        <v>813</v>
      </c>
      <c r="D400" s="64">
        <v>14.2</v>
      </c>
      <c r="E400" s="64"/>
      <c r="F400" s="64"/>
      <c r="G400" s="64"/>
      <c r="H400" s="163">
        <f t="shared" si="37"/>
        <v>356.34959805962853</v>
      </c>
      <c r="I400" s="187">
        <f t="shared" si="38"/>
        <v>284314.89875782729</v>
      </c>
      <c r="J400" s="187">
        <f t="shared" si="39"/>
        <v>6994.2164516070661</v>
      </c>
      <c r="K400" s="228">
        <v>9062</v>
      </c>
      <c r="L400" s="218">
        <f t="shared" si="40"/>
        <v>28.246306838239942</v>
      </c>
      <c r="M400" s="218"/>
      <c r="N400" s="218"/>
      <c r="O400" s="218"/>
      <c r="P400" s="218"/>
      <c r="Q400" s="218"/>
      <c r="R400" s="218"/>
      <c r="S400" s="64">
        <v>568600</v>
      </c>
      <c r="T400">
        <v>13990</v>
      </c>
    </row>
    <row r="401" spans="1:20" x14ac:dyDescent="0.25">
      <c r="A401" s="64" t="str">
        <f t="shared" si="41"/>
        <v>CIRC  813*16</v>
      </c>
      <c r="B401" s="163">
        <f t="shared" si="36"/>
        <v>314.4834777208298</v>
      </c>
      <c r="C401" s="64">
        <v>813</v>
      </c>
      <c r="D401" s="64">
        <v>16</v>
      </c>
      <c r="E401" s="64"/>
      <c r="F401" s="64"/>
      <c r="G401" s="64"/>
      <c r="H401" s="163">
        <f t="shared" si="37"/>
        <v>400.61589518577046</v>
      </c>
      <c r="I401" s="187">
        <f t="shared" si="38"/>
        <v>318221.72479278204</v>
      </c>
      <c r="J401" s="187">
        <f t="shared" si="39"/>
        <v>7828.3327132295699</v>
      </c>
      <c r="K401" s="228">
        <v>10165</v>
      </c>
      <c r="L401" s="218">
        <f t="shared" si="40"/>
        <v>28.183882805603631</v>
      </c>
      <c r="M401" s="218"/>
      <c r="N401" s="218"/>
      <c r="O401" s="218"/>
      <c r="P401" s="218"/>
      <c r="Q401" s="218"/>
      <c r="R401" s="218"/>
      <c r="S401" s="64">
        <v>636400</v>
      </c>
      <c r="T401">
        <v>15660</v>
      </c>
    </row>
    <row r="402" spans="1:20" x14ac:dyDescent="0.25">
      <c r="A402" s="64" t="str">
        <f t="shared" si="41"/>
        <v>CIRC  813*20</v>
      </c>
      <c r="B402" s="163">
        <f t="shared" si="36"/>
        <v>391.13142696458283</v>
      </c>
      <c r="C402" s="64">
        <v>813</v>
      </c>
      <c r="D402" s="64">
        <v>20</v>
      </c>
      <c r="E402" s="64"/>
      <c r="F402" s="64"/>
      <c r="G402" s="64"/>
      <c r="H402" s="163">
        <f t="shared" si="37"/>
        <v>498.25659485934119</v>
      </c>
      <c r="I402" s="187">
        <f t="shared" si="38"/>
        <v>391909.33007330704</v>
      </c>
      <c r="J402" s="187">
        <f t="shared" si="39"/>
        <v>9641.065930462657</v>
      </c>
      <c r="K402" s="228">
        <v>12580</v>
      </c>
      <c r="L402" s="218">
        <f t="shared" si="40"/>
        <v>28.045699313798544</v>
      </c>
      <c r="M402" s="218"/>
      <c r="N402" s="218"/>
      <c r="O402" s="218"/>
      <c r="P402" s="218"/>
      <c r="Q402" s="218"/>
      <c r="R402" s="218"/>
      <c r="S402" s="64">
        <v>783800</v>
      </c>
      <c r="T402">
        <v>19280</v>
      </c>
    </row>
    <row r="403" spans="1:20" x14ac:dyDescent="0.25">
      <c r="A403" s="64" t="str">
        <f t="shared" si="41"/>
        <v>CIRC  813*25</v>
      </c>
      <c r="B403" s="163">
        <f t="shared" si="36"/>
        <v>485.83159591439352</v>
      </c>
      <c r="C403" s="64">
        <v>813</v>
      </c>
      <c r="D403" s="64">
        <v>25</v>
      </c>
      <c r="E403" s="64"/>
      <c r="F403" s="64"/>
      <c r="G403" s="64"/>
      <c r="H403" s="163">
        <f t="shared" si="37"/>
        <v>618.89375275718919</v>
      </c>
      <c r="I403" s="187">
        <f t="shared" si="38"/>
        <v>480856.46375941671</v>
      </c>
      <c r="J403" s="187">
        <f t="shared" si="39"/>
        <v>11829.187300354653</v>
      </c>
      <c r="K403" s="228">
        <v>15529</v>
      </c>
      <c r="L403" s="218">
        <f t="shared" si="40"/>
        <v>27.874024646613197</v>
      </c>
      <c r="M403" s="218"/>
      <c r="N403" s="218"/>
      <c r="O403" s="218"/>
      <c r="P403" s="218"/>
      <c r="Q403" s="218"/>
      <c r="R403" s="218"/>
      <c r="S403" s="64">
        <v>961700</v>
      </c>
      <c r="T403">
        <v>23660</v>
      </c>
    </row>
    <row r="404" spans="1:20" x14ac:dyDescent="0.25">
      <c r="A404" s="64" t="str">
        <f t="shared" si="41"/>
        <v>CIRC  813*30</v>
      </c>
      <c r="B404" s="163">
        <f t="shared" si="36"/>
        <v>579.29868974767032</v>
      </c>
      <c r="C404" s="64">
        <v>813</v>
      </c>
      <c r="D404" s="64">
        <v>30</v>
      </c>
      <c r="E404" s="64"/>
      <c r="F404" s="64"/>
      <c r="G404" s="64"/>
      <c r="H404" s="163">
        <f t="shared" si="37"/>
        <v>737.96011432824241</v>
      </c>
      <c r="I404" s="187">
        <f t="shared" si="38"/>
        <v>566374.24079535401</v>
      </c>
      <c r="J404" s="187">
        <f t="shared" si="39"/>
        <v>13932.945653022236</v>
      </c>
      <c r="K404" s="228">
        <v>18402</v>
      </c>
      <c r="L404" s="218">
        <f t="shared" si="40"/>
        <v>27.70354219229014</v>
      </c>
      <c r="M404" s="218"/>
      <c r="N404" s="218"/>
      <c r="O404" s="218"/>
      <c r="P404" s="218"/>
      <c r="Q404" s="218"/>
      <c r="R404" s="218"/>
      <c r="S404" s="64">
        <v>1133000</v>
      </c>
      <c r="T404">
        <v>27870</v>
      </c>
    </row>
    <row r="405" spans="1:20" x14ac:dyDescent="0.25">
      <c r="A405" s="219" t="str">
        <f t="shared" si="41"/>
        <v>CIRC  914*8</v>
      </c>
      <c r="B405" s="168">
        <f t="shared" si="36"/>
        <v>178.74656889276775</v>
      </c>
      <c r="C405" s="167">
        <v>914</v>
      </c>
      <c r="D405" s="167">
        <v>8</v>
      </c>
      <c r="E405" s="167"/>
      <c r="F405" s="167"/>
      <c r="G405" s="167"/>
      <c r="H405" s="168">
        <f t="shared" si="37"/>
        <v>227.70263553218822</v>
      </c>
      <c r="I405" s="184">
        <f t="shared" si="38"/>
        <v>233651.36688546665</v>
      </c>
      <c r="J405" s="184">
        <f t="shared" si="39"/>
        <v>5112.7213760495979</v>
      </c>
      <c r="K405" s="229">
        <v>6567</v>
      </c>
      <c r="L405" s="220">
        <f t="shared" si="40"/>
        <v>32.0331859171079</v>
      </c>
      <c r="M405" s="220"/>
      <c r="N405" s="220"/>
      <c r="O405" s="220"/>
      <c r="P405" s="220"/>
      <c r="Q405" s="220"/>
      <c r="R405" s="220"/>
      <c r="S405" s="167">
        <v>467300</v>
      </c>
      <c r="T405" s="221">
        <v>10230</v>
      </c>
    </row>
    <row r="406" spans="1:20" x14ac:dyDescent="0.25">
      <c r="A406" s="222" t="str">
        <f t="shared" si="41"/>
        <v>CIRC  914*10</v>
      </c>
      <c r="B406" s="174">
        <f t="shared" si="36"/>
        <v>222.93998106934609</v>
      </c>
      <c r="C406" s="173">
        <v>914</v>
      </c>
      <c r="D406" s="173">
        <v>10</v>
      </c>
      <c r="E406" s="173"/>
      <c r="F406" s="173"/>
      <c r="G406" s="173"/>
      <c r="H406" s="174">
        <f t="shared" si="37"/>
        <v>283.99997588451731</v>
      </c>
      <c r="I406" s="185">
        <f t="shared" si="38"/>
        <v>290147.15536253771</v>
      </c>
      <c r="J406" s="185">
        <f t="shared" si="39"/>
        <v>6348.9530713903214</v>
      </c>
      <c r="K406" s="230">
        <v>8172</v>
      </c>
      <c r="L406" s="223">
        <f t="shared" si="40"/>
        <v>31.963181944230772</v>
      </c>
      <c r="M406" s="223"/>
      <c r="N406" s="223"/>
      <c r="O406" s="223"/>
      <c r="P406" s="223"/>
      <c r="Q406" s="223"/>
      <c r="R406" s="223"/>
      <c r="S406" s="173">
        <v>580300</v>
      </c>
      <c r="T406" s="224">
        <v>12700</v>
      </c>
    </row>
    <row r="407" spans="1:20" x14ac:dyDescent="0.25">
      <c r="A407" s="222" t="str">
        <f t="shared" si="41"/>
        <v>CIRC  914*12.5</v>
      </c>
      <c r="B407" s="174">
        <f t="shared" si="36"/>
        <v>277.90430438884886</v>
      </c>
      <c r="C407" s="173">
        <v>914</v>
      </c>
      <c r="D407" s="173">
        <v>12.5</v>
      </c>
      <c r="E407" s="173"/>
      <c r="F407" s="173"/>
      <c r="G407" s="173"/>
      <c r="H407" s="174">
        <f t="shared" si="37"/>
        <v>354.01822215139981</v>
      </c>
      <c r="I407" s="185">
        <f t="shared" si="38"/>
        <v>359708.40128831705</v>
      </c>
      <c r="J407" s="185">
        <f t="shared" si="39"/>
        <v>7871.0809909916197</v>
      </c>
      <c r="K407" s="230">
        <v>10159</v>
      </c>
      <c r="L407" s="223">
        <f t="shared" si="40"/>
        <v>31.875901948023369</v>
      </c>
      <c r="M407" s="223"/>
      <c r="N407" s="223"/>
      <c r="O407" s="223"/>
      <c r="P407" s="223"/>
      <c r="Q407" s="223"/>
      <c r="R407" s="223"/>
      <c r="S407" s="173">
        <v>719400</v>
      </c>
      <c r="T407" s="224">
        <v>15740</v>
      </c>
    </row>
    <row r="408" spans="1:20" x14ac:dyDescent="0.25">
      <c r="A408" s="222" t="str">
        <f t="shared" si="41"/>
        <v>CIRC  914*14.2</v>
      </c>
      <c r="B408" s="174">
        <f t="shared" si="36"/>
        <v>315.10396111946977</v>
      </c>
      <c r="C408" s="173">
        <v>914</v>
      </c>
      <c r="D408" s="173">
        <v>14.2</v>
      </c>
      <c r="E408" s="173"/>
      <c r="F408" s="173"/>
      <c r="G408" s="173"/>
      <c r="H408" s="174">
        <f t="shared" si="37"/>
        <v>401.40631989741371</v>
      </c>
      <c r="I408" s="185">
        <f t="shared" si="38"/>
        <v>406344.46058542392</v>
      </c>
      <c r="J408" s="185">
        <f t="shared" si="39"/>
        <v>8891.5636889589478</v>
      </c>
      <c r="K408" s="230">
        <v>11498</v>
      </c>
      <c r="L408" s="223">
        <f t="shared" si="40"/>
        <v>31.816695302938058</v>
      </c>
      <c r="M408" s="223"/>
      <c r="N408" s="223"/>
      <c r="O408" s="223"/>
      <c r="P408" s="223"/>
      <c r="Q408" s="223"/>
      <c r="R408" s="223"/>
      <c r="S408" s="173">
        <v>812700</v>
      </c>
      <c r="T408" s="224">
        <v>17780</v>
      </c>
    </row>
    <row r="409" spans="1:20" x14ac:dyDescent="0.25">
      <c r="A409" s="222" t="str">
        <f t="shared" si="41"/>
        <v>CIRC  914*16</v>
      </c>
      <c r="B409" s="174">
        <f t="shared" si="36"/>
        <v>354.3364654872085</v>
      </c>
      <c r="C409" s="173">
        <v>914</v>
      </c>
      <c r="D409" s="173">
        <v>16</v>
      </c>
      <c r="E409" s="173"/>
      <c r="F409" s="173"/>
      <c r="G409" s="173"/>
      <c r="H409" s="174">
        <f t="shared" si="37"/>
        <v>451.38403246778154</v>
      </c>
      <c r="I409" s="185">
        <f t="shared" si="38"/>
        <v>455141.80453807575</v>
      </c>
      <c r="J409" s="185">
        <f t="shared" si="39"/>
        <v>9959.3392677915908</v>
      </c>
      <c r="K409" s="230">
        <v>12904</v>
      </c>
      <c r="L409" s="223">
        <f t="shared" si="40"/>
        <v>31.754133589188037</v>
      </c>
      <c r="M409" s="223"/>
      <c r="N409" s="223"/>
      <c r="O409" s="223"/>
      <c r="P409" s="223"/>
      <c r="Q409" s="223"/>
      <c r="R409" s="223"/>
      <c r="S409" s="173">
        <v>910300</v>
      </c>
      <c r="T409" s="224">
        <v>19920</v>
      </c>
    </row>
    <row r="410" spans="1:20" x14ac:dyDescent="0.25">
      <c r="A410" s="222" t="str">
        <f t="shared" si="41"/>
        <v>CIRC  914*20</v>
      </c>
      <c r="B410" s="174">
        <f t="shared" si="36"/>
        <v>440.94766167255625</v>
      </c>
      <c r="C410" s="173">
        <v>914</v>
      </c>
      <c r="D410" s="173">
        <v>20</v>
      </c>
      <c r="E410" s="173"/>
      <c r="F410" s="173"/>
      <c r="G410" s="173"/>
      <c r="H410" s="174">
        <f t="shared" si="37"/>
        <v>561.71676646185506</v>
      </c>
      <c r="I410" s="185">
        <f t="shared" si="38"/>
        <v>561461.18533311493</v>
      </c>
      <c r="J410" s="185">
        <f t="shared" si="39"/>
        <v>12285.802742518925</v>
      </c>
      <c r="K410" s="230">
        <v>15987</v>
      </c>
      <c r="L410" s="223">
        <f t="shared" si="40"/>
        <v>31.615581601482521</v>
      </c>
      <c r="M410" s="223"/>
      <c r="N410" s="223"/>
      <c r="O410" s="223"/>
      <c r="P410" s="223"/>
      <c r="Q410" s="223"/>
      <c r="R410" s="223"/>
      <c r="S410" s="173">
        <v>1123000</v>
      </c>
      <c r="T410" s="224">
        <v>24570</v>
      </c>
    </row>
    <row r="411" spans="1:20" x14ac:dyDescent="0.25">
      <c r="A411" s="222" t="str">
        <f t="shared" si="41"/>
        <v>CIRC  914*25</v>
      </c>
      <c r="B411" s="174">
        <f t="shared" ref="B411:B439" si="42">H411*0.785</f>
        <v>548.10188929936032</v>
      </c>
      <c r="C411" s="173">
        <v>914</v>
      </c>
      <c r="D411" s="173">
        <v>25</v>
      </c>
      <c r="E411" s="173"/>
      <c r="F411" s="173"/>
      <c r="G411" s="173"/>
      <c r="H411" s="174">
        <f t="shared" ref="H411:H439" si="43">(C411^2-(C411-2*D411)^2)*PI()*0.01/4</f>
        <v>698.21896726033162</v>
      </c>
      <c r="I411" s="185">
        <f t="shared" ref="I411:I439" si="44">(C411^4-(C411-2*D411)^4)*PI()*0.0001/64</f>
        <v>690316.87409836275</v>
      </c>
      <c r="J411" s="185">
        <f t="shared" ref="J411:J439" si="45">I411/(C411*0.5*0.1)</f>
        <v>15105.402059045136</v>
      </c>
      <c r="K411" s="230">
        <v>19763</v>
      </c>
      <c r="L411" s="223">
        <f t="shared" ref="L411:L439" si="46">SQRT(I411/H411)</f>
        <v>31.443322025511232</v>
      </c>
      <c r="M411" s="223"/>
      <c r="N411" s="223"/>
      <c r="O411" s="223"/>
      <c r="P411" s="223"/>
      <c r="Q411" s="223"/>
      <c r="R411" s="223"/>
      <c r="S411" s="173">
        <v>1381000</v>
      </c>
      <c r="T411" s="224">
        <v>30210</v>
      </c>
    </row>
    <row r="412" spans="1:20" x14ac:dyDescent="0.25">
      <c r="A412" s="225" t="str">
        <f t="shared" si="41"/>
        <v>CIRC  914*30</v>
      </c>
      <c r="B412" s="180">
        <f t="shared" si="42"/>
        <v>654.02304180963029</v>
      </c>
      <c r="C412" s="179">
        <v>914</v>
      </c>
      <c r="D412" s="179">
        <v>30</v>
      </c>
      <c r="E412" s="179"/>
      <c r="F412" s="179"/>
      <c r="G412" s="179"/>
      <c r="H412" s="180">
        <f t="shared" si="43"/>
        <v>833.15037173201313</v>
      </c>
      <c r="I412" s="186">
        <f t="shared" si="44"/>
        <v>814775.24028346362</v>
      </c>
      <c r="J412" s="186">
        <f t="shared" si="45"/>
        <v>17828.779874911674</v>
      </c>
      <c r="K412" s="231">
        <v>23453</v>
      </c>
      <c r="L412" s="226">
        <f t="shared" si="46"/>
        <v>31.272112176826177</v>
      </c>
      <c r="M412" s="226"/>
      <c r="N412" s="226"/>
      <c r="O412" s="226"/>
      <c r="P412" s="226"/>
      <c r="Q412" s="226"/>
      <c r="R412" s="226"/>
      <c r="S412" s="179">
        <v>1630000</v>
      </c>
      <c r="T412" s="227">
        <v>35660</v>
      </c>
    </row>
    <row r="413" spans="1:20" x14ac:dyDescent="0.25">
      <c r="A413" s="64" t="str">
        <f t="shared" si="41"/>
        <v>CIRC  1016*8</v>
      </c>
      <c r="B413" s="163">
        <f t="shared" si="42"/>
        <v>198.87035479460255</v>
      </c>
      <c r="C413" s="64">
        <v>1016</v>
      </c>
      <c r="D413" s="64">
        <v>8</v>
      </c>
      <c r="E413" s="64"/>
      <c r="F413" s="64"/>
      <c r="G413" s="64"/>
      <c r="H413" s="163">
        <f t="shared" si="43"/>
        <v>253.33803158548093</v>
      </c>
      <c r="I413" s="187">
        <f t="shared" si="44"/>
        <v>321779.83419861447</v>
      </c>
      <c r="J413" s="187">
        <f t="shared" si="45"/>
        <v>6334.2487046971346</v>
      </c>
      <c r="K413" s="228">
        <v>8129</v>
      </c>
      <c r="L413" s="218">
        <f t="shared" si="46"/>
        <v>35.639304145844378</v>
      </c>
      <c r="M413" s="218"/>
      <c r="N413" s="218"/>
      <c r="O413" s="218"/>
      <c r="P413" s="218"/>
      <c r="Q413" s="218"/>
      <c r="R413" s="218"/>
      <c r="S413" s="64">
        <v>643600</v>
      </c>
      <c r="T413">
        <v>12670</v>
      </c>
    </row>
    <row r="414" spans="1:20" x14ac:dyDescent="0.25">
      <c r="A414" s="64" t="str">
        <f t="shared" si="41"/>
        <v>CIRC  1016*10</v>
      </c>
      <c r="B414" s="163">
        <f t="shared" si="42"/>
        <v>248.09471344663956</v>
      </c>
      <c r="C414" s="64">
        <v>1016</v>
      </c>
      <c r="D414" s="64">
        <v>10</v>
      </c>
      <c r="E414" s="64"/>
      <c r="F414" s="64"/>
      <c r="G414" s="64"/>
      <c r="H414" s="163">
        <f t="shared" si="43"/>
        <v>316.04422095113318</v>
      </c>
      <c r="I414" s="187">
        <f t="shared" si="44"/>
        <v>399849.66702074523</v>
      </c>
      <c r="J414" s="187">
        <f t="shared" si="45"/>
        <v>7871.0564374162441</v>
      </c>
      <c r="K414" s="228">
        <v>10121</v>
      </c>
      <c r="L414" s="218">
        <f t="shared" si="46"/>
        <v>35.569228273888655</v>
      </c>
      <c r="M414" s="218"/>
      <c r="N414" s="218"/>
      <c r="O414" s="218"/>
      <c r="P414" s="218"/>
      <c r="Q414" s="218"/>
      <c r="R414" s="218"/>
      <c r="S414" s="64">
        <v>799700</v>
      </c>
      <c r="T414">
        <v>15740</v>
      </c>
    </row>
    <row r="415" spans="1:20" x14ac:dyDescent="0.25">
      <c r="A415" s="64" t="str">
        <f t="shared" si="41"/>
        <v>CIRC  1016*12.5</v>
      </c>
      <c r="B415" s="163">
        <f t="shared" si="42"/>
        <v>309.3477198604657</v>
      </c>
      <c r="C415" s="64">
        <v>1016</v>
      </c>
      <c r="D415" s="64">
        <v>12.5</v>
      </c>
      <c r="E415" s="64"/>
      <c r="F415" s="64"/>
      <c r="G415" s="64"/>
      <c r="H415" s="163">
        <f t="shared" si="43"/>
        <v>394.07352848466968</v>
      </c>
      <c r="I415" s="187">
        <f t="shared" si="44"/>
        <v>496123.05571701512</v>
      </c>
      <c r="J415" s="187">
        <f t="shared" si="45"/>
        <v>9766.2018841932095</v>
      </c>
      <c r="K415" s="228">
        <v>12588</v>
      </c>
      <c r="L415" s="218">
        <f t="shared" si="46"/>
        <v>35.481835141379037</v>
      </c>
      <c r="M415" s="218"/>
      <c r="N415" s="218"/>
      <c r="O415" s="218"/>
      <c r="P415" s="218"/>
      <c r="Q415" s="218"/>
      <c r="R415" s="218"/>
      <c r="S415" s="64">
        <v>992200</v>
      </c>
      <c r="T415">
        <v>19530</v>
      </c>
    </row>
    <row r="416" spans="1:20" x14ac:dyDescent="0.25">
      <c r="A416" s="64" t="str">
        <f t="shared" si="41"/>
        <v>CIRC  1016*14.2</v>
      </c>
      <c r="B416" s="163">
        <f t="shared" si="42"/>
        <v>350.82368109522639</v>
      </c>
      <c r="C416" s="64">
        <v>1016</v>
      </c>
      <c r="D416" s="64">
        <v>14.2</v>
      </c>
      <c r="E416" s="64"/>
      <c r="F416" s="64"/>
      <c r="G416" s="64"/>
      <c r="H416" s="163">
        <f t="shared" si="43"/>
        <v>446.90914789200815</v>
      </c>
      <c r="I416" s="187">
        <f t="shared" si="44"/>
        <v>560761.97946329962</v>
      </c>
      <c r="J416" s="187">
        <f t="shared" si="45"/>
        <v>11038.621642978338</v>
      </c>
      <c r="K416" s="228">
        <v>14252</v>
      </c>
      <c r="L416" s="218">
        <f t="shared" si="46"/>
        <v>35.422536611597998</v>
      </c>
      <c r="M416" s="218"/>
      <c r="N416" s="218"/>
      <c r="O416" s="218"/>
      <c r="P416" s="218"/>
      <c r="Q416" s="218"/>
      <c r="R416" s="218"/>
      <c r="S416" s="64">
        <v>1122000</v>
      </c>
      <c r="T416">
        <v>22080</v>
      </c>
    </row>
    <row r="417" spans="1:20" x14ac:dyDescent="0.25">
      <c r="A417" s="64" t="str">
        <f t="shared" si="41"/>
        <v>CIRC  1016*16</v>
      </c>
      <c r="B417" s="163">
        <f t="shared" si="42"/>
        <v>394.58403729087803</v>
      </c>
      <c r="C417" s="64">
        <v>1016</v>
      </c>
      <c r="D417" s="64">
        <v>16</v>
      </c>
      <c r="E417" s="64"/>
      <c r="F417" s="64"/>
      <c r="G417" s="64"/>
      <c r="H417" s="163">
        <f t="shared" si="43"/>
        <v>502.6548245743669</v>
      </c>
      <c r="I417" s="187">
        <f t="shared" si="44"/>
        <v>628479.38026182249</v>
      </c>
      <c r="J417" s="187">
        <f t="shared" si="45"/>
        <v>12371.641343736663</v>
      </c>
      <c r="K417" s="228">
        <v>16001</v>
      </c>
      <c r="L417" s="218">
        <f t="shared" si="46"/>
        <v>35.359864253133104</v>
      </c>
      <c r="M417" s="218"/>
      <c r="N417" s="218"/>
      <c r="O417" s="218"/>
      <c r="P417" s="218"/>
      <c r="Q417" s="218"/>
      <c r="R417" s="218"/>
      <c r="S417" s="64">
        <v>1257000</v>
      </c>
      <c r="T417">
        <v>24740</v>
      </c>
    </row>
    <row r="418" spans="1:20" x14ac:dyDescent="0.25">
      <c r="A418" s="64" t="str">
        <f t="shared" si="41"/>
        <v>CIRC  1016*20</v>
      </c>
      <c r="B418" s="163">
        <f t="shared" si="42"/>
        <v>491.25712642714313</v>
      </c>
      <c r="C418" s="64">
        <v>1016</v>
      </c>
      <c r="D418" s="64">
        <v>20</v>
      </c>
      <c r="E418" s="64"/>
      <c r="F418" s="64"/>
      <c r="G418" s="64"/>
      <c r="H418" s="163">
        <f t="shared" si="43"/>
        <v>625.8052565950868</v>
      </c>
      <c r="I418" s="187">
        <f t="shared" si="44"/>
        <v>776323.93691133708</v>
      </c>
      <c r="J418" s="187">
        <f t="shared" si="45"/>
        <v>15281.967262034193</v>
      </c>
      <c r="K418" s="228">
        <v>19843</v>
      </c>
      <c r="L418" s="218">
        <f t="shared" si="46"/>
        <v>35.221016453248481</v>
      </c>
      <c r="M418" s="218"/>
      <c r="N418" s="218"/>
      <c r="O418" s="218"/>
      <c r="P418" s="218"/>
      <c r="Q418" s="218"/>
      <c r="R418" s="218"/>
      <c r="S418" s="64">
        <v>1553000</v>
      </c>
      <c r="T418">
        <v>30560</v>
      </c>
    </row>
    <row r="419" spans="1:20" x14ac:dyDescent="0.25">
      <c r="A419" s="64" t="str">
        <f t="shared" si="41"/>
        <v>CIRC  1016*25</v>
      </c>
      <c r="B419" s="163">
        <f t="shared" si="42"/>
        <v>610.9887202425939</v>
      </c>
      <c r="C419" s="64">
        <v>1016</v>
      </c>
      <c r="D419" s="64">
        <v>25</v>
      </c>
      <c r="E419" s="64"/>
      <c r="F419" s="64"/>
      <c r="G419" s="64"/>
      <c r="H419" s="163">
        <f t="shared" si="43"/>
        <v>778.32957992687125</v>
      </c>
      <c r="I419" s="187">
        <f t="shared" si="44"/>
        <v>956086.43521451997</v>
      </c>
      <c r="J419" s="187">
        <f t="shared" si="45"/>
        <v>18820.599118396061</v>
      </c>
      <c r="K419" s="228">
        <v>24557</v>
      </c>
      <c r="L419" s="218">
        <f t="shared" si="46"/>
        <v>35.048288117966621</v>
      </c>
      <c r="M419" s="218"/>
      <c r="N419" s="218"/>
      <c r="O419" s="218"/>
      <c r="P419" s="218"/>
      <c r="Q419" s="218"/>
      <c r="R419" s="218"/>
      <c r="S419" s="64">
        <v>1912000</v>
      </c>
      <c r="T419">
        <v>37640</v>
      </c>
    </row>
    <row r="420" spans="1:20" x14ac:dyDescent="0.25">
      <c r="A420" s="64" t="str">
        <f t="shared" si="41"/>
        <v>CIRC  1016*30</v>
      </c>
      <c r="B420" s="163">
        <f t="shared" si="42"/>
        <v>729.48723894151078</v>
      </c>
      <c r="C420" s="64">
        <v>1016</v>
      </c>
      <c r="D420" s="64">
        <v>30</v>
      </c>
      <c r="E420" s="64"/>
      <c r="F420" s="64"/>
      <c r="G420" s="64"/>
      <c r="H420" s="163">
        <f t="shared" si="43"/>
        <v>929.28310693186086</v>
      </c>
      <c r="I420" s="187">
        <f t="shared" si="44"/>
        <v>1130352.0927787076</v>
      </c>
      <c r="J420" s="187">
        <f t="shared" si="45"/>
        <v>22251.025448399756</v>
      </c>
      <c r="K420" s="228">
        <v>29175</v>
      </c>
      <c r="L420" s="218">
        <f t="shared" si="46"/>
        <v>34.876496383667899</v>
      </c>
      <c r="M420" s="218"/>
      <c r="N420" s="218"/>
      <c r="O420" s="218"/>
      <c r="P420" s="218"/>
      <c r="Q420" s="218"/>
      <c r="R420" s="218"/>
      <c r="S420" s="64">
        <v>2261000</v>
      </c>
      <c r="T420">
        <v>44500</v>
      </c>
    </row>
    <row r="421" spans="1:20" x14ac:dyDescent="0.25">
      <c r="A421" s="219" t="str">
        <f t="shared" si="41"/>
        <v>CIRC  1067*10</v>
      </c>
      <c r="B421" s="168">
        <f t="shared" si="42"/>
        <v>260.67207963528631</v>
      </c>
      <c r="C421" s="167">
        <v>1067</v>
      </c>
      <c r="D421" s="167">
        <v>10</v>
      </c>
      <c r="E421" s="167"/>
      <c r="F421" s="167"/>
      <c r="G421" s="167"/>
      <c r="H421" s="168">
        <f t="shared" si="43"/>
        <v>332.06634348444118</v>
      </c>
      <c r="I421" s="184">
        <f t="shared" si="44"/>
        <v>463792.49603249598</v>
      </c>
      <c r="J421" s="184">
        <f t="shared" si="45"/>
        <v>8693.3926154169822</v>
      </c>
      <c r="K421" s="229">
        <v>11173</v>
      </c>
      <c r="L421" s="220">
        <f t="shared" si="46"/>
        <v>37.37226578627525</v>
      </c>
      <c r="M421" s="220"/>
      <c r="N421" s="220"/>
      <c r="O421" s="220"/>
      <c r="P421" s="220"/>
      <c r="Q421" s="220"/>
      <c r="R421" s="220"/>
      <c r="S421" s="167">
        <v>927600</v>
      </c>
      <c r="T421" s="221">
        <v>17390</v>
      </c>
    </row>
    <row r="422" spans="1:20" x14ac:dyDescent="0.25">
      <c r="A422" s="222" t="str">
        <f t="shared" si="41"/>
        <v>CIRC  1067*12.5</v>
      </c>
      <c r="B422" s="174">
        <f t="shared" si="42"/>
        <v>325.06942759627412</v>
      </c>
      <c r="C422" s="173">
        <v>1067</v>
      </c>
      <c r="D422" s="173">
        <v>12.5</v>
      </c>
      <c r="E422" s="173"/>
      <c r="F422" s="173"/>
      <c r="G422" s="173"/>
      <c r="H422" s="174">
        <f t="shared" si="43"/>
        <v>414.10118165130461</v>
      </c>
      <c r="I422" s="185">
        <f t="shared" si="44"/>
        <v>575666.12224466202</v>
      </c>
      <c r="J422" s="185">
        <f t="shared" si="45"/>
        <v>10790.367802149241</v>
      </c>
      <c r="K422" s="230">
        <v>13900</v>
      </c>
      <c r="L422" s="223">
        <f t="shared" si="46"/>
        <v>37.284824325722653</v>
      </c>
      <c r="M422" s="223"/>
      <c r="N422" s="223"/>
      <c r="O422" s="223"/>
      <c r="P422" s="223"/>
      <c r="Q422" s="223"/>
      <c r="R422" s="223"/>
      <c r="S422" s="173">
        <v>1151000</v>
      </c>
      <c r="T422" s="224">
        <v>21580</v>
      </c>
    </row>
    <row r="423" spans="1:20" x14ac:dyDescent="0.25">
      <c r="A423" s="222" t="str">
        <f t="shared" si="41"/>
        <v>CIRC  1067*14.2</v>
      </c>
      <c r="B423" s="174">
        <f t="shared" si="42"/>
        <v>368.68354108310649</v>
      </c>
      <c r="C423" s="173">
        <v>1067</v>
      </c>
      <c r="D423" s="173">
        <v>14.2</v>
      </c>
      <c r="E423" s="173"/>
      <c r="F423" s="173"/>
      <c r="G423" s="173"/>
      <c r="H423" s="174">
        <f t="shared" si="43"/>
        <v>469.66056188930759</v>
      </c>
      <c r="I423" s="185">
        <f t="shared" si="44"/>
        <v>650825.94760171906</v>
      </c>
      <c r="J423" s="185">
        <f t="shared" si="45"/>
        <v>12199.174275571117</v>
      </c>
      <c r="K423" s="230">
        <v>15740</v>
      </c>
      <c r="L423" s="223">
        <f t="shared" si="46"/>
        <v>37.225486564986625</v>
      </c>
      <c r="M423" s="223"/>
      <c r="N423" s="223"/>
      <c r="O423" s="223"/>
      <c r="P423" s="223"/>
      <c r="Q423" s="223"/>
      <c r="R423" s="223"/>
      <c r="S423" s="173">
        <v>1302000</v>
      </c>
      <c r="T423" s="224">
        <v>24400</v>
      </c>
    </row>
    <row r="424" spans="1:20" x14ac:dyDescent="0.25">
      <c r="A424" s="222" t="str">
        <f t="shared" si="41"/>
        <v>CIRC  1067*16</v>
      </c>
      <c r="B424" s="174">
        <f t="shared" si="42"/>
        <v>414.70782319271274</v>
      </c>
      <c r="C424" s="173">
        <v>1067</v>
      </c>
      <c r="D424" s="173">
        <v>16</v>
      </c>
      <c r="E424" s="173"/>
      <c r="F424" s="173"/>
      <c r="G424" s="173"/>
      <c r="H424" s="174">
        <f t="shared" si="43"/>
        <v>528.29022062765955</v>
      </c>
      <c r="I424" s="185">
        <f t="shared" si="44"/>
        <v>729606.43536501762</v>
      </c>
      <c r="J424" s="185">
        <f t="shared" si="45"/>
        <v>13675.846960918792</v>
      </c>
      <c r="K424" s="230">
        <v>17675</v>
      </c>
      <c r="L424" s="223">
        <f t="shared" si="46"/>
        <v>37.162766985250173</v>
      </c>
      <c r="M424" s="223"/>
      <c r="N424" s="223"/>
      <c r="O424" s="223"/>
      <c r="P424" s="223"/>
      <c r="Q424" s="223"/>
      <c r="R424" s="223"/>
      <c r="S424" s="173">
        <v>1459000</v>
      </c>
      <c r="T424" s="224">
        <v>27350</v>
      </c>
    </row>
    <row r="425" spans="1:20" x14ac:dyDescent="0.25">
      <c r="A425" s="222" t="str">
        <f t="shared" si="41"/>
        <v>CIRC  1067*20</v>
      </c>
      <c r="B425" s="174">
        <f t="shared" si="42"/>
        <v>516.41185880443663</v>
      </c>
      <c r="C425" s="173">
        <v>1067</v>
      </c>
      <c r="D425" s="173">
        <v>20</v>
      </c>
      <c r="E425" s="173"/>
      <c r="F425" s="173"/>
      <c r="G425" s="173"/>
      <c r="H425" s="174">
        <f t="shared" si="43"/>
        <v>657.84950166170267</v>
      </c>
      <c r="I425" s="185">
        <f t="shared" si="44"/>
        <v>901754.60520967259</v>
      </c>
      <c r="J425" s="185">
        <f t="shared" si="45"/>
        <v>16902.616779937631</v>
      </c>
      <c r="K425" s="230">
        <v>21927</v>
      </c>
      <c r="L425" s="223">
        <f t="shared" si="46"/>
        <v>37.023793025566683</v>
      </c>
      <c r="M425" s="223"/>
      <c r="N425" s="223"/>
      <c r="O425" s="223"/>
      <c r="P425" s="223"/>
      <c r="Q425" s="223"/>
      <c r="R425" s="223"/>
      <c r="S425" s="173">
        <v>1804000</v>
      </c>
      <c r="T425" s="224">
        <v>33810</v>
      </c>
    </row>
    <row r="426" spans="1:20" x14ac:dyDescent="0.25">
      <c r="A426" s="222" t="str">
        <f t="shared" ref="A426:A439" si="47">$B$225&amp;"  "&amp;C426&amp;"*"&amp;D426</f>
        <v>CIRC  1067*25</v>
      </c>
      <c r="B426" s="174">
        <f t="shared" si="42"/>
        <v>642.43213571421074</v>
      </c>
      <c r="C426" s="173">
        <v>1067</v>
      </c>
      <c r="D426" s="173">
        <v>25</v>
      </c>
      <c r="E426" s="173"/>
      <c r="F426" s="173"/>
      <c r="G426" s="173"/>
      <c r="H426" s="174">
        <f t="shared" si="43"/>
        <v>818.38488626014112</v>
      </c>
      <c r="I426" s="185">
        <f t="shared" si="44"/>
        <v>1111355.4227490856</v>
      </c>
      <c r="J426" s="185">
        <f t="shared" si="45"/>
        <v>20831.404362682017</v>
      </c>
      <c r="K426" s="230">
        <v>27149</v>
      </c>
      <c r="L426" s="223">
        <f t="shared" si="46"/>
        <v>36.850864983063829</v>
      </c>
      <c r="M426" s="223"/>
      <c r="N426" s="223"/>
      <c r="O426" s="223"/>
      <c r="P426" s="223"/>
      <c r="Q426" s="223"/>
      <c r="R426" s="223"/>
      <c r="S426" s="173">
        <v>2223000</v>
      </c>
      <c r="T426" s="224">
        <v>41660</v>
      </c>
    </row>
    <row r="427" spans="1:20" x14ac:dyDescent="0.25">
      <c r="A427" s="225" t="str">
        <f t="shared" si="47"/>
        <v>CIRC  1067*30</v>
      </c>
      <c r="B427" s="180">
        <f t="shared" si="42"/>
        <v>767.21933750745109</v>
      </c>
      <c r="C427" s="179">
        <v>1067</v>
      </c>
      <c r="D427" s="179">
        <v>30</v>
      </c>
      <c r="E427" s="179"/>
      <c r="F427" s="179"/>
      <c r="G427" s="179"/>
      <c r="H427" s="180">
        <f t="shared" si="43"/>
        <v>977.34947453178472</v>
      </c>
      <c r="I427" s="186">
        <f t="shared" si="44"/>
        <v>1314863.6770060619</v>
      </c>
      <c r="J427" s="186">
        <f t="shared" si="45"/>
        <v>24645.992071341367</v>
      </c>
      <c r="K427" s="231">
        <v>32270</v>
      </c>
      <c r="L427" s="226">
        <f t="shared" si="46"/>
        <v>36.678825635508019</v>
      </c>
      <c r="M427" s="226"/>
      <c r="N427" s="226"/>
      <c r="O427" s="226"/>
      <c r="P427" s="226"/>
      <c r="Q427" s="226"/>
      <c r="R427" s="226"/>
      <c r="S427" s="179">
        <v>2630000</v>
      </c>
      <c r="T427" s="227">
        <v>49290</v>
      </c>
    </row>
    <row r="428" spans="1:20" x14ac:dyDescent="0.25">
      <c r="A428" s="64" t="str">
        <f t="shared" si="47"/>
        <v>CIRC  1168*10</v>
      </c>
      <c r="B428" s="163">
        <f t="shared" si="42"/>
        <v>285.58019698927296</v>
      </c>
      <c r="C428" s="64">
        <v>1168</v>
      </c>
      <c r="D428" s="64">
        <v>10</v>
      </c>
      <c r="E428" s="64"/>
      <c r="F428" s="64"/>
      <c r="G428" s="64"/>
      <c r="H428" s="163">
        <f t="shared" si="43"/>
        <v>363.79642928569803</v>
      </c>
      <c r="I428" s="187">
        <f t="shared" si="44"/>
        <v>609842.86830449419</v>
      </c>
      <c r="J428" s="187">
        <f t="shared" si="45"/>
        <v>10442.514868227639</v>
      </c>
      <c r="K428" s="228">
        <v>13410</v>
      </c>
      <c r="L428" s="218">
        <f t="shared" si="46"/>
        <v>40.943009171285887</v>
      </c>
      <c r="M428" s="218"/>
      <c r="N428" s="218"/>
      <c r="O428" s="218"/>
      <c r="P428" s="218"/>
      <c r="Q428" s="218"/>
      <c r="R428" s="218"/>
      <c r="S428" s="64">
        <v>1220000</v>
      </c>
      <c r="T428">
        <v>20890</v>
      </c>
    </row>
    <row r="429" spans="1:20" x14ac:dyDescent="0.25">
      <c r="A429" s="64" t="str">
        <f t="shared" si="47"/>
        <v>CIRC  1168*12.5</v>
      </c>
      <c r="B429" s="163">
        <f t="shared" si="42"/>
        <v>356.2045742887575</v>
      </c>
      <c r="C429" s="64">
        <v>1168</v>
      </c>
      <c r="D429" s="64">
        <v>12.5</v>
      </c>
      <c r="E429" s="64"/>
      <c r="F429" s="64"/>
      <c r="G429" s="64"/>
      <c r="H429" s="163">
        <f t="shared" si="43"/>
        <v>453.76378890287577</v>
      </c>
      <c r="I429" s="187">
        <f t="shared" si="44"/>
        <v>757409.1871253812</v>
      </c>
      <c r="J429" s="187">
        <f t="shared" si="45"/>
        <v>12969.335395982553</v>
      </c>
      <c r="K429" s="228">
        <v>16690</v>
      </c>
      <c r="L429" s="218">
        <f t="shared" si="46"/>
        <v>40.855484637928356</v>
      </c>
      <c r="M429" s="218"/>
      <c r="N429" s="218"/>
      <c r="O429" s="218"/>
      <c r="P429" s="218"/>
      <c r="Q429" s="218"/>
      <c r="R429" s="218"/>
      <c r="S429" s="64">
        <v>1515000</v>
      </c>
      <c r="T429">
        <v>25940</v>
      </c>
    </row>
    <row r="430" spans="1:20" x14ac:dyDescent="0.25">
      <c r="A430" s="64" t="str">
        <f t="shared" si="47"/>
        <v>CIRC  1168*14.2</v>
      </c>
      <c r="B430" s="163">
        <f t="shared" si="42"/>
        <v>404.05306772576785</v>
      </c>
      <c r="C430" s="64">
        <v>1168</v>
      </c>
      <c r="D430" s="64">
        <v>14.2</v>
      </c>
      <c r="E430" s="64"/>
      <c r="F430" s="64"/>
      <c r="G430" s="64"/>
      <c r="H430" s="163">
        <f t="shared" si="43"/>
        <v>514.71728372709276</v>
      </c>
      <c r="I430" s="187">
        <f t="shared" si="44"/>
        <v>856654.32112440316</v>
      </c>
      <c r="J430" s="187">
        <f t="shared" si="45"/>
        <v>14668.738375417861</v>
      </c>
      <c r="K430" s="228">
        <v>18905</v>
      </c>
      <c r="L430" s="218">
        <f t="shared" si="46"/>
        <v>40.796079468497943</v>
      </c>
      <c r="M430" s="218"/>
      <c r="N430" s="218"/>
      <c r="O430" s="218"/>
      <c r="P430" s="218"/>
      <c r="Q430" s="218"/>
      <c r="R430" s="218"/>
      <c r="S430" s="64">
        <v>1713000</v>
      </c>
      <c r="T430">
        <v>29340</v>
      </c>
    </row>
    <row r="431" spans="1:20" x14ac:dyDescent="0.25">
      <c r="A431" s="64" t="str">
        <f t="shared" si="47"/>
        <v>CIRC  1168*16</v>
      </c>
      <c r="B431" s="163">
        <f t="shared" si="42"/>
        <v>454.5608109590915</v>
      </c>
      <c r="C431" s="64">
        <v>1168</v>
      </c>
      <c r="D431" s="64">
        <v>16</v>
      </c>
      <c r="E431" s="64"/>
      <c r="F431" s="64"/>
      <c r="G431" s="64"/>
      <c r="H431" s="163">
        <f t="shared" si="43"/>
        <v>579.05835790967069</v>
      </c>
      <c r="I431" s="187">
        <f t="shared" si="44"/>
        <v>960773.62744372559</v>
      </c>
      <c r="J431" s="187">
        <f t="shared" si="45"/>
        <v>16451.603209652832</v>
      </c>
      <c r="K431" s="228">
        <v>21235</v>
      </c>
      <c r="L431" s="218">
        <f t="shared" si="46"/>
        <v>40.733278777923097</v>
      </c>
      <c r="M431" s="218"/>
      <c r="N431" s="218"/>
      <c r="O431" s="218"/>
      <c r="P431" s="218"/>
      <c r="Q431" s="218"/>
      <c r="R431" s="218"/>
      <c r="S431" s="64">
        <v>1922000</v>
      </c>
      <c r="T431">
        <v>32900</v>
      </c>
    </row>
    <row r="432" spans="1:20" x14ac:dyDescent="0.25">
      <c r="A432" s="64" t="str">
        <f t="shared" si="47"/>
        <v>CIRC  1168*20</v>
      </c>
      <c r="B432" s="163">
        <f t="shared" si="42"/>
        <v>566.22809351241006</v>
      </c>
      <c r="C432" s="64">
        <v>1168</v>
      </c>
      <c r="D432" s="64">
        <v>20</v>
      </c>
      <c r="E432" s="64"/>
      <c r="F432" s="64"/>
      <c r="G432" s="64"/>
      <c r="H432" s="163">
        <f t="shared" si="43"/>
        <v>721.3096732642166</v>
      </c>
      <c r="I432" s="187">
        <f t="shared" si="44"/>
        <v>1188631.7843786371</v>
      </c>
      <c r="J432" s="187">
        <f t="shared" si="45"/>
        <v>20353.283979086249</v>
      </c>
      <c r="K432" s="228">
        <v>26361</v>
      </c>
      <c r="L432" s="218">
        <f t="shared" si="46"/>
        <v>40.594088239545421</v>
      </c>
      <c r="M432" s="218"/>
      <c r="N432" s="218"/>
      <c r="O432" s="218"/>
      <c r="P432" s="218"/>
      <c r="Q432" s="218"/>
      <c r="R432" s="218"/>
      <c r="S432" s="64">
        <v>2377000</v>
      </c>
      <c r="T432">
        <v>40710</v>
      </c>
    </row>
    <row r="433" spans="1:20" x14ac:dyDescent="0.25">
      <c r="A433" s="64" t="str">
        <f t="shared" si="47"/>
        <v>CIRC  1168*25</v>
      </c>
      <c r="B433" s="163">
        <f t="shared" si="42"/>
        <v>704.70242909917749</v>
      </c>
      <c r="C433" s="64">
        <v>1168</v>
      </c>
      <c r="D433" s="64">
        <v>25</v>
      </c>
      <c r="E433" s="64"/>
      <c r="F433" s="64"/>
      <c r="G433" s="64"/>
      <c r="H433" s="163">
        <f t="shared" si="43"/>
        <v>897.71010076328344</v>
      </c>
      <c r="I433" s="187">
        <f t="shared" si="44"/>
        <v>1466716.9153063348</v>
      </c>
      <c r="J433" s="187">
        <f t="shared" si="45"/>
        <v>25115.015673053676</v>
      </c>
      <c r="K433" s="228">
        <v>32666</v>
      </c>
      <c r="L433" s="218">
        <f t="shared" si="46"/>
        <v>40.420817656252325</v>
      </c>
      <c r="M433" s="218"/>
      <c r="N433" s="218"/>
      <c r="O433" s="218"/>
      <c r="P433" s="218"/>
      <c r="Q433" s="218"/>
      <c r="R433" s="218"/>
      <c r="S433" s="64">
        <v>2933000</v>
      </c>
      <c r="T433">
        <v>50230</v>
      </c>
    </row>
    <row r="434" spans="1:20" x14ac:dyDescent="0.25">
      <c r="A434" s="219" t="str">
        <f t="shared" si="47"/>
        <v>CIRC  1219*10</v>
      </c>
      <c r="B434" s="168">
        <f t="shared" si="42"/>
        <v>298.15756317791971</v>
      </c>
      <c r="C434" s="167">
        <v>1219</v>
      </c>
      <c r="D434" s="167">
        <v>10</v>
      </c>
      <c r="E434" s="167"/>
      <c r="F434" s="167"/>
      <c r="G434" s="167"/>
      <c r="H434" s="168">
        <f t="shared" si="43"/>
        <v>379.81855181900596</v>
      </c>
      <c r="I434" s="184">
        <f t="shared" si="44"/>
        <v>694014.42812067305</v>
      </c>
      <c r="J434" s="184">
        <f t="shared" si="45"/>
        <v>11386.619001159524</v>
      </c>
      <c r="K434" s="229">
        <v>14617</v>
      </c>
      <c r="L434" s="220">
        <f t="shared" si="46"/>
        <v>42.746067070550481</v>
      </c>
      <c r="M434" s="220"/>
      <c r="N434" s="220"/>
      <c r="O434" s="220"/>
      <c r="P434" s="220"/>
      <c r="Q434" s="220"/>
      <c r="R434" s="220"/>
      <c r="S434" s="167">
        <v>1388000</v>
      </c>
      <c r="T434" s="221">
        <v>22770</v>
      </c>
    </row>
    <row r="435" spans="1:20" x14ac:dyDescent="0.25">
      <c r="A435" s="222" t="str">
        <f t="shared" si="47"/>
        <v>CIRC  1219*12.5</v>
      </c>
      <c r="B435" s="174">
        <f t="shared" si="42"/>
        <v>371.92628202456586</v>
      </c>
      <c r="C435" s="173">
        <v>1219</v>
      </c>
      <c r="D435" s="173">
        <v>12.5</v>
      </c>
      <c r="E435" s="173"/>
      <c r="F435" s="173"/>
      <c r="G435" s="173"/>
      <c r="H435" s="174">
        <f t="shared" si="43"/>
        <v>473.79144206951065</v>
      </c>
      <c r="I435" s="185">
        <f t="shared" si="44"/>
        <v>862181.08834703814</v>
      </c>
      <c r="J435" s="185">
        <f t="shared" si="45"/>
        <v>14145.711047531388</v>
      </c>
      <c r="K435" s="230">
        <v>18196</v>
      </c>
      <c r="L435" s="223">
        <f t="shared" si="46"/>
        <v>42.65850589272906</v>
      </c>
      <c r="M435" s="223"/>
      <c r="N435" s="223"/>
      <c r="O435" s="223"/>
      <c r="P435" s="223"/>
      <c r="Q435" s="223"/>
      <c r="R435" s="223"/>
      <c r="S435" s="173">
        <v>1724000</v>
      </c>
      <c r="T435" s="224">
        <v>28290</v>
      </c>
    </row>
    <row r="436" spans="1:20" x14ac:dyDescent="0.25">
      <c r="A436" s="222" t="str">
        <f t="shared" si="47"/>
        <v>CIRC  1219*14.2</v>
      </c>
      <c r="B436" s="174">
        <f t="shared" si="42"/>
        <v>421.91292771364505</v>
      </c>
      <c r="C436" s="173">
        <v>1219</v>
      </c>
      <c r="D436" s="173">
        <v>14.2</v>
      </c>
      <c r="E436" s="173"/>
      <c r="F436" s="173"/>
      <c r="G436" s="173"/>
      <c r="H436" s="174">
        <f t="shared" si="43"/>
        <v>537.46869772438856</v>
      </c>
      <c r="I436" s="185">
        <f t="shared" si="44"/>
        <v>975334.15323488624</v>
      </c>
      <c r="J436" s="185">
        <f t="shared" si="45"/>
        <v>16002.201037487879</v>
      </c>
      <c r="K436" s="230">
        <v>20613</v>
      </c>
      <c r="L436" s="223">
        <f t="shared" si="46"/>
        <v>42.599070999260057</v>
      </c>
      <c r="M436" s="223"/>
      <c r="N436" s="223"/>
      <c r="O436" s="223"/>
      <c r="P436" s="223"/>
      <c r="Q436" s="223"/>
      <c r="R436" s="223"/>
      <c r="S436" s="173">
        <v>1951000</v>
      </c>
      <c r="T436" s="224">
        <v>32000</v>
      </c>
    </row>
    <row r="437" spans="1:20" x14ac:dyDescent="0.25">
      <c r="A437" s="222" t="str">
        <f t="shared" si="47"/>
        <v>CIRC  1219*16</v>
      </c>
      <c r="B437" s="174">
        <f t="shared" si="42"/>
        <v>474.68459686092626</v>
      </c>
      <c r="C437" s="173">
        <v>1219</v>
      </c>
      <c r="D437" s="173">
        <v>16</v>
      </c>
      <c r="E437" s="173"/>
      <c r="F437" s="173"/>
      <c r="G437" s="173"/>
      <c r="H437" s="174">
        <f t="shared" si="43"/>
        <v>604.69375396296334</v>
      </c>
      <c r="I437" s="185">
        <f t="shared" si="44"/>
        <v>1094091.305725001</v>
      </c>
      <c r="J437" s="185">
        <f t="shared" si="45"/>
        <v>17950.636681296161</v>
      </c>
      <c r="K437" s="230">
        <v>23157</v>
      </c>
      <c r="L437" s="223">
        <f t="shared" si="46"/>
        <v>42.536234553613234</v>
      </c>
      <c r="M437" s="223"/>
      <c r="N437" s="223"/>
      <c r="O437" s="223"/>
      <c r="P437" s="223"/>
      <c r="Q437" s="223"/>
      <c r="R437" s="223"/>
      <c r="S437" s="173">
        <v>2188000</v>
      </c>
      <c r="T437" s="224">
        <v>35900</v>
      </c>
    </row>
    <row r="438" spans="1:20" x14ac:dyDescent="0.25">
      <c r="A438" s="222" t="str">
        <f t="shared" si="47"/>
        <v>CIRC  1219*20</v>
      </c>
      <c r="B438" s="174">
        <f t="shared" si="42"/>
        <v>591.38282588970344</v>
      </c>
      <c r="C438" s="173">
        <v>1219</v>
      </c>
      <c r="D438" s="173">
        <v>20</v>
      </c>
      <c r="E438" s="173"/>
      <c r="F438" s="173"/>
      <c r="G438" s="173"/>
      <c r="H438" s="174">
        <f t="shared" si="43"/>
        <v>753.35391833083236</v>
      </c>
      <c r="I438" s="185">
        <f t="shared" si="44"/>
        <v>1354154.6098920691</v>
      </c>
      <c r="J438" s="185">
        <f t="shared" si="45"/>
        <v>22217.466938344038</v>
      </c>
      <c r="K438" s="230">
        <v>28755</v>
      </c>
      <c r="L438" s="223">
        <f t="shared" si="46"/>
        <v>42.396948593029663</v>
      </c>
      <c r="M438" s="223"/>
      <c r="N438" s="223"/>
      <c r="O438" s="223"/>
      <c r="P438" s="223"/>
      <c r="Q438" s="223"/>
      <c r="R438" s="223"/>
      <c r="S438" s="173">
        <v>2708000</v>
      </c>
      <c r="T438" s="224">
        <v>44430</v>
      </c>
    </row>
    <row r="439" spans="1:20" x14ac:dyDescent="0.25">
      <c r="A439" s="225" t="str">
        <f t="shared" si="47"/>
        <v>CIRC  1219*25</v>
      </c>
      <c r="B439" s="180">
        <f t="shared" si="42"/>
        <v>736.14584457079434</v>
      </c>
      <c r="C439" s="179">
        <v>1219</v>
      </c>
      <c r="D439" s="179">
        <v>25</v>
      </c>
      <c r="E439" s="179"/>
      <c r="F439" s="179"/>
      <c r="G439" s="179"/>
      <c r="H439" s="180">
        <f t="shared" si="43"/>
        <v>937.7654070965533</v>
      </c>
      <c r="I439" s="186">
        <f t="shared" si="44"/>
        <v>1671872.7841136716</v>
      </c>
      <c r="J439" s="186">
        <f t="shared" si="45"/>
        <v>27430.234357894529</v>
      </c>
      <c r="K439" s="231">
        <v>35646</v>
      </c>
      <c r="L439" s="226">
        <f t="shared" si="46"/>
        <v>42.223527209365159</v>
      </c>
      <c r="M439" s="226"/>
      <c r="N439" s="226"/>
      <c r="O439" s="226"/>
      <c r="P439" s="226"/>
      <c r="Q439" s="226"/>
      <c r="R439" s="226"/>
      <c r="S439" s="179">
        <v>3344000</v>
      </c>
      <c r="T439" s="227">
        <v>54860</v>
      </c>
    </row>
  </sheetData>
  <sheetProtection algorithmName="SHA-512" hashValue="i7D7mam4MCpyEK4Rqb+xC8XYtDc4MeSQiP4+sM6FTUbA+xD+sirmHthEAK4nrU3jTOL22tvh/yIesqSfPYvEaQ==" saltValue="kObap6EcyaycYwe0BXM8zw==" spinCount="100000" sheet="1" objects="1" scenarios="1"/>
  <mergeCells count="2">
    <mergeCell ref="C1:D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20</vt:i4>
      </vt:variant>
      <vt:variant>
        <vt:lpstr>Plages nommées</vt:lpstr>
      </vt:variant>
      <vt:variant>
        <vt:i4>23</vt:i4>
      </vt:variant>
    </vt:vector>
  </HeadingPairs>
  <TitlesOfParts>
    <vt:vector size="43" baseType="lpstr">
      <vt:lpstr>Données d'Entrées</vt:lpstr>
      <vt:lpstr>NdC Détaillée</vt:lpstr>
      <vt:lpstr>Informations</vt:lpstr>
      <vt:lpstr>Configuration</vt:lpstr>
      <vt:lpstr>Boulons</vt:lpstr>
      <vt:lpstr>Soudures</vt:lpstr>
      <vt:lpstr>Ancrages</vt:lpstr>
      <vt:lpstr>EN1992-4</vt:lpstr>
      <vt:lpstr>T Tendus</vt:lpstr>
      <vt:lpstr>Composants</vt:lpstr>
      <vt:lpstr>Rigidité</vt:lpstr>
      <vt:lpstr>Efforts</vt:lpstr>
      <vt:lpstr>Divers</vt:lpstr>
      <vt:lpstr>PRS</vt:lpstr>
      <vt:lpstr>Data</vt:lpstr>
      <vt:lpstr>Profilés</vt:lpstr>
      <vt:lpstr>Cornières</vt:lpstr>
      <vt:lpstr>Tubes_SHS</vt:lpstr>
      <vt:lpstr>Tubes_RHS</vt:lpstr>
      <vt:lpstr>Tubes_CHS</vt:lpstr>
      <vt:lpstr>G_M0</vt:lpstr>
      <vt:lpstr>G_M1</vt:lpstr>
      <vt:lpstr>G_M2</vt:lpstr>
      <vt:lpstr>G_M3</vt:lpstr>
      <vt:lpstr>G_M3ser</vt:lpstr>
      <vt:lpstr>G_M4</vt:lpstr>
      <vt:lpstr>G_M5</vt:lpstr>
      <vt:lpstr>G_M6ser</vt:lpstr>
      <vt:lpstr>G_M7</vt:lpstr>
      <vt:lpstr>Ancrages!Zone_d_impression</vt:lpstr>
      <vt:lpstr>Boulons!Zone_d_impression</vt:lpstr>
      <vt:lpstr>Composants!Zone_d_impression</vt:lpstr>
      <vt:lpstr>Configuration!Zone_d_impression</vt:lpstr>
      <vt:lpstr>Divers!Zone_d_impression</vt:lpstr>
      <vt:lpstr>'Données d''Entrées'!Zone_d_impression</vt:lpstr>
      <vt:lpstr>Efforts!Zone_d_impression</vt:lpstr>
      <vt:lpstr>'EN1992-4'!Zone_d_impression</vt:lpstr>
      <vt:lpstr>Informations!Zone_d_impression</vt:lpstr>
      <vt:lpstr>'NdC Détaillée'!Zone_d_impression</vt:lpstr>
      <vt:lpstr>PRS!Zone_d_impression</vt:lpstr>
      <vt:lpstr>Rigidité!Zone_d_impression</vt:lpstr>
      <vt:lpstr>Soudures!Zone_d_impression</vt:lpstr>
      <vt:lpstr>'T Tendus'!Zone_d_impression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 RIQUE</dc:creator>
  <cp:lastModifiedBy>RIQUE Guillaume</cp:lastModifiedBy>
  <cp:lastPrinted>2022-12-29T15:05:20Z</cp:lastPrinted>
  <dcterms:created xsi:type="dcterms:W3CDTF">2020-10-09T14:56:26Z</dcterms:created>
  <dcterms:modified xsi:type="dcterms:W3CDTF">2026-04-14T19:27:19Z</dcterms:modified>
</cp:coreProperties>
</file>