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ique\Downloads\"/>
    </mc:Choice>
  </mc:AlternateContent>
  <xr:revisionPtr revIDLastSave="0" documentId="13_ncr:1_{DBF39B3E-5E02-4B77-9474-AAE2AAE7183B}" xr6:coauthVersionLast="47" xr6:coauthVersionMax="47" xr10:uidLastSave="{00000000-0000-0000-0000-000000000000}"/>
  <workbookProtection workbookAlgorithmName="SHA-512" workbookHashValue="QWa/EvIN+3q1iHyP8FocSaRHE1Pzd6mHOi24O9vqIwPmieMp7Bp96HR8c87+04tonWpMknHKS8LMv50VaIuoDA==" workbookSaltValue="50mfZqbp4h+QFBA6hDG7+Q==" workbookSpinCount="100000" lockStructure="1"/>
  <bookViews>
    <workbookView xWindow="-120" yWindow="-120" windowWidth="29040" windowHeight="15720" xr2:uid="{B6166726-D280-42AA-85D8-6F464C2460C1}"/>
  </bookViews>
  <sheets>
    <sheet name="Informations" sheetId="2" r:id="rId1"/>
    <sheet name="Vérif GC Complète" sheetId="1" r:id="rId2"/>
    <sheet name="Tubes_SHS" sheetId="3" r:id="rId3"/>
    <sheet name="Tubes_RHS" sheetId="4" r:id="rId4"/>
    <sheet name="Tubes_CHS" sheetId="5" r:id="rId5"/>
  </sheets>
  <externalReferences>
    <externalReference r:id="rId6"/>
  </externalReferences>
  <definedNames>
    <definedName name="Ac">[1]Corniere!$X$25</definedName>
    <definedName name="alpha">[1]Corniere!$N$39</definedName>
    <definedName name="Asb">[1]Corniere!$T$49</definedName>
    <definedName name="bc">#REF!</definedName>
    <definedName name="beta2">[1]Corniere!$U$101</definedName>
    <definedName name="beta3">[1]Corniere!$U$102</definedName>
    <definedName name="cdg">[1]Corniere!$AC$25</definedName>
    <definedName name="classe">[1]Corniere!$R$22</definedName>
    <definedName name="d0">[1]Corniere!$G$16</definedName>
    <definedName name="db">[1]Corniere!$Q$49</definedName>
    <definedName name="e0">#REF!</definedName>
    <definedName name="emini">#REF!</definedName>
    <definedName name="entraxe">[1]Corniere!$G$24</definedName>
    <definedName name="fub">[1]Corniere!$S$22</definedName>
    <definedName name="fuc">[1]Corniere!$U$26</definedName>
    <definedName name="fup">[1]Corniere!$U$27</definedName>
    <definedName name="fyb">#REF!</definedName>
    <definedName name="fyc">[1]Corniere!$S$26</definedName>
    <definedName name="fyp">[1]Corniere!$S$27</definedName>
    <definedName name="gamma0">[1]Corniere!$Q$7</definedName>
    <definedName name="gamma1">#REF!</definedName>
    <definedName name="gamma2">[1]Corniere!$Q$9</definedName>
    <definedName name="gamma3">[1]Corniere!$Q$10</definedName>
    <definedName name="gamma7">[1]Corniere!$Q$11</definedName>
    <definedName name="hc">#REF!</definedName>
    <definedName name="mu">[1]Corniere!#REF!</definedName>
    <definedName name="nb">[1]Corniere!$G$33</definedName>
    <definedName name="nc">[1]Corniere!$Q$28</definedName>
    <definedName name="Ned">[1]Corniere!$I$41</definedName>
    <definedName name="pas">#REF!</definedName>
    <definedName name="taux">[1]Corniere!$Q$18</definedName>
    <definedName name="tc">[1]Corniere!$T$25</definedName>
    <definedName name="tp">[1]Corniere!$J$15</definedName>
    <definedName name="trusq">[1]Corniere!$Y$25</definedName>
    <definedName name="_xlnm.Print_Area" localSheetId="0">Informations!$B$2:$AC$65</definedName>
    <definedName name="_xlnm.Print_Area" localSheetId="1">'Vérif GC Complète'!$A$1:$AN$126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47" i="1" l="1"/>
  <c r="N86" i="1"/>
  <c r="J36" i="1"/>
  <c r="V114" i="1" l="1"/>
  <c r="AQ118" i="1"/>
  <c r="AL114" i="1"/>
  <c r="AQ111" i="1"/>
  <c r="AR111" i="1"/>
  <c r="O104" i="1"/>
  <c r="I107" i="1"/>
  <c r="O97" i="1"/>
  <c r="O107" i="1"/>
  <c r="O106" i="1"/>
  <c r="O105" i="1"/>
  <c r="I105" i="1"/>
  <c r="AF107" i="1"/>
  <c r="I106" i="1" s="1"/>
  <c r="AA107" i="1"/>
  <c r="Y107" i="1"/>
  <c r="K117" i="1"/>
  <c r="S114" i="1"/>
  <c r="Q98" i="1"/>
  <c r="R78" i="1"/>
  <c r="N85" i="1"/>
  <c r="X70" i="1"/>
  <c r="AS75" i="1"/>
  <c r="AR75" i="1"/>
  <c r="AQ75" i="1"/>
  <c r="AS20" i="1"/>
  <c r="A19" i="3"/>
  <c r="AL46" i="1"/>
  <c r="AR20" i="1"/>
  <c r="AQ20" i="1"/>
  <c r="AI13" i="1" a="1"/>
  <c r="AI13" i="1" s="1"/>
  <c r="AB13" i="1" a="1"/>
  <c r="AB13" i="1" s="1"/>
  <c r="U13" i="1" a="1"/>
  <c r="U13" i="1" s="1"/>
  <c r="AX75" i="1" l="1" a="1"/>
  <c r="AX75" i="1" s="1"/>
  <c r="V107" i="1"/>
  <c r="K105" i="1"/>
  <c r="V105" i="1"/>
  <c r="Q105" i="1"/>
  <c r="Q106" i="1"/>
  <c r="V106" i="1"/>
  <c r="Q107" i="1"/>
  <c r="K106" i="1"/>
  <c r="K107" i="1"/>
  <c r="AX20" i="1" a="1"/>
  <c r="AX20" i="1" s="1"/>
  <c r="AT75" i="1" a="1"/>
  <c r="AT75" i="1" s="1"/>
  <c r="AT20" i="1" a="1"/>
  <c r="AT20" i="1" s="1"/>
  <c r="I439" i="5"/>
  <c r="L439" i="5" s="1"/>
  <c r="H439" i="5"/>
  <c r="B439" i="5" s="1"/>
  <c r="A439" i="5"/>
  <c r="L438" i="5"/>
  <c r="J438" i="5"/>
  <c r="I438" i="5"/>
  <c r="H438" i="5"/>
  <c r="B438" i="5"/>
  <c r="A438" i="5"/>
  <c r="I437" i="5"/>
  <c r="H437" i="5"/>
  <c r="B437" i="5" s="1"/>
  <c r="A437" i="5"/>
  <c r="J436" i="5"/>
  <c r="I436" i="5"/>
  <c r="H436" i="5"/>
  <c r="L436" i="5" s="1"/>
  <c r="A436" i="5"/>
  <c r="J435" i="5"/>
  <c r="I435" i="5"/>
  <c r="L435" i="5" s="1"/>
  <c r="H435" i="5"/>
  <c r="B435" i="5" s="1"/>
  <c r="A435" i="5"/>
  <c r="J434" i="5"/>
  <c r="I434" i="5"/>
  <c r="H434" i="5"/>
  <c r="A434" i="5"/>
  <c r="I433" i="5"/>
  <c r="H433" i="5"/>
  <c r="B433" i="5" s="1"/>
  <c r="A433" i="5"/>
  <c r="J432" i="5"/>
  <c r="I432" i="5"/>
  <c r="H432" i="5"/>
  <c r="L432" i="5" s="1"/>
  <c r="A432" i="5"/>
  <c r="J431" i="5"/>
  <c r="I431" i="5"/>
  <c r="L431" i="5" s="1"/>
  <c r="H431" i="5"/>
  <c r="B431" i="5" s="1"/>
  <c r="A431" i="5"/>
  <c r="L430" i="5"/>
  <c r="J430" i="5"/>
  <c r="I430" i="5"/>
  <c r="H430" i="5"/>
  <c r="B430" i="5"/>
  <c r="A430" i="5"/>
  <c r="I429" i="5"/>
  <c r="H429" i="5"/>
  <c r="B429" i="5" s="1"/>
  <c r="A429" i="5"/>
  <c r="J428" i="5"/>
  <c r="I428" i="5"/>
  <c r="H428" i="5"/>
  <c r="L428" i="5" s="1"/>
  <c r="A428" i="5"/>
  <c r="J427" i="5"/>
  <c r="I427" i="5"/>
  <c r="L427" i="5" s="1"/>
  <c r="H427" i="5"/>
  <c r="B427" i="5" s="1"/>
  <c r="A427" i="5"/>
  <c r="L426" i="5"/>
  <c r="J426" i="5"/>
  <c r="I426" i="5"/>
  <c r="H426" i="5"/>
  <c r="B426" i="5"/>
  <c r="A426" i="5"/>
  <c r="I425" i="5"/>
  <c r="H425" i="5"/>
  <c r="B425" i="5" s="1"/>
  <c r="A425" i="5"/>
  <c r="J424" i="5"/>
  <c r="I424" i="5"/>
  <c r="H424" i="5"/>
  <c r="L424" i="5" s="1"/>
  <c r="A424" i="5"/>
  <c r="J423" i="5"/>
  <c r="I423" i="5"/>
  <c r="L423" i="5" s="1"/>
  <c r="H423" i="5"/>
  <c r="B423" i="5" s="1"/>
  <c r="A423" i="5"/>
  <c r="L422" i="5"/>
  <c r="J422" i="5"/>
  <c r="I422" i="5"/>
  <c r="H422" i="5"/>
  <c r="B422" i="5"/>
  <c r="A422" i="5"/>
  <c r="I421" i="5"/>
  <c r="H421" i="5"/>
  <c r="B421" i="5" s="1"/>
  <c r="A421" i="5"/>
  <c r="J420" i="5"/>
  <c r="I420" i="5"/>
  <c r="H420" i="5"/>
  <c r="L420" i="5" s="1"/>
  <c r="A420" i="5"/>
  <c r="J419" i="5"/>
  <c r="I419" i="5"/>
  <c r="L419" i="5" s="1"/>
  <c r="H419" i="5"/>
  <c r="B419" i="5" s="1"/>
  <c r="A419" i="5"/>
  <c r="J418" i="5"/>
  <c r="I418" i="5"/>
  <c r="H418" i="5"/>
  <c r="A418" i="5"/>
  <c r="I417" i="5"/>
  <c r="H417" i="5"/>
  <c r="B417" i="5" s="1"/>
  <c r="A417" i="5"/>
  <c r="J416" i="5"/>
  <c r="I416" i="5"/>
  <c r="H416" i="5"/>
  <c r="L416" i="5" s="1"/>
  <c r="A416" i="5"/>
  <c r="J415" i="5"/>
  <c r="I415" i="5"/>
  <c r="L415" i="5" s="1"/>
  <c r="H415" i="5"/>
  <c r="B415" i="5" s="1"/>
  <c r="A415" i="5"/>
  <c r="L414" i="5"/>
  <c r="J414" i="5"/>
  <c r="I414" i="5"/>
  <c r="H414" i="5"/>
  <c r="B414" i="5"/>
  <c r="A414" i="5"/>
  <c r="I413" i="5"/>
  <c r="H413" i="5"/>
  <c r="B413" i="5" s="1"/>
  <c r="A413" i="5"/>
  <c r="J412" i="5"/>
  <c r="I412" i="5"/>
  <c r="H412" i="5"/>
  <c r="L412" i="5" s="1"/>
  <c r="A412" i="5"/>
  <c r="J411" i="5"/>
  <c r="I411" i="5"/>
  <c r="L411" i="5" s="1"/>
  <c r="H411" i="5"/>
  <c r="B411" i="5" s="1"/>
  <c r="A411" i="5"/>
  <c r="L410" i="5"/>
  <c r="J410" i="5"/>
  <c r="I410" i="5"/>
  <c r="H410" i="5"/>
  <c r="B410" i="5"/>
  <c r="A410" i="5"/>
  <c r="I409" i="5"/>
  <c r="H409" i="5"/>
  <c r="B409" i="5" s="1"/>
  <c r="A409" i="5"/>
  <c r="J408" i="5"/>
  <c r="I408" i="5"/>
  <c r="H408" i="5"/>
  <c r="L408" i="5" s="1"/>
  <c r="A408" i="5"/>
  <c r="J407" i="5"/>
  <c r="I407" i="5"/>
  <c r="L407" i="5" s="1"/>
  <c r="H407" i="5"/>
  <c r="B407" i="5" s="1"/>
  <c r="A407" i="5"/>
  <c r="L406" i="5"/>
  <c r="J406" i="5"/>
  <c r="I406" i="5"/>
  <c r="H406" i="5"/>
  <c r="B406" i="5"/>
  <c r="A406" i="5"/>
  <c r="I405" i="5"/>
  <c r="H405" i="5"/>
  <c r="B405" i="5" s="1"/>
  <c r="A405" i="5"/>
  <c r="J404" i="5"/>
  <c r="I404" i="5"/>
  <c r="H404" i="5"/>
  <c r="L404" i="5" s="1"/>
  <c r="A404" i="5"/>
  <c r="J403" i="5"/>
  <c r="I403" i="5"/>
  <c r="L403" i="5" s="1"/>
  <c r="H403" i="5"/>
  <c r="B403" i="5" s="1"/>
  <c r="A403" i="5"/>
  <c r="J402" i="5"/>
  <c r="I402" i="5"/>
  <c r="H402" i="5"/>
  <c r="A402" i="5"/>
  <c r="I401" i="5"/>
  <c r="H401" i="5"/>
  <c r="B401" i="5" s="1"/>
  <c r="A401" i="5"/>
  <c r="J400" i="5"/>
  <c r="I400" i="5"/>
  <c r="H400" i="5"/>
  <c r="L400" i="5" s="1"/>
  <c r="A400" i="5"/>
  <c r="J399" i="5"/>
  <c r="I399" i="5"/>
  <c r="L399" i="5" s="1"/>
  <c r="H399" i="5"/>
  <c r="B399" i="5" s="1"/>
  <c r="A399" i="5"/>
  <c r="L398" i="5"/>
  <c r="J398" i="5"/>
  <c r="I398" i="5"/>
  <c r="H398" i="5"/>
  <c r="B398" i="5"/>
  <c r="A398" i="5"/>
  <c r="I397" i="5"/>
  <c r="H397" i="5"/>
  <c r="B397" i="5" s="1"/>
  <c r="A397" i="5"/>
  <c r="J396" i="5"/>
  <c r="I396" i="5"/>
  <c r="H396" i="5"/>
  <c r="L396" i="5" s="1"/>
  <c r="A396" i="5"/>
  <c r="J395" i="5"/>
  <c r="I395" i="5"/>
  <c r="L395" i="5" s="1"/>
  <c r="H395" i="5"/>
  <c r="B395" i="5" s="1"/>
  <c r="A395" i="5"/>
  <c r="L394" i="5"/>
  <c r="J394" i="5"/>
  <c r="I394" i="5"/>
  <c r="H394" i="5"/>
  <c r="B394" i="5"/>
  <c r="A394" i="5"/>
  <c r="I393" i="5"/>
  <c r="H393" i="5"/>
  <c r="B393" i="5" s="1"/>
  <c r="A393" i="5"/>
  <c r="J392" i="5"/>
  <c r="I392" i="5"/>
  <c r="H392" i="5"/>
  <c r="L392" i="5" s="1"/>
  <c r="A392" i="5"/>
  <c r="J391" i="5"/>
  <c r="I391" i="5"/>
  <c r="L391" i="5" s="1"/>
  <c r="H391" i="5"/>
  <c r="B391" i="5" s="1"/>
  <c r="A391" i="5"/>
  <c r="L390" i="5"/>
  <c r="J390" i="5"/>
  <c r="I390" i="5"/>
  <c r="H390" i="5"/>
  <c r="B390" i="5"/>
  <c r="A390" i="5"/>
  <c r="I389" i="5"/>
  <c r="H389" i="5"/>
  <c r="B389" i="5" s="1"/>
  <c r="A389" i="5"/>
  <c r="J388" i="5"/>
  <c r="I388" i="5"/>
  <c r="H388" i="5"/>
  <c r="L388" i="5" s="1"/>
  <c r="A388" i="5"/>
  <c r="J387" i="5"/>
  <c r="I387" i="5"/>
  <c r="L387" i="5" s="1"/>
  <c r="H387" i="5"/>
  <c r="B387" i="5" s="1"/>
  <c r="A387" i="5"/>
  <c r="J386" i="5"/>
  <c r="I386" i="5"/>
  <c r="H386" i="5"/>
  <c r="A386" i="5"/>
  <c r="I385" i="5"/>
  <c r="H385" i="5"/>
  <c r="B385" i="5" s="1"/>
  <c r="A385" i="5"/>
  <c r="J384" i="5"/>
  <c r="I384" i="5"/>
  <c r="H384" i="5"/>
  <c r="L384" i="5" s="1"/>
  <c r="A384" i="5"/>
  <c r="J383" i="5"/>
  <c r="I383" i="5"/>
  <c r="L383" i="5" s="1"/>
  <c r="H383" i="5"/>
  <c r="B383" i="5" s="1"/>
  <c r="A383" i="5"/>
  <c r="L382" i="5"/>
  <c r="J382" i="5"/>
  <c r="I382" i="5"/>
  <c r="H382" i="5"/>
  <c r="B382" i="5"/>
  <c r="A382" i="5"/>
  <c r="I381" i="5"/>
  <c r="H381" i="5"/>
  <c r="B381" i="5" s="1"/>
  <c r="A381" i="5"/>
  <c r="J380" i="5"/>
  <c r="I380" i="5"/>
  <c r="H380" i="5"/>
  <c r="L380" i="5" s="1"/>
  <c r="A380" i="5"/>
  <c r="J379" i="5"/>
  <c r="I379" i="5"/>
  <c r="L379" i="5" s="1"/>
  <c r="H379" i="5"/>
  <c r="B379" i="5" s="1"/>
  <c r="A379" i="5"/>
  <c r="L378" i="5"/>
  <c r="J378" i="5"/>
  <c r="I378" i="5"/>
  <c r="H378" i="5"/>
  <c r="B378" i="5"/>
  <c r="A378" i="5"/>
  <c r="I377" i="5"/>
  <c r="H377" i="5"/>
  <c r="B377" i="5" s="1"/>
  <c r="A377" i="5"/>
  <c r="J376" i="5"/>
  <c r="I376" i="5"/>
  <c r="H376" i="5"/>
  <c r="L376" i="5" s="1"/>
  <c r="A376" i="5"/>
  <c r="J375" i="5"/>
  <c r="I375" i="5"/>
  <c r="L375" i="5" s="1"/>
  <c r="H375" i="5"/>
  <c r="B375" i="5" s="1"/>
  <c r="A375" i="5"/>
  <c r="L374" i="5"/>
  <c r="J374" i="5"/>
  <c r="I374" i="5"/>
  <c r="H374" i="5"/>
  <c r="B374" i="5"/>
  <c r="A374" i="5"/>
  <c r="I373" i="5"/>
  <c r="H373" i="5"/>
  <c r="B373" i="5" s="1"/>
  <c r="A373" i="5"/>
  <c r="J372" i="5"/>
  <c r="I372" i="5"/>
  <c r="H372" i="5"/>
  <c r="L372" i="5" s="1"/>
  <c r="A372" i="5"/>
  <c r="J371" i="5"/>
  <c r="I371" i="5"/>
  <c r="L371" i="5" s="1"/>
  <c r="H371" i="5"/>
  <c r="B371" i="5" s="1"/>
  <c r="A371" i="5"/>
  <c r="J370" i="5"/>
  <c r="I370" i="5"/>
  <c r="H370" i="5"/>
  <c r="A370" i="5"/>
  <c r="I369" i="5"/>
  <c r="H369" i="5"/>
  <c r="B369" i="5" s="1"/>
  <c r="A369" i="5"/>
  <c r="J368" i="5"/>
  <c r="I368" i="5"/>
  <c r="H368" i="5"/>
  <c r="L368" i="5" s="1"/>
  <c r="A368" i="5"/>
  <c r="J367" i="5"/>
  <c r="I367" i="5"/>
  <c r="L367" i="5" s="1"/>
  <c r="H367" i="5"/>
  <c r="B367" i="5" s="1"/>
  <c r="A367" i="5"/>
  <c r="L366" i="5"/>
  <c r="J366" i="5"/>
  <c r="I366" i="5"/>
  <c r="H366" i="5"/>
  <c r="B366" i="5"/>
  <c r="A366" i="5"/>
  <c r="I365" i="5"/>
  <c r="H365" i="5"/>
  <c r="B365" i="5" s="1"/>
  <c r="A365" i="5"/>
  <c r="J364" i="5"/>
  <c r="I364" i="5"/>
  <c r="H364" i="5"/>
  <c r="L364" i="5" s="1"/>
  <c r="A364" i="5"/>
  <c r="J363" i="5"/>
  <c r="I363" i="5"/>
  <c r="L363" i="5" s="1"/>
  <c r="H363" i="5"/>
  <c r="B363" i="5" s="1"/>
  <c r="A363" i="5"/>
  <c r="L362" i="5"/>
  <c r="J362" i="5"/>
  <c r="I362" i="5"/>
  <c r="H362" i="5"/>
  <c r="B362" i="5"/>
  <c r="A362" i="5"/>
  <c r="I361" i="5"/>
  <c r="H361" i="5"/>
  <c r="B361" i="5" s="1"/>
  <c r="A361" i="5"/>
  <c r="J360" i="5"/>
  <c r="I360" i="5"/>
  <c r="H360" i="5"/>
  <c r="L360" i="5" s="1"/>
  <c r="A360" i="5"/>
  <c r="J359" i="5"/>
  <c r="I359" i="5"/>
  <c r="L359" i="5" s="1"/>
  <c r="H359" i="5"/>
  <c r="B359" i="5" s="1"/>
  <c r="A359" i="5"/>
  <c r="L358" i="5"/>
  <c r="J358" i="5"/>
  <c r="I358" i="5"/>
  <c r="H358" i="5"/>
  <c r="B358" i="5"/>
  <c r="A358" i="5"/>
  <c r="I357" i="5"/>
  <c r="H357" i="5"/>
  <c r="B357" i="5" s="1"/>
  <c r="A357" i="5"/>
  <c r="J356" i="5"/>
  <c r="I356" i="5"/>
  <c r="H356" i="5"/>
  <c r="L356" i="5" s="1"/>
  <c r="A356" i="5"/>
  <c r="J355" i="5"/>
  <c r="I355" i="5"/>
  <c r="L355" i="5" s="1"/>
  <c r="H355" i="5"/>
  <c r="B355" i="5"/>
  <c r="A355" i="5"/>
  <c r="I354" i="5"/>
  <c r="H354" i="5"/>
  <c r="B354" i="5" s="1"/>
  <c r="A354" i="5"/>
  <c r="L353" i="5"/>
  <c r="J353" i="5"/>
  <c r="I353" i="5"/>
  <c r="H353" i="5"/>
  <c r="B353" i="5"/>
  <c r="A353" i="5"/>
  <c r="I352" i="5"/>
  <c r="H352" i="5"/>
  <c r="B352" i="5" s="1"/>
  <c r="A352" i="5"/>
  <c r="L351" i="5"/>
  <c r="J351" i="5"/>
  <c r="I351" i="5"/>
  <c r="H351" i="5"/>
  <c r="B351" i="5"/>
  <c r="A351" i="5"/>
  <c r="I350" i="5"/>
  <c r="H350" i="5"/>
  <c r="B350" i="5" s="1"/>
  <c r="A350" i="5"/>
  <c r="L349" i="5"/>
  <c r="J349" i="5"/>
  <c r="I349" i="5"/>
  <c r="H349" i="5"/>
  <c r="B349" i="5"/>
  <c r="A349" i="5"/>
  <c r="I348" i="5"/>
  <c r="H348" i="5"/>
  <c r="B348" i="5" s="1"/>
  <c r="A348" i="5"/>
  <c r="L347" i="5"/>
  <c r="J347" i="5"/>
  <c r="I347" i="5"/>
  <c r="H347" i="5"/>
  <c r="B347" i="5"/>
  <c r="A347" i="5"/>
  <c r="I346" i="5"/>
  <c r="H346" i="5"/>
  <c r="B346" i="5" s="1"/>
  <c r="A346" i="5"/>
  <c r="L345" i="5"/>
  <c r="J345" i="5"/>
  <c r="I345" i="5"/>
  <c r="H345" i="5"/>
  <c r="B345" i="5"/>
  <c r="A345" i="5"/>
  <c r="I344" i="5"/>
  <c r="H344" i="5"/>
  <c r="B344" i="5" s="1"/>
  <c r="A344" i="5"/>
  <c r="L343" i="5"/>
  <c r="J343" i="5"/>
  <c r="I343" i="5"/>
  <c r="H343" i="5"/>
  <c r="B343" i="5"/>
  <c r="A343" i="5"/>
  <c r="L342" i="5"/>
  <c r="I342" i="5"/>
  <c r="J342" i="5" s="1"/>
  <c r="H342" i="5"/>
  <c r="B342" i="5"/>
  <c r="A342" i="5"/>
  <c r="I341" i="5"/>
  <c r="L341" i="5" s="1"/>
  <c r="H341" i="5"/>
  <c r="B341" i="5"/>
  <c r="A341" i="5"/>
  <c r="I340" i="5"/>
  <c r="H340" i="5"/>
  <c r="B340" i="5"/>
  <c r="A340" i="5"/>
  <c r="L339" i="5"/>
  <c r="I339" i="5"/>
  <c r="J339" i="5" s="1"/>
  <c r="H339" i="5"/>
  <c r="B339" i="5"/>
  <c r="A339" i="5"/>
  <c r="I338" i="5"/>
  <c r="J338" i="5" s="1"/>
  <c r="H338" i="5"/>
  <c r="B338" i="5" s="1"/>
  <c r="A338" i="5"/>
  <c r="L337" i="5"/>
  <c r="J337" i="5"/>
  <c r="I337" i="5"/>
  <c r="H337" i="5"/>
  <c r="B337" i="5"/>
  <c r="A337" i="5"/>
  <c r="I336" i="5"/>
  <c r="J336" i="5" s="1"/>
  <c r="H336" i="5"/>
  <c r="B336" i="5"/>
  <c r="A336" i="5"/>
  <c r="I335" i="5"/>
  <c r="H335" i="5"/>
  <c r="B335" i="5"/>
  <c r="A335" i="5"/>
  <c r="L334" i="5"/>
  <c r="I334" i="5"/>
  <c r="J334" i="5" s="1"/>
  <c r="H334" i="5"/>
  <c r="B334" i="5"/>
  <c r="A334" i="5"/>
  <c r="I333" i="5"/>
  <c r="L333" i="5" s="1"/>
  <c r="H333" i="5"/>
  <c r="B333" i="5"/>
  <c r="A333" i="5"/>
  <c r="I332" i="5"/>
  <c r="H332" i="5"/>
  <c r="B332" i="5"/>
  <c r="A332" i="5"/>
  <c r="L331" i="5"/>
  <c r="I331" i="5"/>
  <c r="J331" i="5" s="1"/>
  <c r="H331" i="5"/>
  <c r="B331" i="5"/>
  <c r="A331" i="5"/>
  <c r="I330" i="5"/>
  <c r="J330" i="5" s="1"/>
  <c r="H330" i="5"/>
  <c r="B330" i="5" s="1"/>
  <c r="A330" i="5"/>
  <c r="L329" i="5"/>
  <c r="J329" i="5"/>
  <c r="I329" i="5"/>
  <c r="H329" i="5"/>
  <c r="B329" i="5"/>
  <c r="A329" i="5"/>
  <c r="I328" i="5"/>
  <c r="J328" i="5" s="1"/>
  <c r="H328" i="5"/>
  <c r="B328" i="5"/>
  <c r="A328" i="5"/>
  <c r="I327" i="5"/>
  <c r="H327" i="5"/>
  <c r="B327" i="5"/>
  <c r="A327" i="5"/>
  <c r="L326" i="5"/>
  <c r="I326" i="5"/>
  <c r="J326" i="5" s="1"/>
  <c r="H326" i="5"/>
  <c r="B326" i="5"/>
  <c r="A326" i="5"/>
  <c r="I325" i="5"/>
  <c r="L325" i="5" s="1"/>
  <c r="H325" i="5"/>
  <c r="B325" i="5"/>
  <c r="A325" i="5"/>
  <c r="I324" i="5"/>
  <c r="H324" i="5"/>
  <c r="B324" i="5"/>
  <c r="A324" i="5"/>
  <c r="L323" i="5"/>
  <c r="I323" i="5"/>
  <c r="J323" i="5" s="1"/>
  <c r="H323" i="5"/>
  <c r="B323" i="5"/>
  <c r="A323" i="5"/>
  <c r="I322" i="5"/>
  <c r="J322" i="5" s="1"/>
  <c r="H322" i="5"/>
  <c r="B322" i="5" s="1"/>
  <c r="A322" i="5"/>
  <c r="L321" i="5"/>
  <c r="J321" i="5"/>
  <c r="I321" i="5"/>
  <c r="H321" i="5"/>
  <c r="B321" i="5"/>
  <c r="A321" i="5"/>
  <c r="I320" i="5"/>
  <c r="J320" i="5" s="1"/>
  <c r="H320" i="5"/>
  <c r="B320" i="5"/>
  <c r="A320" i="5"/>
  <c r="I319" i="5"/>
  <c r="H319" i="5"/>
  <c r="B319" i="5"/>
  <c r="A319" i="5"/>
  <c r="L318" i="5"/>
  <c r="I318" i="5"/>
  <c r="J318" i="5" s="1"/>
  <c r="H318" i="5"/>
  <c r="B318" i="5"/>
  <c r="A318" i="5"/>
  <c r="I317" i="5"/>
  <c r="L317" i="5" s="1"/>
  <c r="H317" i="5"/>
  <c r="B317" i="5"/>
  <c r="A317" i="5"/>
  <c r="I316" i="5"/>
  <c r="H316" i="5"/>
  <c r="B316" i="5"/>
  <c r="A316" i="5"/>
  <c r="L315" i="5"/>
  <c r="I315" i="5"/>
  <c r="J315" i="5" s="1"/>
  <c r="H315" i="5"/>
  <c r="B315" i="5"/>
  <c r="A315" i="5"/>
  <c r="I314" i="5"/>
  <c r="J314" i="5" s="1"/>
  <c r="H314" i="5"/>
  <c r="B314" i="5" s="1"/>
  <c r="A314" i="5"/>
  <c r="L313" i="5"/>
  <c r="J313" i="5"/>
  <c r="I313" i="5"/>
  <c r="H313" i="5"/>
  <c r="B313" i="5"/>
  <c r="A313" i="5"/>
  <c r="I312" i="5"/>
  <c r="J312" i="5" s="1"/>
  <c r="H312" i="5"/>
  <c r="B312" i="5"/>
  <c r="A312" i="5"/>
  <c r="I311" i="5"/>
  <c r="H311" i="5"/>
  <c r="B311" i="5"/>
  <c r="A311" i="5"/>
  <c r="L310" i="5"/>
  <c r="I310" i="5"/>
  <c r="J310" i="5" s="1"/>
  <c r="H310" i="5"/>
  <c r="B310" i="5"/>
  <c r="A310" i="5"/>
  <c r="I309" i="5"/>
  <c r="H309" i="5"/>
  <c r="B309" i="5"/>
  <c r="A309" i="5"/>
  <c r="L308" i="5"/>
  <c r="I308" i="5"/>
  <c r="J308" i="5" s="1"/>
  <c r="H308" i="5"/>
  <c r="B308" i="5"/>
  <c r="A308" i="5"/>
  <c r="I307" i="5"/>
  <c r="H307" i="5"/>
  <c r="B307" i="5"/>
  <c r="A307" i="5"/>
  <c r="L306" i="5"/>
  <c r="I306" i="5"/>
  <c r="J306" i="5" s="1"/>
  <c r="H306" i="5"/>
  <c r="B306" i="5"/>
  <c r="A306" i="5"/>
  <c r="I305" i="5"/>
  <c r="H305" i="5"/>
  <c r="B305" i="5" s="1"/>
  <c r="A305" i="5"/>
  <c r="L304" i="5"/>
  <c r="I304" i="5"/>
  <c r="J304" i="5" s="1"/>
  <c r="H304" i="5"/>
  <c r="B304" i="5"/>
  <c r="A304" i="5"/>
  <c r="I303" i="5"/>
  <c r="H303" i="5"/>
  <c r="B303" i="5" s="1"/>
  <c r="A303" i="5"/>
  <c r="L302" i="5"/>
  <c r="J302" i="5"/>
  <c r="I302" i="5"/>
  <c r="H302" i="5"/>
  <c r="B302" i="5"/>
  <c r="A302" i="5"/>
  <c r="I301" i="5"/>
  <c r="H301" i="5"/>
  <c r="B301" i="5" s="1"/>
  <c r="A301" i="5"/>
  <c r="L300" i="5"/>
  <c r="J300" i="5"/>
  <c r="I300" i="5"/>
  <c r="H300" i="5"/>
  <c r="B300" i="5"/>
  <c r="A300" i="5"/>
  <c r="I299" i="5"/>
  <c r="H299" i="5"/>
  <c r="B299" i="5" s="1"/>
  <c r="A299" i="5"/>
  <c r="L298" i="5"/>
  <c r="J298" i="5"/>
  <c r="I298" i="5"/>
  <c r="H298" i="5"/>
  <c r="B298" i="5"/>
  <c r="A298" i="5"/>
  <c r="I297" i="5"/>
  <c r="H297" i="5"/>
  <c r="B297" i="5" s="1"/>
  <c r="A297" i="5"/>
  <c r="L296" i="5"/>
  <c r="J296" i="5"/>
  <c r="I296" i="5"/>
  <c r="H296" i="5"/>
  <c r="B296" i="5"/>
  <c r="A296" i="5"/>
  <c r="I295" i="5"/>
  <c r="H295" i="5"/>
  <c r="B295" i="5" s="1"/>
  <c r="A295" i="5"/>
  <c r="L294" i="5"/>
  <c r="J294" i="5"/>
  <c r="I294" i="5"/>
  <c r="H294" i="5"/>
  <c r="B294" i="5"/>
  <c r="A294" i="5"/>
  <c r="I293" i="5"/>
  <c r="H293" i="5"/>
  <c r="B293" i="5" s="1"/>
  <c r="A293" i="5"/>
  <c r="L292" i="5"/>
  <c r="J292" i="5"/>
  <c r="I292" i="5"/>
  <c r="H292" i="5"/>
  <c r="B292" i="5"/>
  <c r="A292" i="5"/>
  <c r="I291" i="5"/>
  <c r="H291" i="5"/>
  <c r="B291" i="5" s="1"/>
  <c r="A291" i="5"/>
  <c r="L290" i="5"/>
  <c r="J290" i="5"/>
  <c r="I290" i="5"/>
  <c r="H290" i="5"/>
  <c r="B290" i="5"/>
  <c r="A290" i="5"/>
  <c r="I289" i="5"/>
  <c r="H289" i="5"/>
  <c r="B289" i="5" s="1"/>
  <c r="A289" i="5"/>
  <c r="L288" i="5"/>
  <c r="J288" i="5"/>
  <c r="I288" i="5"/>
  <c r="H288" i="5"/>
  <c r="B288" i="5"/>
  <c r="A288" i="5"/>
  <c r="I287" i="5"/>
  <c r="H287" i="5"/>
  <c r="B287" i="5" s="1"/>
  <c r="A287" i="5"/>
  <c r="L286" i="5"/>
  <c r="J286" i="5"/>
  <c r="I286" i="5"/>
  <c r="H286" i="5"/>
  <c r="B286" i="5"/>
  <c r="A286" i="5"/>
  <c r="I285" i="5"/>
  <c r="H285" i="5"/>
  <c r="B285" i="5" s="1"/>
  <c r="A285" i="5"/>
  <c r="L284" i="5"/>
  <c r="J284" i="5"/>
  <c r="I284" i="5"/>
  <c r="H284" i="5"/>
  <c r="B284" i="5"/>
  <c r="A284" i="5"/>
  <c r="I283" i="5"/>
  <c r="H283" i="5"/>
  <c r="B283" i="5" s="1"/>
  <c r="A283" i="5"/>
  <c r="L282" i="5"/>
  <c r="J282" i="5"/>
  <c r="I282" i="5"/>
  <c r="H282" i="5"/>
  <c r="B282" i="5"/>
  <c r="A282" i="5"/>
  <c r="I281" i="5"/>
  <c r="H281" i="5"/>
  <c r="B281" i="5" s="1"/>
  <c r="A281" i="5"/>
  <c r="L280" i="5"/>
  <c r="J280" i="5"/>
  <c r="I280" i="5"/>
  <c r="H280" i="5"/>
  <c r="B280" i="5"/>
  <c r="A280" i="5"/>
  <c r="I279" i="5"/>
  <c r="H279" i="5"/>
  <c r="B279" i="5" s="1"/>
  <c r="A279" i="5"/>
  <c r="L278" i="5"/>
  <c r="J278" i="5"/>
  <c r="I278" i="5"/>
  <c r="H278" i="5"/>
  <c r="B278" i="5"/>
  <c r="A278" i="5"/>
  <c r="I277" i="5"/>
  <c r="H277" i="5"/>
  <c r="B277" i="5" s="1"/>
  <c r="A277" i="5"/>
  <c r="L276" i="5"/>
  <c r="J276" i="5"/>
  <c r="I276" i="5"/>
  <c r="H276" i="5"/>
  <c r="B276" i="5"/>
  <c r="A276" i="5"/>
  <c r="I275" i="5"/>
  <c r="H275" i="5"/>
  <c r="B275" i="5" s="1"/>
  <c r="A275" i="5"/>
  <c r="L274" i="5"/>
  <c r="J274" i="5"/>
  <c r="I274" i="5"/>
  <c r="H274" i="5"/>
  <c r="B274" i="5"/>
  <c r="A274" i="5"/>
  <c r="I273" i="5"/>
  <c r="H273" i="5"/>
  <c r="B273" i="5" s="1"/>
  <c r="A273" i="5"/>
  <c r="L272" i="5"/>
  <c r="J272" i="5"/>
  <c r="I272" i="5"/>
  <c r="H272" i="5"/>
  <c r="B272" i="5"/>
  <c r="A272" i="5"/>
  <c r="I271" i="5"/>
  <c r="H271" i="5"/>
  <c r="B271" i="5" s="1"/>
  <c r="A271" i="5"/>
  <c r="L270" i="5"/>
  <c r="J270" i="5"/>
  <c r="I270" i="5"/>
  <c r="H270" i="5"/>
  <c r="B270" i="5"/>
  <c r="A270" i="5"/>
  <c r="I269" i="5"/>
  <c r="H269" i="5"/>
  <c r="B269" i="5" s="1"/>
  <c r="A269" i="5"/>
  <c r="L268" i="5"/>
  <c r="J268" i="5"/>
  <c r="I268" i="5"/>
  <c r="H268" i="5"/>
  <c r="B268" i="5"/>
  <c r="A268" i="5"/>
  <c r="I267" i="5"/>
  <c r="H267" i="5"/>
  <c r="B267" i="5" s="1"/>
  <c r="A267" i="5"/>
  <c r="L266" i="5"/>
  <c r="J266" i="5"/>
  <c r="I266" i="5"/>
  <c r="H266" i="5"/>
  <c r="B266" i="5"/>
  <c r="A266" i="5"/>
  <c r="I265" i="5"/>
  <c r="H265" i="5"/>
  <c r="B265" i="5" s="1"/>
  <c r="A265" i="5"/>
  <c r="L264" i="5"/>
  <c r="J264" i="5"/>
  <c r="I264" i="5"/>
  <c r="H264" i="5"/>
  <c r="B264" i="5"/>
  <c r="A264" i="5"/>
  <c r="I263" i="5"/>
  <c r="H263" i="5"/>
  <c r="B263" i="5" s="1"/>
  <c r="A263" i="5"/>
  <c r="L262" i="5"/>
  <c r="J262" i="5"/>
  <c r="I262" i="5"/>
  <c r="H262" i="5"/>
  <c r="B262" i="5"/>
  <c r="A262" i="5"/>
  <c r="I261" i="5"/>
  <c r="H261" i="5"/>
  <c r="B261" i="5" s="1"/>
  <c r="A261" i="5"/>
  <c r="L260" i="5"/>
  <c r="J260" i="5"/>
  <c r="I260" i="5"/>
  <c r="H260" i="5"/>
  <c r="B260" i="5"/>
  <c r="A260" i="5"/>
  <c r="I259" i="5"/>
  <c r="H259" i="5"/>
  <c r="B259" i="5" s="1"/>
  <c r="A259" i="5"/>
  <c r="L258" i="5"/>
  <c r="J258" i="5"/>
  <c r="I258" i="5"/>
  <c r="H258" i="5"/>
  <c r="B258" i="5"/>
  <c r="A258" i="5"/>
  <c r="I257" i="5"/>
  <c r="H257" i="5"/>
  <c r="B257" i="5" s="1"/>
  <c r="A257" i="5"/>
  <c r="L256" i="5"/>
  <c r="J256" i="5"/>
  <c r="I256" i="5"/>
  <c r="H256" i="5"/>
  <c r="B256" i="5"/>
  <c r="A256" i="5"/>
  <c r="I255" i="5"/>
  <c r="H255" i="5"/>
  <c r="B255" i="5" s="1"/>
  <c r="A255" i="5"/>
  <c r="L254" i="5"/>
  <c r="J254" i="5"/>
  <c r="I254" i="5"/>
  <c r="H254" i="5"/>
  <c r="B254" i="5"/>
  <c r="A254" i="5"/>
  <c r="I253" i="5"/>
  <c r="H253" i="5"/>
  <c r="B253" i="5" s="1"/>
  <c r="A253" i="5"/>
  <c r="J252" i="5"/>
  <c r="I252" i="5"/>
  <c r="H252" i="5"/>
  <c r="A252" i="5"/>
  <c r="I251" i="5"/>
  <c r="H251" i="5"/>
  <c r="B251" i="5" s="1"/>
  <c r="A251" i="5"/>
  <c r="J250" i="5"/>
  <c r="I250" i="5"/>
  <c r="H250" i="5"/>
  <c r="L250" i="5" s="1"/>
  <c r="A250" i="5"/>
  <c r="I249" i="5"/>
  <c r="L249" i="5" s="1"/>
  <c r="H249" i="5"/>
  <c r="B249" i="5" s="1"/>
  <c r="A249" i="5"/>
  <c r="J248" i="5"/>
  <c r="I248" i="5"/>
  <c r="H248" i="5"/>
  <c r="A248" i="5"/>
  <c r="I247" i="5"/>
  <c r="H247" i="5"/>
  <c r="B247" i="5" s="1"/>
  <c r="A247" i="5"/>
  <c r="J246" i="5"/>
  <c r="I246" i="5"/>
  <c r="H246" i="5"/>
  <c r="L246" i="5" s="1"/>
  <c r="A246" i="5"/>
  <c r="I245" i="5"/>
  <c r="L245" i="5" s="1"/>
  <c r="H245" i="5"/>
  <c r="B245" i="5" s="1"/>
  <c r="A245" i="5"/>
  <c r="J244" i="5"/>
  <c r="I244" i="5"/>
  <c r="H244" i="5"/>
  <c r="A244" i="5"/>
  <c r="I243" i="5"/>
  <c r="H243" i="5"/>
  <c r="B243" i="5" s="1"/>
  <c r="A243" i="5"/>
  <c r="J242" i="5"/>
  <c r="I242" i="5"/>
  <c r="H242" i="5"/>
  <c r="L242" i="5" s="1"/>
  <c r="A242" i="5"/>
  <c r="I241" i="5"/>
  <c r="L241" i="5" s="1"/>
  <c r="H241" i="5"/>
  <c r="B241" i="5" s="1"/>
  <c r="A241" i="5"/>
  <c r="J240" i="5"/>
  <c r="I240" i="5"/>
  <c r="H240" i="5"/>
  <c r="A240" i="5"/>
  <c r="I239" i="5"/>
  <c r="H239" i="5"/>
  <c r="B239" i="5" s="1"/>
  <c r="A239" i="5"/>
  <c r="J238" i="5"/>
  <c r="I238" i="5"/>
  <c r="H238" i="5"/>
  <c r="L238" i="5" s="1"/>
  <c r="A238" i="5"/>
  <c r="I237" i="5"/>
  <c r="L237" i="5" s="1"/>
  <c r="H237" i="5"/>
  <c r="B237" i="5" s="1"/>
  <c r="A237" i="5"/>
  <c r="J236" i="5"/>
  <c r="I236" i="5"/>
  <c r="H236" i="5"/>
  <c r="A236" i="5"/>
  <c r="I235" i="5"/>
  <c r="H235" i="5"/>
  <c r="B235" i="5" s="1"/>
  <c r="A235" i="5"/>
  <c r="J234" i="5"/>
  <c r="I234" i="5"/>
  <c r="H234" i="5"/>
  <c r="L234" i="5" s="1"/>
  <c r="A234" i="5"/>
  <c r="I233" i="5"/>
  <c r="L233" i="5" s="1"/>
  <c r="H233" i="5"/>
  <c r="B233" i="5" s="1"/>
  <c r="A233" i="5"/>
  <c r="J232" i="5"/>
  <c r="I232" i="5"/>
  <c r="H232" i="5"/>
  <c r="A232" i="5"/>
  <c r="I231" i="5"/>
  <c r="H231" i="5"/>
  <c r="B231" i="5" s="1"/>
  <c r="A231" i="5"/>
  <c r="J230" i="5"/>
  <c r="I230" i="5"/>
  <c r="H230" i="5"/>
  <c r="L230" i="5" s="1"/>
  <c r="A230" i="5"/>
  <c r="I229" i="5"/>
  <c r="L229" i="5" s="1"/>
  <c r="H229" i="5"/>
  <c r="B229" i="5" s="1"/>
  <c r="A229" i="5"/>
  <c r="J228" i="5"/>
  <c r="I228" i="5"/>
  <c r="H228" i="5"/>
  <c r="A228" i="5"/>
  <c r="I227" i="5"/>
  <c r="H227" i="5"/>
  <c r="B227" i="5" s="1"/>
  <c r="A227" i="5"/>
  <c r="J226" i="5"/>
  <c r="I226" i="5"/>
  <c r="H226" i="5"/>
  <c r="A226" i="5"/>
  <c r="I224" i="5"/>
  <c r="H224" i="5"/>
  <c r="B224" i="5" s="1"/>
  <c r="A224" i="5"/>
  <c r="J223" i="5"/>
  <c r="I223" i="5"/>
  <c r="H223" i="5"/>
  <c r="A223" i="5"/>
  <c r="I222" i="5"/>
  <c r="H222" i="5"/>
  <c r="B222" i="5" s="1"/>
  <c r="A222" i="5"/>
  <c r="J221" i="5"/>
  <c r="I221" i="5"/>
  <c r="H221" i="5"/>
  <c r="A221" i="5"/>
  <c r="I220" i="5"/>
  <c r="H220" i="5"/>
  <c r="B220" i="5" s="1"/>
  <c r="A220" i="5"/>
  <c r="J219" i="5"/>
  <c r="I219" i="5"/>
  <c r="H219" i="5"/>
  <c r="A219" i="5"/>
  <c r="I218" i="5"/>
  <c r="H218" i="5"/>
  <c r="B218" i="5" s="1"/>
  <c r="A218" i="5"/>
  <c r="J217" i="5"/>
  <c r="I217" i="5"/>
  <c r="H217" i="5"/>
  <c r="A217" i="5"/>
  <c r="I216" i="5"/>
  <c r="H216" i="5"/>
  <c r="B216" i="5" s="1"/>
  <c r="A216" i="5"/>
  <c r="J215" i="5"/>
  <c r="I215" i="5"/>
  <c r="H215" i="5"/>
  <c r="A215" i="5"/>
  <c r="I214" i="5"/>
  <c r="H214" i="5"/>
  <c r="B214" i="5" s="1"/>
  <c r="A214" i="5"/>
  <c r="J213" i="5"/>
  <c r="I213" i="5"/>
  <c r="H213" i="5"/>
  <c r="A213" i="5"/>
  <c r="I212" i="5"/>
  <c r="H212" i="5"/>
  <c r="B212" i="5" s="1"/>
  <c r="A212" i="5"/>
  <c r="J211" i="5"/>
  <c r="I211" i="5"/>
  <c r="H211" i="5"/>
  <c r="A211" i="5"/>
  <c r="I210" i="5"/>
  <c r="H210" i="5"/>
  <c r="B210" i="5" s="1"/>
  <c r="A210" i="5"/>
  <c r="J209" i="5"/>
  <c r="I209" i="5"/>
  <c r="H209" i="5"/>
  <c r="A209" i="5"/>
  <c r="I208" i="5"/>
  <c r="H208" i="5"/>
  <c r="B208" i="5" s="1"/>
  <c r="A208" i="5"/>
  <c r="J207" i="5"/>
  <c r="I207" i="5"/>
  <c r="H207" i="5"/>
  <c r="A207" i="5"/>
  <c r="I206" i="5"/>
  <c r="H206" i="5"/>
  <c r="B206" i="5" s="1"/>
  <c r="A206" i="5"/>
  <c r="J205" i="5"/>
  <c r="I205" i="5"/>
  <c r="H205" i="5"/>
  <c r="A205" i="5"/>
  <c r="I204" i="5"/>
  <c r="H204" i="5"/>
  <c r="B204" i="5" s="1"/>
  <c r="A204" i="5"/>
  <c r="J203" i="5"/>
  <c r="I203" i="5"/>
  <c r="H203" i="5"/>
  <c r="A203" i="5"/>
  <c r="I202" i="5"/>
  <c r="H202" i="5"/>
  <c r="B202" i="5" s="1"/>
  <c r="A202" i="5"/>
  <c r="J201" i="5"/>
  <c r="I201" i="5"/>
  <c r="H201" i="5"/>
  <c r="A201" i="5"/>
  <c r="I200" i="5"/>
  <c r="H200" i="5"/>
  <c r="B200" i="5" s="1"/>
  <c r="A200" i="5"/>
  <c r="J199" i="5"/>
  <c r="I199" i="5"/>
  <c r="H199" i="5"/>
  <c r="A199" i="5"/>
  <c r="I198" i="5"/>
  <c r="H198" i="5"/>
  <c r="B198" i="5" s="1"/>
  <c r="A198" i="5"/>
  <c r="J197" i="5"/>
  <c r="I197" i="5"/>
  <c r="H197" i="5"/>
  <c r="A197" i="5"/>
  <c r="I196" i="5"/>
  <c r="H196" i="5"/>
  <c r="B196" i="5" s="1"/>
  <c r="A196" i="5"/>
  <c r="J195" i="5"/>
  <c r="I195" i="5"/>
  <c r="H195" i="5"/>
  <c r="A195" i="5"/>
  <c r="I194" i="5"/>
  <c r="H194" i="5"/>
  <c r="B194" i="5" s="1"/>
  <c r="A194" i="5"/>
  <c r="J193" i="5"/>
  <c r="I193" i="5"/>
  <c r="H193" i="5"/>
  <c r="A193" i="5"/>
  <c r="I192" i="5"/>
  <c r="H192" i="5"/>
  <c r="B192" i="5" s="1"/>
  <c r="A192" i="5"/>
  <c r="J191" i="5"/>
  <c r="I191" i="5"/>
  <c r="H191" i="5"/>
  <c r="A191" i="5"/>
  <c r="I190" i="5"/>
  <c r="H190" i="5"/>
  <c r="B190" i="5" s="1"/>
  <c r="A190" i="5"/>
  <c r="J189" i="5"/>
  <c r="I189" i="5"/>
  <c r="H189" i="5"/>
  <c r="A189" i="5"/>
  <c r="I188" i="5"/>
  <c r="H188" i="5"/>
  <c r="B188" i="5" s="1"/>
  <c r="A188" i="5"/>
  <c r="J187" i="5"/>
  <c r="I187" i="5"/>
  <c r="H187" i="5"/>
  <c r="A187" i="5"/>
  <c r="I186" i="5"/>
  <c r="H186" i="5"/>
  <c r="B186" i="5" s="1"/>
  <c r="A186" i="5"/>
  <c r="J185" i="5"/>
  <c r="I185" i="5"/>
  <c r="H185" i="5"/>
  <c r="A185" i="5"/>
  <c r="I184" i="5"/>
  <c r="H184" i="5"/>
  <c r="B184" i="5" s="1"/>
  <c r="A184" i="5"/>
  <c r="J183" i="5"/>
  <c r="I183" i="5"/>
  <c r="H183" i="5"/>
  <c r="A183" i="5"/>
  <c r="I182" i="5"/>
  <c r="H182" i="5"/>
  <c r="B182" i="5" s="1"/>
  <c r="A182" i="5"/>
  <c r="J181" i="5"/>
  <c r="I181" i="5"/>
  <c r="H181" i="5"/>
  <c r="A181" i="5"/>
  <c r="I180" i="5"/>
  <c r="H180" i="5"/>
  <c r="B180" i="5" s="1"/>
  <c r="A180" i="5"/>
  <c r="J179" i="5"/>
  <c r="I179" i="5"/>
  <c r="H179" i="5"/>
  <c r="A179" i="5"/>
  <c r="I178" i="5"/>
  <c r="H178" i="5"/>
  <c r="B178" i="5" s="1"/>
  <c r="A178" i="5"/>
  <c r="J177" i="5"/>
  <c r="I177" i="5"/>
  <c r="H177" i="5"/>
  <c r="A177" i="5"/>
  <c r="I176" i="5"/>
  <c r="H176" i="5"/>
  <c r="B176" i="5" s="1"/>
  <c r="A176" i="5"/>
  <c r="J175" i="5"/>
  <c r="I175" i="5"/>
  <c r="H175" i="5"/>
  <c r="A175" i="5"/>
  <c r="I174" i="5"/>
  <c r="H174" i="5"/>
  <c r="B174" i="5" s="1"/>
  <c r="A174" i="5"/>
  <c r="J173" i="5"/>
  <c r="I173" i="5"/>
  <c r="H173" i="5"/>
  <c r="A173" i="5"/>
  <c r="I172" i="5"/>
  <c r="H172" i="5"/>
  <c r="B172" i="5" s="1"/>
  <c r="A172" i="5"/>
  <c r="J171" i="5"/>
  <c r="I171" i="5"/>
  <c r="H171" i="5"/>
  <c r="A171" i="5"/>
  <c r="I170" i="5"/>
  <c r="H170" i="5"/>
  <c r="B170" i="5" s="1"/>
  <c r="A170" i="5"/>
  <c r="J169" i="5"/>
  <c r="I169" i="5"/>
  <c r="H169" i="5"/>
  <c r="A169" i="5"/>
  <c r="I168" i="5"/>
  <c r="H168" i="5"/>
  <c r="B168" i="5" s="1"/>
  <c r="A168" i="5"/>
  <c r="J167" i="5"/>
  <c r="I167" i="5"/>
  <c r="H167" i="5"/>
  <c r="A167" i="5"/>
  <c r="I166" i="5"/>
  <c r="H166" i="5"/>
  <c r="B166" i="5" s="1"/>
  <c r="A166" i="5"/>
  <c r="J165" i="5"/>
  <c r="I165" i="5"/>
  <c r="H165" i="5"/>
  <c r="A165" i="5"/>
  <c r="I164" i="5"/>
  <c r="H164" i="5"/>
  <c r="B164" i="5" s="1"/>
  <c r="A164" i="5"/>
  <c r="J163" i="5"/>
  <c r="I163" i="5"/>
  <c r="H163" i="5"/>
  <c r="A163" i="5"/>
  <c r="I162" i="5"/>
  <c r="H162" i="5"/>
  <c r="B162" i="5" s="1"/>
  <c r="A162" i="5"/>
  <c r="J161" i="5"/>
  <c r="I161" i="5"/>
  <c r="H161" i="5"/>
  <c r="A161" i="5"/>
  <c r="I160" i="5"/>
  <c r="H160" i="5"/>
  <c r="B160" i="5" s="1"/>
  <c r="A160" i="5"/>
  <c r="J159" i="5"/>
  <c r="I159" i="5"/>
  <c r="H159" i="5"/>
  <c r="A159" i="5"/>
  <c r="I158" i="5"/>
  <c r="H158" i="5"/>
  <c r="B158" i="5" s="1"/>
  <c r="A158" i="5"/>
  <c r="J157" i="5"/>
  <c r="I157" i="5"/>
  <c r="H157" i="5"/>
  <c r="A157" i="5"/>
  <c r="I156" i="5"/>
  <c r="H156" i="5"/>
  <c r="B156" i="5" s="1"/>
  <c r="A156" i="5"/>
  <c r="J155" i="5"/>
  <c r="I155" i="5"/>
  <c r="H155" i="5"/>
  <c r="A155" i="5"/>
  <c r="I154" i="5"/>
  <c r="H154" i="5"/>
  <c r="B154" i="5" s="1"/>
  <c r="A154" i="5"/>
  <c r="J153" i="5"/>
  <c r="I153" i="5"/>
  <c r="H153" i="5"/>
  <c r="A153" i="5"/>
  <c r="I152" i="5"/>
  <c r="H152" i="5"/>
  <c r="B152" i="5" s="1"/>
  <c r="A152" i="5"/>
  <c r="J151" i="5"/>
  <c r="I151" i="5"/>
  <c r="L151" i="5" s="1"/>
  <c r="H151" i="5"/>
  <c r="B151" i="5" s="1"/>
  <c r="A151" i="5"/>
  <c r="J150" i="5"/>
  <c r="I150" i="5"/>
  <c r="H150" i="5"/>
  <c r="A150" i="5"/>
  <c r="J149" i="5"/>
  <c r="I149" i="5"/>
  <c r="L149" i="5" s="1"/>
  <c r="H149" i="5"/>
  <c r="B149" i="5" s="1"/>
  <c r="A149" i="5"/>
  <c r="J148" i="5"/>
  <c r="I148" i="5"/>
  <c r="H148" i="5"/>
  <c r="A148" i="5"/>
  <c r="J147" i="5"/>
  <c r="I147" i="5"/>
  <c r="L147" i="5" s="1"/>
  <c r="H147" i="5"/>
  <c r="B147" i="5" s="1"/>
  <c r="A147" i="5"/>
  <c r="J146" i="5"/>
  <c r="I146" i="5"/>
  <c r="H146" i="5"/>
  <c r="A146" i="5"/>
  <c r="I145" i="5"/>
  <c r="H145" i="5"/>
  <c r="B145" i="5" s="1"/>
  <c r="A145" i="5"/>
  <c r="J144" i="5"/>
  <c r="I144" i="5"/>
  <c r="H144" i="5"/>
  <c r="L144" i="5" s="1"/>
  <c r="A144" i="5"/>
  <c r="J143" i="5"/>
  <c r="I143" i="5"/>
  <c r="H143" i="5"/>
  <c r="A143" i="5"/>
  <c r="J142" i="5"/>
  <c r="I142" i="5"/>
  <c r="L142" i="5" s="1"/>
  <c r="H142" i="5"/>
  <c r="B142" i="5" s="1"/>
  <c r="A142" i="5"/>
  <c r="J141" i="5"/>
  <c r="I141" i="5"/>
  <c r="H141" i="5"/>
  <c r="A141" i="5"/>
  <c r="J140" i="5"/>
  <c r="I140" i="5"/>
  <c r="L140" i="5" s="1"/>
  <c r="H140" i="5"/>
  <c r="B140" i="5" s="1"/>
  <c r="A140" i="5"/>
  <c r="J139" i="5"/>
  <c r="I139" i="5"/>
  <c r="H139" i="5"/>
  <c r="A139" i="5"/>
  <c r="J138" i="5"/>
  <c r="I138" i="5"/>
  <c r="L138" i="5" s="1"/>
  <c r="H138" i="5"/>
  <c r="B138" i="5" s="1"/>
  <c r="A138" i="5"/>
  <c r="J137" i="5"/>
  <c r="I137" i="5"/>
  <c r="H137" i="5"/>
  <c r="B137" i="5" s="1"/>
  <c r="A137" i="5"/>
  <c r="J136" i="5"/>
  <c r="I136" i="5"/>
  <c r="H136" i="5"/>
  <c r="L136" i="5" s="1"/>
  <c r="A136" i="5"/>
  <c r="J135" i="5"/>
  <c r="I135" i="5"/>
  <c r="H135" i="5"/>
  <c r="B135" i="5" s="1"/>
  <c r="A135" i="5"/>
  <c r="J134" i="5"/>
  <c r="I134" i="5"/>
  <c r="H134" i="5"/>
  <c r="L134" i="5" s="1"/>
  <c r="A134" i="5"/>
  <c r="J133" i="5"/>
  <c r="I133" i="5"/>
  <c r="H133" i="5"/>
  <c r="B133" i="5" s="1"/>
  <c r="A133" i="5"/>
  <c r="J132" i="5"/>
  <c r="I132" i="5"/>
  <c r="H132" i="5"/>
  <c r="L132" i="5" s="1"/>
  <c r="A132" i="5"/>
  <c r="J131" i="5"/>
  <c r="I131" i="5"/>
  <c r="H131" i="5"/>
  <c r="B131" i="5" s="1"/>
  <c r="A131" i="5"/>
  <c r="J130" i="5"/>
  <c r="I130" i="5"/>
  <c r="L130" i="5" s="1"/>
  <c r="H130" i="5"/>
  <c r="B130" i="5" s="1"/>
  <c r="A130" i="5"/>
  <c r="J129" i="5"/>
  <c r="I129" i="5"/>
  <c r="H129" i="5"/>
  <c r="B129" i="5" s="1"/>
  <c r="A129" i="5"/>
  <c r="J128" i="5"/>
  <c r="I128" i="5"/>
  <c r="L128" i="5" s="1"/>
  <c r="H128" i="5"/>
  <c r="B128" i="5" s="1"/>
  <c r="A128" i="5"/>
  <c r="J127" i="5"/>
  <c r="I127" i="5"/>
  <c r="H127" i="5"/>
  <c r="B127" i="5" s="1"/>
  <c r="A127" i="5"/>
  <c r="J126" i="5"/>
  <c r="I126" i="5"/>
  <c r="L126" i="5" s="1"/>
  <c r="H126" i="5"/>
  <c r="B126" i="5" s="1"/>
  <c r="A126" i="5"/>
  <c r="J125" i="5"/>
  <c r="I125" i="5"/>
  <c r="H125" i="5"/>
  <c r="B125" i="5" s="1"/>
  <c r="A125" i="5"/>
  <c r="J124" i="5"/>
  <c r="I124" i="5"/>
  <c r="L124" i="5" s="1"/>
  <c r="H124" i="5"/>
  <c r="B124" i="5" s="1"/>
  <c r="A124" i="5"/>
  <c r="J123" i="5"/>
  <c r="I123" i="5"/>
  <c r="H123" i="5"/>
  <c r="B123" i="5" s="1"/>
  <c r="A123" i="5"/>
  <c r="J122" i="5"/>
  <c r="I122" i="5"/>
  <c r="L122" i="5" s="1"/>
  <c r="H122" i="5"/>
  <c r="B122" i="5" s="1"/>
  <c r="A122" i="5"/>
  <c r="J121" i="5"/>
  <c r="I121" i="5"/>
  <c r="H121" i="5"/>
  <c r="B121" i="5" s="1"/>
  <c r="A121" i="5"/>
  <c r="J120" i="5"/>
  <c r="I120" i="5"/>
  <c r="L120" i="5" s="1"/>
  <c r="H120" i="5"/>
  <c r="B120" i="5" s="1"/>
  <c r="A120" i="5"/>
  <c r="J119" i="5"/>
  <c r="I119" i="5"/>
  <c r="H119" i="5"/>
  <c r="B119" i="5" s="1"/>
  <c r="A119" i="5"/>
  <c r="J118" i="5"/>
  <c r="I118" i="5"/>
  <c r="L118" i="5" s="1"/>
  <c r="H118" i="5"/>
  <c r="B118" i="5" s="1"/>
  <c r="A118" i="5"/>
  <c r="J117" i="5"/>
  <c r="I117" i="5"/>
  <c r="H117" i="5"/>
  <c r="B117" i="5" s="1"/>
  <c r="A117" i="5"/>
  <c r="J116" i="5"/>
  <c r="I116" i="5"/>
  <c r="L116" i="5" s="1"/>
  <c r="H116" i="5"/>
  <c r="B116" i="5" s="1"/>
  <c r="A116" i="5"/>
  <c r="J115" i="5"/>
  <c r="I115" i="5"/>
  <c r="H115" i="5"/>
  <c r="B115" i="5" s="1"/>
  <c r="A115" i="5"/>
  <c r="J114" i="5"/>
  <c r="I114" i="5"/>
  <c r="L114" i="5" s="1"/>
  <c r="H114" i="5"/>
  <c r="B114" i="5" s="1"/>
  <c r="A114" i="5"/>
  <c r="J113" i="5"/>
  <c r="I113" i="5"/>
  <c r="H113" i="5"/>
  <c r="B113" i="5" s="1"/>
  <c r="A113" i="5"/>
  <c r="J112" i="5"/>
  <c r="I112" i="5"/>
  <c r="L112" i="5" s="1"/>
  <c r="H112" i="5"/>
  <c r="B112" i="5" s="1"/>
  <c r="A112" i="5"/>
  <c r="J111" i="5"/>
  <c r="I111" i="5"/>
  <c r="H111" i="5"/>
  <c r="B111" i="5" s="1"/>
  <c r="A111" i="5"/>
  <c r="J110" i="5"/>
  <c r="I110" i="5"/>
  <c r="L110" i="5" s="1"/>
  <c r="H110" i="5"/>
  <c r="B110" i="5" s="1"/>
  <c r="A110" i="5"/>
  <c r="J109" i="5"/>
  <c r="I109" i="5"/>
  <c r="H109" i="5"/>
  <c r="B109" i="5" s="1"/>
  <c r="A109" i="5"/>
  <c r="J108" i="5"/>
  <c r="I108" i="5"/>
  <c r="L108" i="5" s="1"/>
  <c r="H108" i="5"/>
  <c r="B108" i="5" s="1"/>
  <c r="A108" i="5"/>
  <c r="J107" i="5"/>
  <c r="I107" i="5"/>
  <c r="H107" i="5"/>
  <c r="B107" i="5" s="1"/>
  <c r="A107" i="5"/>
  <c r="J106" i="5"/>
  <c r="I106" i="5"/>
  <c r="L106" i="5" s="1"/>
  <c r="H106" i="5"/>
  <c r="B106" i="5" s="1"/>
  <c r="A106" i="5"/>
  <c r="J105" i="5"/>
  <c r="I105" i="5"/>
  <c r="H105" i="5"/>
  <c r="B105" i="5" s="1"/>
  <c r="A105" i="5"/>
  <c r="J104" i="5"/>
  <c r="I104" i="5"/>
  <c r="L104" i="5" s="1"/>
  <c r="H104" i="5"/>
  <c r="B104" i="5" s="1"/>
  <c r="A104" i="5"/>
  <c r="J103" i="5"/>
  <c r="I103" i="5"/>
  <c r="H103" i="5"/>
  <c r="B103" i="5" s="1"/>
  <c r="A103" i="5"/>
  <c r="J102" i="5"/>
  <c r="I102" i="5"/>
  <c r="L102" i="5" s="1"/>
  <c r="H102" i="5"/>
  <c r="B102" i="5" s="1"/>
  <c r="A102" i="5"/>
  <c r="J101" i="5"/>
  <c r="I101" i="5"/>
  <c r="H101" i="5"/>
  <c r="B101" i="5" s="1"/>
  <c r="A101" i="5"/>
  <c r="J100" i="5"/>
  <c r="I100" i="5"/>
  <c r="L100" i="5" s="1"/>
  <c r="H100" i="5"/>
  <c r="B100" i="5" s="1"/>
  <c r="A100" i="5"/>
  <c r="J99" i="5"/>
  <c r="I99" i="5"/>
  <c r="H99" i="5"/>
  <c r="B99" i="5" s="1"/>
  <c r="A99" i="5"/>
  <c r="J98" i="5"/>
  <c r="I98" i="5"/>
  <c r="L98" i="5" s="1"/>
  <c r="H98" i="5"/>
  <c r="B98" i="5" s="1"/>
  <c r="A98" i="5"/>
  <c r="J97" i="5"/>
  <c r="I97" i="5"/>
  <c r="H97" i="5"/>
  <c r="B97" i="5" s="1"/>
  <c r="A97" i="5"/>
  <c r="J96" i="5"/>
  <c r="I96" i="5"/>
  <c r="L96" i="5" s="1"/>
  <c r="H96" i="5"/>
  <c r="B96" i="5" s="1"/>
  <c r="A96" i="5"/>
  <c r="J95" i="5"/>
  <c r="I95" i="5"/>
  <c r="H95" i="5"/>
  <c r="B95" i="5" s="1"/>
  <c r="A95" i="5"/>
  <c r="J94" i="5"/>
  <c r="I94" i="5"/>
  <c r="L94" i="5" s="1"/>
  <c r="H94" i="5"/>
  <c r="B94" i="5" s="1"/>
  <c r="A94" i="5"/>
  <c r="J93" i="5"/>
  <c r="I93" i="5"/>
  <c r="H93" i="5"/>
  <c r="B93" i="5" s="1"/>
  <c r="A93" i="5"/>
  <c r="J92" i="5"/>
  <c r="I92" i="5"/>
  <c r="L92" i="5" s="1"/>
  <c r="H92" i="5"/>
  <c r="B92" i="5" s="1"/>
  <c r="A92" i="5"/>
  <c r="J91" i="5"/>
  <c r="I91" i="5"/>
  <c r="H91" i="5"/>
  <c r="B91" i="5" s="1"/>
  <c r="A91" i="5"/>
  <c r="J90" i="5"/>
  <c r="I90" i="5"/>
  <c r="L90" i="5" s="1"/>
  <c r="H90" i="5"/>
  <c r="B90" i="5" s="1"/>
  <c r="A90" i="5"/>
  <c r="J89" i="5"/>
  <c r="I89" i="5"/>
  <c r="H89" i="5"/>
  <c r="B89" i="5" s="1"/>
  <c r="A89" i="5"/>
  <c r="J88" i="5"/>
  <c r="I88" i="5"/>
  <c r="L88" i="5" s="1"/>
  <c r="H88" i="5"/>
  <c r="B88" i="5" s="1"/>
  <c r="A88" i="5"/>
  <c r="J87" i="5"/>
  <c r="I87" i="5"/>
  <c r="H87" i="5"/>
  <c r="B87" i="5" s="1"/>
  <c r="A87" i="5"/>
  <c r="J86" i="5"/>
  <c r="I86" i="5"/>
  <c r="L86" i="5" s="1"/>
  <c r="H86" i="5"/>
  <c r="B86" i="5" s="1"/>
  <c r="A86" i="5"/>
  <c r="J85" i="5"/>
  <c r="I85" i="5"/>
  <c r="H85" i="5"/>
  <c r="B85" i="5" s="1"/>
  <c r="A85" i="5"/>
  <c r="J84" i="5"/>
  <c r="I84" i="5"/>
  <c r="L84" i="5" s="1"/>
  <c r="H84" i="5"/>
  <c r="B84" i="5" s="1"/>
  <c r="A84" i="5"/>
  <c r="J83" i="5"/>
  <c r="I83" i="5"/>
  <c r="H83" i="5"/>
  <c r="B83" i="5" s="1"/>
  <c r="A83" i="5"/>
  <c r="J82" i="5"/>
  <c r="I82" i="5"/>
  <c r="L82" i="5" s="1"/>
  <c r="H82" i="5"/>
  <c r="B82" i="5" s="1"/>
  <c r="A82" i="5"/>
  <c r="J81" i="5"/>
  <c r="I81" i="5"/>
  <c r="H81" i="5"/>
  <c r="B81" i="5" s="1"/>
  <c r="A81" i="5"/>
  <c r="J80" i="5"/>
  <c r="I80" i="5"/>
  <c r="L80" i="5" s="1"/>
  <c r="H80" i="5"/>
  <c r="B80" i="5" s="1"/>
  <c r="A80" i="5"/>
  <c r="J79" i="5"/>
  <c r="I79" i="5"/>
  <c r="H79" i="5"/>
  <c r="B79" i="5" s="1"/>
  <c r="A79" i="5"/>
  <c r="J78" i="5"/>
  <c r="I78" i="5"/>
  <c r="L78" i="5" s="1"/>
  <c r="H78" i="5"/>
  <c r="B78" i="5" s="1"/>
  <c r="A78" i="5"/>
  <c r="J77" i="5"/>
  <c r="I77" i="5"/>
  <c r="H77" i="5"/>
  <c r="B77" i="5" s="1"/>
  <c r="A77" i="5"/>
  <c r="J76" i="5"/>
  <c r="I76" i="5"/>
  <c r="L76" i="5" s="1"/>
  <c r="H76" i="5"/>
  <c r="B76" i="5" s="1"/>
  <c r="A76" i="5"/>
  <c r="J75" i="5"/>
  <c r="I75" i="5"/>
  <c r="H75" i="5"/>
  <c r="B75" i="5" s="1"/>
  <c r="A75" i="5"/>
  <c r="J74" i="5"/>
  <c r="I74" i="5"/>
  <c r="L74" i="5" s="1"/>
  <c r="H74" i="5"/>
  <c r="B74" i="5" s="1"/>
  <c r="A74" i="5"/>
  <c r="J73" i="5"/>
  <c r="I73" i="5"/>
  <c r="H73" i="5"/>
  <c r="B73" i="5" s="1"/>
  <c r="A73" i="5"/>
  <c r="J72" i="5"/>
  <c r="I72" i="5"/>
  <c r="L72" i="5" s="1"/>
  <c r="H72" i="5"/>
  <c r="B72" i="5" s="1"/>
  <c r="A72" i="5"/>
  <c r="J71" i="5"/>
  <c r="I71" i="5"/>
  <c r="H71" i="5"/>
  <c r="B71" i="5" s="1"/>
  <c r="A71" i="5"/>
  <c r="J70" i="5"/>
  <c r="I70" i="5"/>
  <c r="L70" i="5" s="1"/>
  <c r="H70" i="5"/>
  <c r="B70" i="5" s="1"/>
  <c r="A70" i="5"/>
  <c r="J69" i="5"/>
  <c r="I69" i="5"/>
  <c r="H69" i="5"/>
  <c r="B69" i="5" s="1"/>
  <c r="A69" i="5"/>
  <c r="J68" i="5"/>
  <c r="I68" i="5"/>
  <c r="L68" i="5" s="1"/>
  <c r="H68" i="5"/>
  <c r="B68" i="5" s="1"/>
  <c r="A68" i="5"/>
  <c r="J67" i="5"/>
  <c r="I67" i="5"/>
  <c r="H67" i="5"/>
  <c r="B67" i="5" s="1"/>
  <c r="A67" i="5"/>
  <c r="J66" i="5"/>
  <c r="I66" i="5"/>
  <c r="L66" i="5" s="1"/>
  <c r="H66" i="5"/>
  <c r="B66" i="5" s="1"/>
  <c r="A66" i="5"/>
  <c r="J65" i="5"/>
  <c r="I65" i="5"/>
  <c r="H65" i="5"/>
  <c r="B65" i="5" s="1"/>
  <c r="A65" i="5"/>
  <c r="J64" i="5"/>
  <c r="I64" i="5"/>
  <c r="L64" i="5" s="1"/>
  <c r="H64" i="5"/>
  <c r="B64" i="5" s="1"/>
  <c r="A64" i="5"/>
  <c r="J63" i="5"/>
  <c r="I63" i="5"/>
  <c r="H63" i="5"/>
  <c r="B63" i="5" s="1"/>
  <c r="A63" i="5"/>
  <c r="J62" i="5"/>
  <c r="I62" i="5"/>
  <c r="L62" i="5" s="1"/>
  <c r="H62" i="5"/>
  <c r="B62" i="5" s="1"/>
  <c r="A62" i="5"/>
  <c r="J61" i="5"/>
  <c r="I61" i="5"/>
  <c r="H61" i="5"/>
  <c r="B61" i="5" s="1"/>
  <c r="A61" i="5"/>
  <c r="J60" i="5"/>
  <c r="I60" i="5"/>
  <c r="H60" i="5"/>
  <c r="B60" i="5" s="1"/>
  <c r="A60" i="5"/>
  <c r="J59" i="5"/>
  <c r="I59" i="5"/>
  <c r="H59" i="5"/>
  <c r="B59" i="5" s="1"/>
  <c r="A59" i="5"/>
  <c r="J58" i="5"/>
  <c r="I58" i="5"/>
  <c r="H58" i="5"/>
  <c r="B58" i="5" s="1"/>
  <c r="A58" i="5"/>
  <c r="J57" i="5"/>
  <c r="I57" i="5"/>
  <c r="H57" i="5"/>
  <c r="B57" i="5" s="1"/>
  <c r="A57" i="5"/>
  <c r="J56" i="5"/>
  <c r="I56" i="5"/>
  <c r="H56" i="5"/>
  <c r="B56" i="5" s="1"/>
  <c r="A56" i="5"/>
  <c r="J55" i="5"/>
  <c r="I55" i="5"/>
  <c r="H55" i="5"/>
  <c r="B55" i="5" s="1"/>
  <c r="A55" i="5"/>
  <c r="J54" i="5"/>
  <c r="I54" i="5"/>
  <c r="H54" i="5"/>
  <c r="B54" i="5" s="1"/>
  <c r="A54" i="5"/>
  <c r="J53" i="5"/>
  <c r="I53" i="5"/>
  <c r="H53" i="5"/>
  <c r="B53" i="5" s="1"/>
  <c r="A53" i="5"/>
  <c r="J52" i="5"/>
  <c r="I52" i="5"/>
  <c r="H52" i="5"/>
  <c r="B52" i="5" s="1"/>
  <c r="A52" i="5"/>
  <c r="J51" i="5"/>
  <c r="I51" i="5"/>
  <c r="H51" i="5"/>
  <c r="B51" i="5" s="1"/>
  <c r="A51" i="5"/>
  <c r="J50" i="5"/>
  <c r="I50" i="5"/>
  <c r="H50" i="5"/>
  <c r="B50" i="5" s="1"/>
  <c r="A50" i="5"/>
  <c r="J49" i="5"/>
  <c r="I49" i="5"/>
  <c r="H49" i="5"/>
  <c r="B49" i="5" s="1"/>
  <c r="A49" i="5"/>
  <c r="J48" i="5"/>
  <c r="I48" i="5"/>
  <c r="H48" i="5"/>
  <c r="B48" i="5" s="1"/>
  <c r="A48" i="5"/>
  <c r="J47" i="5"/>
  <c r="I47" i="5"/>
  <c r="H47" i="5"/>
  <c r="A47" i="5"/>
  <c r="J46" i="5"/>
  <c r="I46" i="5"/>
  <c r="H46" i="5"/>
  <c r="B46" i="5" s="1"/>
  <c r="A46" i="5"/>
  <c r="J45" i="5"/>
  <c r="I45" i="5"/>
  <c r="H45" i="5"/>
  <c r="A45" i="5"/>
  <c r="J44" i="5"/>
  <c r="I44" i="5"/>
  <c r="H44" i="5"/>
  <c r="B44" i="5" s="1"/>
  <c r="A44" i="5"/>
  <c r="J43" i="5"/>
  <c r="I43" i="5"/>
  <c r="H43" i="5"/>
  <c r="A43" i="5"/>
  <c r="J42" i="5"/>
  <c r="I42" i="5"/>
  <c r="H42" i="5"/>
  <c r="B42" i="5" s="1"/>
  <c r="A42" i="5"/>
  <c r="J41" i="5"/>
  <c r="I41" i="5"/>
  <c r="H41" i="5"/>
  <c r="A41" i="5"/>
  <c r="J40" i="5"/>
  <c r="I40" i="5"/>
  <c r="H40" i="5"/>
  <c r="B40" i="5" s="1"/>
  <c r="A40" i="5"/>
  <c r="J39" i="5"/>
  <c r="I39" i="5"/>
  <c r="H39" i="5"/>
  <c r="A39" i="5"/>
  <c r="J38" i="5"/>
  <c r="I38" i="5"/>
  <c r="H38" i="5"/>
  <c r="B38" i="5" s="1"/>
  <c r="A38" i="5"/>
  <c r="J37" i="5"/>
  <c r="I37" i="5"/>
  <c r="H37" i="5"/>
  <c r="A37" i="5"/>
  <c r="J36" i="5"/>
  <c r="I36" i="5"/>
  <c r="H36" i="5"/>
  <c r="B36" i="5" s="1"/>
  <c r="A36" i="5"/>
  <c r="J35" i="5"/>
  <c r="I35" i="5"/>
  <c r="H35" i="5"/>
  <c r="A35" i="5"/>
  <c r="J34" i="5"/>
  <c r="I34" i="5"/>
  <c r="H34" i="5"/>
  <c r="B34" i="5" s="1"/>
  <c r="A34" i="5"/>
  <c r="J33" i="5"/>
  <c r="I33" i="5"/>
  <c r="H33" i="5"/>
  <c r="A33" i="5"/>
  <c r="J32" i="5"/>
  <c r="I32" i="5"/>
  <c r="H32" i="5"/>
  <c r="B32" i="5" s="1"/>
  <c r="A32" i="5"/>
  <c r="J31" i="5"/>
  <c r="I31" i="5"/>
  <c r="H31" i="5"/>
  <c r="A31" i="5"/>
  <c r="J30" i="5"/>
  <c r="I30" i="5"/>
  <c r="H30" i="5"/>
  <c r="B30" i="5" s="1"/>
  <c r="A30" i="5"/>
  <c r="J29" i="5"/>
  <c r="I29" i="5"/>
  <c r="H29" i="5"/>
  <c r="A29" i="5"/>
  <c r="J28" i="5"/>
  <c r="I28" i="5"/>
  <c r="H28" i="5"/>
  <c r="B28" i="5" s="1"/>
  <c r="A28" i="5"/>
  <c r="J27" i="5"/>
  <c r="I27" i="5"/>
  <c r="H27" i="5"/>
  <c r="A27" i="5"/>
  <c r="J26" i="5"/>
  <c r="I26" i="5"/>
  <c r="H26" i="5"/>
  <c r="B26" i="5" s="1"/>
  <c r="A26" i="5"/>
  <c r="J25" i="5"/>
  <c r="I25" i="5"/>
  <c r="H25" i="5"/>
  <c r="A25" i="5"/>
  <c r="J24" i="5"/>
  <c r="I24" i="5"/>
  <c r="H24" i="5"/>
  <c r="B24" i="5" s="1"/>
  <c r="A24" i="5"/>
  <c r="J23" i="5"/>
  <c r="I23" i="5"/>
  <c r="H23" i="5"/>
  <c r="A23" i="5"/>
  <c r="J22" i="5"/>
  <c r="I22" i="5"/>
  <c r="H22" i="5"/>
  <c r="B22" i="5" s="1"/>
  <c r="A22" i="5"/>
  <c r="J21" i="5"/>
  <c r="I21" i="5"/>
  <c r="H21" i="5"/>
  <c r="A21" i="5"/>
  <c r="J20" i="5"/>
  <c r="I20" i="5"/>
  <c r="H20" i="5"/>
  <c r="B20" i="5" s="1"/>
  <c r="A20" i="5"/>
  <c r="J19" i="5"/>
  <c r="I19" i="5"/>
  <c r="H19" i="5"/>
  <c r="B19" i="5" s="1"/>
  <c r="A19" i="5"/>
  <c r="J18" i="5"/>
  <c r="I18" i="5"/>
  <c r="H18" i="5"/>
  <c r="B18" i="5" s="1"/>
  <c r="A18" i="5"/>
  <c r="J17" i="5"/>
  <c r="I17" i="5"/>
  <c r="H17" i="5"/>
  <c r="B17" i="5" s="1"/>
  <c r="A17" i="5"/>
  <c r="J16" i="5"/>
  <c r="I16" i="5"/>
  <c r="H16" i="5"/>
  <c r="B16" i="5" s="1"/>
  <c r="A16" i="5"/>
  <c r="J15" i="5"/>
  <c r="I15" i="5"/>
  <c r="H15" i="5"/>
  <c r="B15" i="5" s="1"/>
  <c r="A15" i="5"/>
  <c r="J14" i="5"/>
  <c r="I14" i="5"/>
  <c r="H14" i="5"/>
  <c r="B14" i="5" s="1"/>
  <c r="A14" i="5"/>
  <c r="J13" i="5"/>
  <c r="I13" i="5"/>
  <c r="H13" i="5"/>
  <c r="B13" i="5" s="1"/>
  <c r="A13" i="5"/>
  <c r="J12" i="5"/>
  <c r="I12" i="5"/>
  <c r="H12" i="5"/>
  <c r="B12" i="5" s="1"/>
  <c r="A12" i="5"/>
  <c r="J11" i="5"/>
  <c r="I11" i="5"/>
  <c r="H11" i="5"/>
  <c r="B11" i="5" s="1"/>
  <c r="A11" i="5"/>
  <c r="J10" i="5"/>
  <c r="I10" i="5"/>
  <c r="H10" i="5"/>
  <c r="B10" i="5" s="1"/>
  <c r="A10" i="5"/>
  <c r="J9" i="5"/>
  <c r="I9" i="5"/>
  <c r="H9" i="5"/>
  <c r="B9" i="5" s="1"/>
  <c r="A9" i="5"/>
  <c r="J8" i="5"/>
  <c r="I8" i="5"/>
  <c r="H8" i="5"/>
  <c r="B8" i="5" s="1"/>
  <c r="A8" i="5"/>
  <c r="J7" i="5"/>
  <c r="I7" i="5"/>
  <c r="H7" i="5"/>
  <c r="B7" i="5" s="1"/>
  <c r="A7" i="5"/>
  <c r="J6" i="5"/>
  <c r="I6" i="5"/>
  <c r="H6" i="5"/>
  <c r="B6" i="5" s="1"/>
  <c r="A6" i="5"/>
  <c r="J5" i="5"/>
  <c r="I5" i="5"/>
  <c r="H5" i="5"/>
  <c r="B5" i="5" s="1"/>
  <c r="A5" i="5"/>
  <c r="J4" i="5"/>
  <c r="I4" i="5"/>
  <c r="H4" i="5"/>
  <c r="B4" i="5" s="1"/>
  <c r="A4" i="5"/>
  <c r="O281" i="4"/>
  <c r="M281" i="4"/>
  <c r="J281" i="4"/>
  <c r="G281" i="4"/>
  <c r="F281" i="4"/>
  <c r="A281" i="4"/>
  <c r="R280" i="4"/>
  <c r="O280" i="4"/>
  <c r="J280" i="4"/>
  <c r="G280" i="4"/>
  <c r="M280" i="4" s="1"/>
  <c r="F280" i="4"/>
  <c r="H280" i="4" s="1"/>
  <c r="L280" i="4" s="1"/>
  <c r="A280" i="4"/>
  <c r="O279" i="4"/>
  <c r="M279" i="4"/>
  <c r="J279" i="4"/>
  <c r="G279" i="4"/>
  <c r="F279" i="4"/>
  <c r="A279" i="4"/>
  <c r="R278" i="4"/>
  <c r="O278" i="4"/>
  <c r="J278" i="4"/>
  <c r="G278" i="4"/>
  <c r="M278" i="4" s="1"/>
  <c r="F278" i="4"/>
  <c r="H278" i="4" s="1"/>
  <c r="A278" i="4"/>
  <c r="O277" i="4"/>
  <c r="M277" i="4"/>
  <c r="J277" i="4"/>
  <c r="G277" i="4"/>
  <c r="F277" i="4"/>
  <c r="A277" i="4"/>
  <c r="R276" i="4"/>
  <c r="O276" i="4"/>
  <c r="J276" i="4"/>
  <c r="G276" i="4"/>
  <c r="M276" i="4" s="1"/>
  <c r="F276" i="4"/>
  <c r="H276" i="4" s="1"/>
  <c r="L276" i="4" s="1"/>
  <c r="A276" i="4"/>
  <c r="O275" i="4"/>
  <c r="M275" i="4"/>
  <c r="J275" i="4"/>
  <c r="G275" i="4"/>
  <c r="F275" i="4"/>
  <c r="A275" i="4"/>
  <c r="R274" i="4"/>
  <c r="O274" i="4"/>
  <c r="J274" i="4"/>
  <c r="G274" i="4"/>
  <c r="M274" i="4" s="1"/>
  <c r="F274" i="4"/>
  <c r="H274" i="4" s="1"/>
  <c r="A274" i="4"/>
  <c r="O273" i="4"/>
  <c r="M273" i="4"/>
  <c r="J273" i="4"/>
  <c r="G273" i="4"/>
  <c r="F273" i="4"/>
  <c r="A273" i="4"/>
  <c r="R272" i="4"/>
  <c r="O272" i="4"/>
  <c r="J272" i="4"/>
  <c r="G272" i="4"/>
  <c r="M272" i="4" s="1"/>
  <c r="F272" i="4"/>
  <c r="H272" i="4" s="1"/>
  <c r="L272" i="4" s="1"/>
  <c r="A272" i="4"/>
  <c r="O271" i="4"/>
  <c r="M271" i="4"/>
  <c r="J271" i="4"/>
  <c r="G271" i="4"/>
  <c r="F271" i="4"/>
  <c r="A271" i="4"/>
  <c r="R270" i="4"/>
  <c r="O270" i="4"/>
  <c r="J270" i="4"/>
  <c r="G270" i="4"/>
  <c r="M270" i="4" s="1"/>
  <c r="F270" i="4"/>
  <c r="H270" i="4" s="1"/>
  <c r="A270" i="4"/>
  <c r="O269" i="4"/>
  <c r="M269" i="4"/>
  <c r="J269" i="4"/>
  <c r="G269" i="4"/>
  <c r="F269" i="4"/>
  <c r="A269" i="4"/>
  <c r="Q268" i="4"/>
  <c r="O268" i="4"/>
  <c r="J268" i="4"/>
  <c r="H268" i="4"/>
  <c r="L268" i="4" s="1"/>
  <c r="G268" i="4"/>
  <c r="M268" i="4" s="1"/>
  <c r="F268" i="4"/>
  <c r="B268" i="4"/>
  <c r="A268" i="4"/>
  <c r="O267" i="4"/>
  <c r="J267" i="4"/>
  <c r="H267" i="4"/>
  <c r="G267" i="4"/>
  <c r="M267" i="4" s="1"/>
  <c r="F267" i="4"/>
  <c r="A267" i="4"/>
  <c r="O266" i="4"/>
  <c r="J266" i="4"/>
  <c r="G266" i="4"/>
  <c r="M266" i="4" s="1"/>
  <c r="F266" i="4"/>
  <c r="A266" i="4"/>
  <c r="R265" i="4"/>
  <c r="O265" i="4"/>
  <c r="J265" i="4"/>
  <c r="G265" i="4"/>
  <c r="H265" i="4" s="1"/>
  <c r="F265" i="4"/>
  <c r="A265" i="4"/>
  <c r="Q264" i="4"/>
  <c r="O264" i="4"/>
  <c r="J264" i="4"/>
  <c r="H264" i="4"/>
  <c r="L264" i="4" s="1"/>
  <c r="G264" i="4"/>
  <c r="M264" i="4" s="1"/>
  <c r="F264" i="4"/>
  <c r="B264" i="4"/>
  <c r="A264" i="4"/>
  <c r="O263" i="4"/>
  <c r="J263" i="4"/>
  <c r="H263" i="4"/>
  <c r="G263" i="4"/>
  <c r="M263" i="4" s="1"/>
  <c r="F263" i="4"/>
  <c r="A263" i="4"/>
  <c r="O262" i="4"/>
  <c r="J262" i="4"/>
  <c r="G262" i="4"/>
  <c r="F262" i="4"/>
  <c r="A262" i="4"/>
  <c r="R261" i="4"/>
  <c r="O261" i="4"/>
  <c r="J261" i="4"/>
  <c r="G261" i="4"/>
  <c r="F261" i="4"/>
  <c r="A261" i="4"/>
  <c r="Q260" i="4"/>
  <c r="O260" i="4"/>
  <c r="J260" i="4"/>
  <c r="H260" i="4"/>
  <c r="L260" i="4" s="1"/>
  <c r="G260" i="4"/>
  <c r="M260" i="4" s="1"/>
  <c r="F260" i="4"/>
  <c r="B260" i="4"/>
  <c r="A260" i="4"/>
  <c r="O259" i="4"/>
  <c r="J259" i="4"/>
  <c r="H259" i="4"/>
  <c r="G259" i="4"/>
  <c r="M259" i="4" s="1"/>
  <c r="F259" i="4"/>
  <c r="A259" i="4"/>
  <c r="O258" i="4"/>
  <c r="M258" i="4"/>
  <c r="J258" i="4"/>
  <c r="G258" i="4"/>
  <c r="F258" i="4"/>
  <c r="A258" i="4"/>
  <c r="R257" i="4"/>
  <c r="O257" i="4"/>
  <c r="L257" i="4"/>
  <c r="J257" i="4"/>
  <c r="G257" i="4"/>
  <c r="H257" i="4" s="1"/>
  <c r="F257" i="4"/>
  <c r="A257" i="4"/>
  <c r="Q256" i="4"/>
  <c r="O256" i="4"/>
  <c r="J256" i="4"/>
  <c r="H256" i="4"/>
  <c r="L256" i="4" s="1"/>
  <c r="G256" i="4"/>
  <c r="M256" i="4" s="1"/>
  <c r="F256" i="4"/>
  <c r="B256" i="4"/>
  <c r="A256" i="4"/>
  <c r="O255" i="4"/>
  <c r="J255" i="4"/>
  <c r="H255" i="4"/>
  <c r="G255" i="4"/>
  <c r="M255" i="4" s="1"/>
  <c r="F255" i="4"/>
  <c r="A255" i="4"/>
  <c r="O254" i="4"/>
  <c r="M254" i="4"/>
  <c r="J254" i="4"/>
  <c r="G254" i="4"/>
  <c r="F254" i="4"/>
  <c r="A254" i="4"/>
  <c r="R253" i="4"/>
  <c r="O253" i="4"/>
  <c r="J253" i="4"/>
  <c r="G253" i="4"/>
  <c r="F253" i="4"/>
  <c r="A253" i="4"/>
  <c r="Q252" i="4"/>
  <c r="O252" i="4"/>
  <c r="J252" i="4"/>
  <c r="H252" i="4"/>
  <c r="L252" i="4" s="1"/>
  <c r="G252" i="4"/>
  <c r="M252" i="4" s="1"/>
  <c r="F252" i="4"/>
  <c r="B252" i="4"/>
  <c r="A252" i="4"/>
  <c r="O251" i="4"/>
  <c r="J251" i="4"/>
  <c r="H251" i="4"/>
  <c r="G251" i="4"/>
  <c r="M251" i="4" s="1"/>
  <c r="F251" i="4"/>
  <c r="A251" i="4"/>
  <c r="O250" i="4"/>
  <c r="J250" i="4"/>
  <c r="G250" i="4"/>
  <c r="M250" i="4" s="1"/>
  <c r="F250" i="4"/>
  <c r="A250" i="4"/>
  <c r="R249" i="4"/>
  <c r="O249" i="4"/>
  <c r="J249" i="4"/>
  <c r="G249" i="4"/>
  <c r="H249" i="4" s="1"/>
  <c r="F249" i="4"/>
  <c r="A249" i="4"/>
  <c r="Q248" i="4"/>
  <c r="O248" i="4"/>
  <c r="J248" i="4"/>
  <c r="H248" i="4"/>
  <c r="L248" i="4" s="1"/>
  <c r="G248" i="4"/>
  <c r="M248" i="4" s="1"/>
  <c r="F248" i="4"/>
  <c r="B248" i="4"/>
  <c r="A248" i="4"/>
  <c r="O247" i="4"/>
  <c r="J247" i="4"/>
  <c r="H247" i="4"/>
  <c r="G247" i="4"/>
  <c r="M247" i="4" s="1"/>
  <c r="F247" i="4"/>
  <c r="A247" i="4"/>
  <c r="O246" i="4"/>
  <c r="J246" i="4"/>
  <c r="G246" i="4"/>
  <c r="F246" i="4"/>
  <c r="A246" i="4"/>
  <c r="R245" i="4"/>
  <c r="O245" i="4"/>
  <c r="J245" i="4"/>
  <c r="G245" i="4"/>
  <c r="F245" i="4"/>
  <c r="A245" i="4"/>
  <c r="Q244" i="4"/>
  <c r="O244" i="4"/>
  <c r="J244" i="4"/>
  <c r="H244" i="4"/>
  <c r="L244" i="4" s="1"/>
  <c r="G244" i="4"/>
  <c r="M244" i="4" s="1"/>
  <c r="F244" i="4"/>
  <c r="B244" i="4"/>
  <c r="A244" i="4"/>
  <c r="O243" i="4"/>
  <c r="J243" i="4"/>
  <c r="H243" i="4"/>
  <c r="G243" i="4"/>
  <c r="M243" i="4" s="1"/>
  <c r="F243" i="4"/>
  <c r="A243" i="4"/>
  <c r="O242" i="4"/>
  <c r="J242" i="4"/>
  <c r="G242" i="4"/>
  <c r="F242" i="4"/>
  <c r="A242" i="4"/>
  <c r="R241" i="4"/>
  <c r="O241" i="4"/>
  <c r="L241" i="4"/>
  <c r="J241" i="4"/>
  <c r="G241" i="4"/>
  <c r="H241" i="4" s="1"/>
  <c r="F241" i="4"/>
  <c r="A241" i="4"/>
  <c r="Q240" i="4"/>
  <c r="O240" i="4"/>
  <c r="J240" i="4"/>
  <c r="H240" i="4"/>
  <c r="L240" i="4" s="1"/>
  <c r="G240" i="4"/>
  <c r="M240" i="4" s="1"/>
  <c r="F240" i="4"/>
  <c r="B240" i="4"/>
  <c r="A240" i="4"/>
  <c r="O239" i="4"/>
  <c r="J239" i="4"/>
  <c r="H239" i="4"/>
  <c r="G239" i="4"/>
  <c r="M239" i="4" s="1"/>
  <c r="F239" i="4"/>
  <c r="A239" i="4"/>
  <c r="O238" i="4"/>
  <c r="M238" i="4"/>
  <c r="J238" i="4"/>
  <c r="G238" i="4"/>
  <c r="F238" i="4"/>
  <c r="A238" i="4"/>
  <c r="R237" i="4"/>
  <c r="O237" i="4"/>
  <c r="J237" i="4"/>
  <c r="G237" i="4"/>
  <c r="F237" i="4"/>
  <c r="A237" i="4"/>
  <c r="Q236" i="4"/>
  <c r="O236" i="4"/>
  <c r="J236" i="4"/>
  <c r="H236" i="4"/>
  <c r="L236" i="4" s="1"/>
  <c r="G236" i="4"/>
  <c r="M236" i="4" s="1"/>
  <c r="F236" i="4"/>
  <c r="B236" i="4"/>
  <c r="A236" i="4"/>
  <c r="O235" i="4"/>
  <c r="J235" i="4"/>
  <c r="H235" i="4"/>
  <c r="G235" i="4"/>
  <c r="M235" i="4" s="1"/>
  <c r="F235" i="4"/>
  <c r="A235" i="4"/>
  <c r="O234" i="4"/>
  <c r="M234" i="4"/>
  <c r="J234" i="4"/>
  <c r="G234" i="4"/>
  <c r="F234" i="4"/>
  <c r="A234" i="4"/>
  <c r="R233" i="4"/>
  <c r="O233" i="4"/>
  <c r="J233" i="4"/>
  <c r="G233" i="4"/>
  <c r="H233" i="4" s="1"/>
  <c r="F233" i="4"/>
  <c r="A233" i="4"/>
  <c r="Q232" i="4"/>
  <c r="O232" i="4"/>
  <c r="J232" i="4"/>
  <c r="H232" i="4"/>
  <c r="L232" i="4" s="1"/>
  <c r="G232" i="4"/>
  <c r="M232" i="4" s="1"/>
  <c r="F232" i="4"/>
  <c r="B232" i="4"/>
  <c r="A232" i="4"/>
  <c r="O231" i="4"/>
  <c r="J231" i="4"/>
  <c r="H231" i="4"/>
  <c r="G231" i="4"/>
  <c r="M231" i="4" s="1"/>
  <c r="F231" i="4"/>
  <c r="A231" i="4"/>
  <c r="O230" i="4"/>
  <c r="J230" i="4"/>
  <c r="G230" i="4"/>
  <c r="F230" i="4"/>
  <c r="A230" i="4"/>
  <c r="R229" i="4"/>
  <c r="O229" i="4"/>
  <c r="J229" i="4"/>
  <c r="G229" i="4"/>
  <c r="F229" i="4"/>
  <c r="A229" i="4"/>
  <c r="R228" i="4"/>
  <c r="Q228" i="4"/>
  <c r="O228" i="4"/>
  <c r="J228" i="4"/>
  <c r="H228" i="4"/>
  <c r="L228" i="4" s="1"/>
  <c r="G228" i="4"/>
  <c r="M228" i="4" s="1"/>
  <c r="F228" i="4"/>
  <c r="B228" i="4"/>
  <c r="A228" i="4"/>
  <c r="O227" i="4"/>
  <c r="J227" i="4"/>
  <c r="H227" i="4"/>
  <c r="G227" i="4"/>
  <c r="M227" i="4" s="1"/>
  <c r="F227" i="4"/>
  <c r="A227" i="4"/>
  <c r="O226" i="4"/>
  <c r="J226" i="4"/>
  <c r="G226" i="4"/>
  <c r="F226" i="4"/>
  <c r="A226" i="4"/>
  <c r="R225" i="4"/>
  <c r="O225" i="4"/>
  <c r="J225" i="4"/>
  <c r="G225" i="4"/>
  <c r="F225" i="4"/>
  <c r="A225" i="4"/>
  <c r="R224" i="4"/>
  <c r="Q224" i="4"/>
  <c r="O224" i="4"/>
  <c r="J224" i="4"/>
  <c r="H224" i="4"/>
  <c r="L224" i="4" s="1"/>
  <c r="G224" i="4"/>
  <c r="M224" i="4" s="1"/>
  <c r="F224" i="4"/>
  <c r="B224" i="4"/>
  <c r="A224" i="4"/>
  <c r="O223" i="4"/>
  <c r="J223" i="4"/>
  <c r="H223" i="4"/>
  <c r="G223" i="4"/>
  <c r="M223" i="4" s="1"/>
  <c r="F223" i="4"/>
  <c r="A223" i="4"/>
  <c r="O222" i="4"/>
  <c r="J222" i="4"/>
  <c r="G222" i="4"/>
  <c r="F222" i="4"/>
  <c r="A222" i="4"/>
  <c r="R221" i="4"/>
  <c r="O221" i="4"/>
  <c r="J221" i="4"/>
  <c r="G221" i="4"/>
  <c r="F221" i="4"/>
  <c r="A221" i="4"/>
  <c r="R220" i="4"/>
  <c r="Q220" i="4"/>
  <c r="O220" i="4"/>
  <c r="J220" i="4"/>
  <c r="H220" i="4"/>
  <c r="L220" i="4" s="1"/>
  <c r="G220" i="4"/>
  <c r="M220" i="4" s="1"/>
  <c r="F220" i="4"/>
  <c r="B220" i="4"/>
  <c r="A220" i="4"/>
  <c r="O219" i="4"/>
  <c r="J219" i="4"/>
  <c r="H219" i="4"/>
  <c r="G219" i="4"/>
  <c r="M219" i="4" s="1"/>
  <c r="F219" i="4"/>
  <c r="A219" i="4"/>
  <c r="O218" i="4"/>
  <c r="J218" i="4"/>
  <c r="G218" i="4"/>
  <c r="F218" i="4"/>
  <c r="A218" i="4"/>
  <c r="R217" i="4"/>
  <c r="O217" i="4"/>
  <c r="J217" i="4"/>
  <c r="G217" i="4"/>
  <c r="F217" i="4"/>
  <c r="A217" i="4"/>
  <c r="R216" i="4"/>
  <c r="Q216" i="4"/>
  <c r="O216" i="4"/>
  <c r="J216" i="4"/>
  <c r="H216" i="4"/>
  <c r="L216" i="4" s="1"/>
  <c r="G216" i="4"/>
  <c r="M216" i="4" s="1"/>
  <c r="F216" i="4"/>
  <c r="B216" i="4"/>
  <c r="A216" i="4"/>
  <c r="O215" i="4"/>
  <c r="J215" i="4"/>
  <c r="H215" i="4"/>
  <c r="G215" i="4"/>
  <c r="M215" i="4" s="1"/>
  <c r="F215" i="4"/>
  <c r="A215" i="4"/>
  <c r="O214" i="4"/>
  <c r="J214" i="4"/>
  <c r="G214" i="4"/>
  <c r="F214" i="4"/>
  <c r="A214" i="4"/>
  <c r="R213" i="4"/>
  <c r="O213" i="4"/>
  <c r="J213" i="4"/>
  <c r="G213" i="4"/>
  <c r="F213" i="4"/>
  <c r="A213" i="4"/>
  <c r="R212" i="4"/>
  <c r="Q212" i="4"/>
  <c r="O212" i="4"/>
  <c r="J212" i="4"/>
  <c r="H212" i="4"/>
  <c r="L212" i="4" s="1"/>
  <c r="G212" i="4"/>
  <c r="M212" i="4" s="1"/>
  <c r="F212" i="4"/>
  <c r="B212" i="4"/>
  <c r="A212" i="4"/>
  <c r="O211" i="4"/>
  <c r="J211" i="4"/>
  <c r="H211" i="4"/>
  <c r="G211" i="4"/>
  <c r="M211" i="4" s="1"/>
  <c r="F211" i="4"/>
  <c r="A211" i="4"/>
  <c r="O210" i="4"/>
  <c r="J210" i="4"/>
  <c r="G210" i="4"/>
  <c r="F210" i="4"/>
  <c r="A210" i="4"/>
  <c r="R209" i="4"/>
  <c r="O209" i="4"/>
  <c r="J209" i="4"/>
  <c r="G209" i="4"/>
  <c r="F209" i="4"/>
  <c r="A209" i="4"/>
  <c r="R208" i="4"/>
  <c r="Q208" i="4"/>
  <c r="O208" i="4"/>
  <c r="J208" i="4"/>
  <c r="H208" i="4"/>
  <c r="L208" i="4" s="1"/>
  <c r="G208" i="4"/>
  <c r="M208" i="4" s="1"/>
  <c r="F208" i="4"/>
  <c r="B208" i="4"/>
  <c r="A208" i="4"/>
  <c r="O207" i="4"/>
  <c r="J207" i="4"/>
  <c r="H207" i="4"/>
  <c r="G207" i="4"/>
  <c r="M207" i="4" s="1"/>
  <c r="F207" i="4"/>
  <c r="A207" i="4"/>
  <c r="O206" i="4"/>
  <c r="J206" i="4"/>
  <c r="G206" i="4"/>
  <c r="F206" i="4"/>
  <c r="A206" i="4"/>
  <c r="R205" i="4"/>
  <c r="O205" i="4"/>
  <c r="J205" i="4"/>
  <c r="G205" i="4"/>
  <c r="F205" i="4"/>
  <c r="A205" i="4"/>
  <c r="R204" i="4"/>
  <c r="Q204" i="4"/>
  <c r="O204" i="4"/>
  <c r="J204" i="4"/>
  <c r="H204" i="4"/>
  <c r="L204" i="4" s="1"/>
  <c r="G204" i="4"/>
  <c r="M204" i="4" s="1"/>
  <c r="F204" i="4"/>
  <c r="B204" i="4"/>
  <c r="A204" i="4"/>
  <c r="O203" i="4"/>
  <c r="J203" i="4"/>
  <c r="H203" i="4"/>
  <c r="G203" i="4"/>
  <c r="M203" i="4" s="1"/>
  <c r="F203" i="4"/>
  <c r="A203" i="4"/>
  <c r="O202" i="4"/>
  <c r="J202" i="4"/>
  <c r="G202" i="4"/>
  <c r="F202" i="4"/>
  <c r="A202" i="4"/>
  <c r="R201" i="4"/>
  <c r="O201" i="4"/>
  <c r="J201" i="4"/>
  <c r="G201" i="4"/>
  <c r="F201" i="4"/>
  <c r="A201" i="4"/>
  <c r="R200" i="4"/>
  <c r="Q200" i="4"/>
  <c r="O200" i="4"/>
  <c r="J200" i="4"/>
  <c r="H200" i="4"/>
  <c r="L200" i="4" s="1"/>
  <c r="G200" i="4"/>
  <c r="M200" i="4" s="1"/>
  <c r="F200" i="4"/>
  <c r="B200" i="4"/>
  <c r="A200" i="4"/>
  <c r="O199" i="4"/>
  <c r="J199" i="4"/>
  <c r="H199" i="4"/>
  <c r="G199" i="4"/>
  <c r="M199" i="4" s="1"/>
  <c r="F199" i="4"/>
  <c r="A199" i="4"/>
  <c r="O198" i="4"/>
  <c r="J198" i="4"/>
  <c r="G198" i="4"/>
  <c r="F198" i="4"/>
  <c r="A198" i="4"/>
  <c r="R197" i="4"/>
  <c r="O197" i="4"/>
  <c r="J197" i="4"/>
  <c r="G197" i="4"/>
  <c r="F197" i="4"/>
  <c r="A197" i="4"/>
  <c r="R196" i="4"/>
  <c r="Q196" i="4"/>
  <c r="O196" i="4"/>
  <c r="J196" i="4"/>
  <c r="H196" i="4"/>
  <c r="L196" i="4" s="1"/>
  <c r="G196" i="4"/>
  <c r="M196" i="4" s="1"/>
  <c r="F196" i="4"/>
  <c r="B196" i="4"/>
  <c r="A196" i="4"/>
  <c r="O195" i="4"/>
  <c r="J195" i="4"/>
  <c r="H195" i="4"/>
  <c r="G195" i="4"/>
  <c r="M195" i="4" s="1"/>
  <c r="F195" i="4"/>
  <c r="A195" i="4"/>
  <c r="O194" i="4"/>
  <c r="J194" i="4"/>
  <c r="G194" i="4"/>
  <c r="F194" i="4"/>
  <c r="A194" i="4"/>
  <c r="R193" i="4"/>
  <c r="O193" i="4"/>
  <c r="J193" i="4"/>
  <c r="G193" i="4"/>
  <c r="F193" i="4"/>
  <c r="A193" i="4"/>
  <c r="Q192" i="4"/>
  <c r="O192" i="4"/>
  <c r="J192" i="4"/>
  <c r="H192" i="4"/>
  <c r="L192" i="4" s="1"/>
  <c r="G192" i="4"/>
  <c r="M192" i="4" s="1"/>
  <c r="F192" i="4"/>
  <c r="B192" i="4"/>
  <c r="A192" i="4"/>
  <c r="O191" i="4"/>
  <c r="J191" i="4"/>
  <c r="H191" i="4"/>
  <c r="G191" i="4"/>
  <c r="M191" i="4" s="1"/>
  <c r="F191" i="4"/>
  <c r="A191" i="4"/>
  <c r="O190" i="4"/>
  <c r="J190" i="4"/>
  <c r="G190" i="4"/>
  <c r="F190" i="4"/>
  <c r="A190" i="4"/>
  <c r="R189" i="4"/>
  <c r="O189" i="4"/>
  <c r="J189" i="4"/>
  <c r="G189" i="4"/>
  <c r="F189" i="4"/>
  <c r="A189" i="4"/>
  <c r="Q188" i="4"/>
  <c r="O188" i="4"/>
  <c r="J188" i="4"/>
  <c r="H188" i="4"/>
  <c r="L188" i="4" s="1"/>
  <c r="G188" i="4"/>
  <c r="M188" i="4" s="1"/>
  <c r="F188" i="4"/>
  <c r="B188" i="4"/>
  <c r="A188" i="4"/>
  <c r="O187" i="4"/>
  <c r="J187" i="4"/>
  <c r="H187" i="4"/>
  <c r="G187" i="4"/>
  <c r="M187" i="4" s="1"/>
  <c r="F187" i="4"/>
  <c r="A187" i="4"/>
  <c r="O186" i="4"/>
  <c r="M186" i="4"/>
  <c r="J186" i="4"/>
  <c r="G186" i="4"/>
  <c r="F186" i="4"/>
  <c r="A186" i="4"/>
  <c r="R185" i="4"/>
  <c r="O185" i="4"/>
  <c r="J185" i="4"/>
  <c r="G185" i="4"/>
  <c r="F185" i="4"/>
  <c r="A185" i="4"/>
  <c r="Q184" i="4"/>
  <c r="O184" i="4"/>
  <c r="J184" i="4"/>
  <c r="H184" i="4"/>
  <c r="L184" i="4" s="1"/>
  <c r="G184" i="4"/>
  <c r="M184" i="4" s="1"/>
  <c r="F184" i="4"/>
  <c r="B184" i="4"/>
  <c r="A184" i="4"/>
  <c r="O183" i="4"/>
  <c r="J183" i="4"/>
  <c r="H183" i="4"/>
  <c r="G183" i="4"/>
  <c r="M183" i="4" s="1"/>
  <c r="F183" i="4"/>
  <c r="A183" i="4"/>
  <c r="O182" i="4"/>
  <c r="M182" i="4"/>
  <c r="J182" i="4"/>
  <c r="G182" i="4"/>
  <c r="F182" i="4"/>
  <c r="A182" i="4"/>
  <c r="R181" i="4"/>
  <c r="O181" i="4"/>
  <c r="J181" i="4"/>
  <c r="G181" i="4"/>
  <c r="H181" i="4" s="1"/>
  <c r="F181" i="4"/>
  <c r="A181" i="4"/>
  <c r="Q180" i="4"/>
  <c r="O180" i="4"/>
  <c r="J180" i="4"/>
  <c r="H180" i="4"/>
  <c r="L180" i="4" s="1"/>
  <c r="G180" i="4"/>
  <c r="M180" i="4" s="1"/>
  <c r="F180" i="4"/>
  <c r="B180" i="4"/>
  <c r="A180" i="4"/>
  <c r="O179" i="4"/>
  <c r="J179" i="4"/>
  <c r="H179" i="4"/>
  <c r="G179" i="4"/>
  <c r="M179" i="4" s="1"/>
  <c r="F179" i="4"/>
  <c r="A179" i="4"/>
  <c r="O178" i="4"/>
  <c r="J178" i="4"/>
  <c r="G178" i="4"/>
  <c r="F178" i="4"/>
  <c r="A178" i="4"/>
  <c r="R177" i="4"/>
  <c r="O177" i="4"/>
  <c r="J177" i="4"/>
  <c r="G177" i="4"/>
  <c r="F177" i="4"/>
  <c r="A177" i="4"/>
  <c r="Q176" i="4"/>
  <c r="O176" i="4"/>
  <c r="J176" i="4"/>
  <c r="H176" i="4"/>
  <c r="L176" i="4" s="1"/>
  <c r="G176" i="4"/>
  <c r="M176" i="4" s="1"/>
  <c r="F176" i="4"/>
  <c r="B176" i="4"/>
  <c r="A176" i="4"/>
  <c r="O175" i="4"/>
  <c r="J175" i="4"/>
  <c r="H175" i="4"/>
  <c r="G175" i="4"/>
  <c r="M175" i="4" s="1"/>
  <c r="F175" i="4"/>
  <c r="A175" i="4"/>
  <c r="O174" i="4"/>
  <c r="J174" i="4"/>
  <c r="G174" i="4"/>
  <c r="F174" i="4"/>
  <c r="A174" i="4"/>
  <c r="R173" i="4"/>
  <c r="O173" i="4"/>
  <c r="J173" i="4"/>
  <c r="G173" i="4"/>
  <c r="F173" i="4"/>
  <c r="A173" i="4"/>
  <c r="Q172" i="4"/>
  <c r="O172" i="4"/>
  <c r="J172" i="4"/>
  <c r="H172" i="4"/>
  <c r="L172" i="4" s="1"/>
  <c r="G172" i="4"/>
  <c r="M172" i="4" s="1"/>
  <c r="F172" i="4"/>
  <c r="B172" i="4"/>
  <c r="A172" i="4"/>
  <c r="O171" i="4"/>
  <c r="J171" i="4"/>
  <c r="H171" i="4"/>
  <c r="G171" i="4"/>
  <c r="M171" i="4" s="1"/>
  <c r="F171" i="4"/>
  <c r="A171" i="4"/>
  <c r="O170" i="4"/>
  <c r="M170" i="4"/>
  <c r="J170" i="4"/>
  <c r="G170" i="4"/>
  <c r="F170" i="4"/>
  <c r="A170" i="4"/>
  <c r="R168" i="4"/>
  <c r="O168" i="4"/>
  <c r="J168" i="4"/>
  <c r="G168" i="4"/>
  <c r="F168" i="4"/>
  <c r="A168" i="4"/>
  <c r="Q167" i="4"/>
  <c r="O167" i="4"/>
  <c r="J167" i="4"/>
  <c r="H167" i="4"/>
  <c r="L167" i="4" s="1"/>
  <c r="G167" i="4"/>
  <c r="M167" i="4" s="1"/>
  <c r="F167" i="4"/>
  <c r="B167" i="4"/>
  <c r="A167" i="4"/>
  <c r="O166" i="4"/>
  <c r="J166" i="4"/>
  <c r="H166" i="4"/>
  <c r="G166" i="4"/>
  <c r="M166" i="4" s="1"/>
  <c r="F166" i="4"/>
  <c r="A166" i="4"/>
  <c r="O165" i="4"/>
  <c r="M165" i="4"/>
  <c r="J165" i="4"/>
  <c r="G165" i="4"/>
  <c r="F165" i="4"/>
  <c r="A165" i="4"/>
  <c r="R164" i="4"/>
  <c r="O164" i="4"/>
  <c r="J164" i="4"/>
  <c r="G164" i="4"/>
  <c r="F164" i="4"/>
  <c r="A164" i="4"/>
  <c r="O163" i="4"/>
  <c r="J163" i="4"/>
  <c r="H163" i="4"/>
  <c r="L163" i="4" s="1"/>
  <c r="G163" i="4"/>
  <c r="M163" i="4" s="1"/>
  <c r="F163" i="4"/>
  <c r="A163" i="4"/>
  <c r="O162" i="4"/>
  <c r="M162" i="4"/>
  <c r="J162" i="4"/>
  <c r="H162" i="4"/>
  <c r="G162" i="4"/>
  <c r="R162" i="4" s="1"/>
  <c r="F162" i="4"/>
  <c r="A162" i="4"/>
  <c r="R161" i="4"/>
  <c r="O161" i="4"/>
  <c r="M161" i="4"/>
  <c r="J161" i="4"/>
  <c r="G161" i="4"/>
  <c r="F161" i="4"/>
  <c r="A161" i="4"/>
  <c r="R160" i="4"/>
  <c r="O160" i="4"/>
  <c r="J160" i="4"/>
  <c r="G160" i="4"/>
  <c r="F160" i="4"/>
  <c r="A160" i="4"/>
  <c r="O159" i="4"/>
  <c r="J159" i="4"/>
  <c r="H159" i="4"/>
  <c r="L159" i="4" s="1"/>
  <c r="G159" i="4"/>
  <c r="M159" i="4" s="1"/>
  <c r="F159" i="4"/>
  <c r="A159" i="4"/>
  <c r="O158" i="4"/>
  <c r="M158" i="4"/>
  <c r="J158" i="4"/>
  <c r="H158" i="4"/>
  <c r="G158" i="4"/>
  <c r="R158" i="4" s="1"/>
  <c r="F158" i="4"/>
  <c r="A158" i="4"/>
  <c r="R157" i="4"/>
  <c r="O157" i="4"/>
  <c r="M157" i="4"/>
  <c r="J157" i="4"/>
  <c r="G157" i="4"/>
  <c r="F157" i="4"/>
  <c r="A157" i="4"/>
  <c r="R156" i="4"/>
  <c r="O156" i="4"/>
  <c r="J156" i="4"/>
  <c r="G156" i="4"/>
  <c r="F156" i="4"/>
  <c r="A156" i="4"/>
  <c r="O155" i="4"/>
  <c r="J155" i="4"/>
  <c r="H155" i="4"/>
  <c r="L155" i="4" s="1"/>
  <c r="G155" i="4"/>
  <c r="M155" i="4" s="1"/>
  <c r="F155" i="4"/>
  <c r="A155" i="4"/>
  <c r="O154" i="4"/>
  <c r="M154" i="4"/>
  <c r="J154" i="4"/>
  <c r="H154" i="4"/>
  <c r="G154" i="4"/>
  <c r="R154" i="4" s="1"/>
  <c r="F154" i="4"/>
  <c r="A154" i="4"/>
  <c r="R153" i="4"/>
  <c r="O153" i="4"/>
  <c r="M153" i="4"/>
  <c r="J153" i="4"/>
  <c r="G153" i="4"/>
  <c r="F153" i="4"/>
  <c r="A153" i="4"/>
  <c r="R152" i="4"/>
  <c r="O152" i="4"/>
  <c r="J152" i="4"/>
  <c r="G152" i="4"/>
  <c r="F152" i="4"/>
  <c r="A152" i="4"/>
  <c r="O151" i="4"/>
  <c r="J151" i="4"/>
  <c r="H151" i="4"/>
  <c r="L151" i="4" s="1"/>
  <c r="G151" i="4"/>
  <c r="M151" i="4" s="1"/>
  <c r="F151" i="4"/>
  <c r="A151" i="4"/>
  <c r="O150" i="4"/>
  <c r="M150" i="4"/>
  <c r="J150" i="4"/>
  <c r="H150" i="4"/>
  <c r="G150" i="4"/>
  <c r="R150" i="4" s="1"/>
  <c r="F150" i="4"/>
  <c r="A150" i="4"/>
  <c r="R149" i="4"/>
  <c r="O149" i="4"/>
  <c r="M149" i="4"/>
  <c r="J149" i="4"/>
  <c r="G149" i="4"/>
  <c r="F149" i="4"/>
  <c r="A149" i="4"/>
  <c r="R148" i="4"/>
  <c r="O148" i="4"/>
  <c r="J148" i="4"/>
  <c r="G148" i="4"/>
  <c r="F148" i="4"/>
  <c r="A148" i="4"/>
  <c r="O147" i="4"/>
  <c r="J147" i="4"/>
  <c r="H147" i="4"/>
  <c r="L147" i="4" s="1"/>
  <c r="G147" i="4"/>
  <c r="M147" i="4" s="1"/>
  <c r="F147" i="4"/>
  <c r="A147" i="4"/>
  <c r="O146" i="4"/>
  <c r="M146" i="4"/>
  <c r="J146" i="4"/>
  <c r="H146" i="4"/>
  <c r="G146" i="4"/>
  <c r="R146" i="4" s="1"/>
  <c r="F146" i="4"/>
  <c r="A146" i="4"/>
  <c r="R145" i="4"/>
  <c r="O145" i="4"/>
  <c r="M145" i="4"/>
  <c r="J145" i="4"/>
  <c r="G145" i="4"/>
  <c r="F145" i="4"/>
  <c r="A145" i="4"/>
  <c r="R144" i="4"/>
  <c r="O144" i="4"/>
  <c r="J144" i="4"/>
  <c r="G144" i="4"/>
  <c r="F144" i="4"/>
  <c r="A144" i="4"/>
  <c r="R143" i="4"/>
  <c r="Q143" i="4"/>
  <c r="O143" i="4"/>
  <c r="J143" i="4"/>
  <c r="H143" i="4"/>
  <c r="L143" i="4" s="1"/>
  <c r="G143" i="4"/>
  <c r="M143" i="4" s="1"/>
  <c r="F143" i="4"/>
  <c r="B143" i="4"/>
  <c r="A143" i="4"/>
  <c r="O142" i="4"/>
  <c r="J142" i="4"/>
  <c r="G142" i="4"/>
  <c r="F142" i="4"/>
  <c r="A142" i="4"/>
  <c r="O141" i="4"/>
  <c r="J141" i="4"/>
  <c r="G141" i="4"/>
  <c r="F141" i="4"/>
  <c r="A141" i="4"/>
  <c r="R140" i="4"/>
  <c r="O140" i="4"/>
  <c r="J140" i="4"/>
  <c r="G140" i="4"/>
  <c r="H140" i="4" s="1"/>
  <c r="F140" i="4"/>
  <c r="A140" i="4"/>
  <c r="R139" i="4"/>
  <c r="O139" i="4"/>
  <c r="J139" i="4"/>
  <c r="H139" i="4"/>
  <c r="G139" i="4"/>
  <c r="M139" i="4" s="1"/>
  <c r="F139" i="4"/>
  <c r="A139" i="4"/>
  <c r="O138" i="4"/>
  <c r="M138" i="4"/>
  <c r="J138" i="4"/>
  <c r="H138" i="4"/>
  <c r="G138" i="4"/>
  <c r="R138" i="4" s="1"/>
  <c r="F138" i="4"/>
  <c r="A138" i="4"/>
  <c r="R137" i="4"/>
  <c r="O137" i="4"/>
  <c r="M137" i="4"/>
  <c r="J137" i="4"/>
  <c r="G137" i="4"/>
  <c r="F137" i="4"/>
  <c r="A137" i="4"/>
  <c r="R136" i="4"/>
  <c r="O136" i="4"/>
  <c r="J136" i="4"/>
  <c r="G136" i="4"/>
  <c r="F136" i="4"/>
  <c r="A136" i="4"/>
  <c r="R135" i="4"/>
  <c r="Q135" i="4"/>
  <c r="O135" i="4"/>
  <c r="J135" i="4"/>
  <c r="H135" i="4"/>
  <c r="L135" i="4" s="1"/>
  <c r="G135" i="4"/>
  <c r="M135" i="4" s="1"/>
  <c r="F135" i="4"/>
  <c r="B135" i="4"/>
  <c r="A135" i="4"/>
  <c r="O134" i="4"/>
  <c r="J134" i="4"/>
  <c r="G134" i="4"/>
  <c r="R134" i="4" s="1"/>
  <c r="F134" i="4"/>
  <c r="A134" i="4"/>
  <c r="O133" i="4"/>
  <c r="L133" i="4"/>
  <c r="J133" i="4"/>
  <c r="G133" i="4"/>
  <c r="H133" i="4" s="1"/>
  <c r="F133" i="4"/>
  <c r="A133" i="4"/>
  <c r="R132" i="4"/>
  <c r="O132" i="4"/>
  <c r="L132" i="4"/>
  <c r="J132" i="4"/>
  <c r="G132" i="4"/>
  <c r="H132" i="4" s="1"/>
  <c r="Q132" i="4" s="1"/>
  <c r="F132" i="4"/>
  <c r="B132" i="4"/>
  <c r="A132" i="4"/>
  <c r="Q131" i="4"/>
  <c r="O131" i="4"/>
  <c r="J131" i="4"/>
  <c r="H131" i="4"/>
  <c r="L131" i="4" s="1"/>
  <c r="G131" i="4"/>
  <c r="M131" i="4" s="1"/>
  <c r="F131" i="4"/>
  <c r="B131" i="4"/>
  <c r="A131" i="4"/>
  <c r="O130" i="4"/>
  <c r="J130" i="4"/>
  <c r="G130" i="4"/>
  <c r="R130" i="4" s="1"/>
  <c r="F130" i="4"/>
  <c r="A130" i="4"/>
  <c r="O129" i="4"/>
  <c r="L129" i="4"/>
  <c r="J129" i="4"/>
  <c r="G129" i="4"/>
  <c r="H129" i="4" s="1"/>
  <c r="F129" i="4"/>
  <c r="A129" i="4"/>
  <c r="R128" i="4"/>
  <c r="O128" i="4"/>
  <c r="L128" i="4"/>
  <c r="J128" i="4"/>
  <c r="G128" i="4"/>
  <c r="H128" i="4" s="1"/>
  <c r="Q128" i="4" s="1"/>
  <c r="F128" i="4"/>
  <c r="B128" i="4"/>
  <c r="A128" i="4"/>
  <c r="Q127" i="4"/>
  <c r="O127" i="4"/>
  <c r="J127" i="4"/>
  <c r="H127" i="4"/>
  <c r="L127" i="4" s="1"/>
  <c r="G127" i="4"/>
  <c r="M127" i="4" s="1"/>
  <c r="F127" i="4"/>
  <c r="B127" i="4"/>
  <c r="A127" i="4"/>
  <c r="O126" i="4"/>
  <c r="J126" i="4"/>
  <c r="G126" i="4"/>
  <c r="R126" i="4" s="1"/>
  <c r="F126" i="4"/>
  <c r="A126" i="4"/>
  <c r="O125" i="4"/>
  <c r="L125" i="4"/>
  <c r="J125" i="4"/>
  <c r="G125" i="4"/>
  <c r="H125" i="4" s="1"/>
  <c r="F125" i="4"/>
  <c r="A125" i="4"/>
  <c r="R124" i="4"/>
  <c r="O124" i="4"/>
  <c r="L124" i="4"/>
  <c r="J124" i="4"/>
  <c r="G124" i="4"/>
  <c r="H124" i="4" s="1"/>
  <c r="Q124" i="4" s="1"/>
  <c r="F124" i="4"/>
  <c r="B124" i="4"/>
  <c r="A124" i="4"/>
  <c r="R123" i="4"/>
  <c r="O123" i="4"/>
  <c r="J123" i="4"/>
  <c r="H123" i="4"/>
  <c r="L123" i="4" s="1"/>
  <c r="G123" i="4"/>
  <c r="M123" i="4" s="1"/>
  <c r="F123" i="4"/>
  <c r="A123" i="4"/>
  <c r="O122" i="4"/>
  <c r="M122" i="4"/>
  <c r="J122" i="4"/>
  <c r="H122" i="4"/>
  <c r="G122" i="4"/>
  <c r="R122" i="4" s="1"/>
  <c r="F122" i="4"/>
  <c r="A122" i="4"/>
  <c r="R121" i="4"/>
  <c r="O121" i="4"/>
  <c r="M121" i="4"/>
  <c r="J121" i="4"/>
  <c r="G121" i="4"/>
  <c r="F121" i="4"/>
  <c r="A121" i="4"/>
  <c r="R120" i="4"/>
  <c r="O120" i="4"/>
  <c r="J120" i="4"/>
  <c r="G120" i="4"/>
  <c r="F120" i="4"/>
  <c r="A120" i="4"/>
  <c r="R119" i="4"/>
  <c r="Q119" i="4"/>
  <c r="O119" i="4"/>
  <c r="J119" i="4"/>
  <c r="H119" i="4"/>
  <c r="L119" i="4" s="1"/>
  <c r="G119" i="4"/>
  <c r="M119" i="4" s="1"/>
  <c r="F119" i="4"/>
  <c r="B119" i="4"/>
  <c r="A119" i="4"/>
  <c r="O118" i="4"/>
  <c r="J118" i="4"/>
  <c r="G118" i="4"/>
  <c r="F118" i="4"/>
  <c r="A118" i="4"/>
  <c r="O117" i="4"/>
  <c r="J117" i="4"/>
  <c r="G117" i="4"/>
  <c r="F117" i="4"/>
  <c r="A117" i="4"/>
  <c r="R116" i="4"/>
  <c r="O116" i="4"/>
  <c r="J116" i="4"/>
  <c r="G116" i="4"/>
  <c r="H116" i="4" s="1"/>
  <c r="Q116" i="4" s="1"/>
  <c r="F116" i="4"/>
  <c r="A116" i="4"/>
  <c r="R115" i="4"/>
  <c r="O115" i="4"/>
  <c r="J115" i="4"/>
  <c r="H115" i="4"/>
  <c r="G115" i="4"/>
  <c r="M115" i="4" s="1"/>
  <c r="F115" i="4"/>
  <c r="A115" i="4"/>
  <c r="O114" i="4"/>
  <c r="M114" i="4"/>
  <c r="J114" i="4"/>
  <c r="H114" i="4"/>
  <c r="G114" i="4"/>
  <c r="R114" i="4" s="1"/>
  <c r="F114" i="4"/>
  <c r="A114" i="4"/>
  <c r="R113" i="4"/>
  <c r="O113" i="4"/>
  <c r="M113" i="4"/>
  <c r="J113" i="4"/>
  <c r="G113" i="4"/>
  <c r="F113" i="4"/>
  <c r="A113" i="4"/>
  <c r="R112" i="4"/>
  <c r="O112" i="4"/>
  <c r="J112" i="4"/>
  <c r="G112" i="4"/>
  <c r="F112" i="4"/>
  <c r="A112" i="4"/>
  <c r="R111" i="4"/>
  <c r="Q111" i="4"/>
  <c r="O111" i="4"/>
  <c r="J111" i="4"/>
  <c r="H111" i="4"/>
  <c r="L111" i="4" s="1"/>
  <c r="G111" i="4"/>
  <c r="M111" i="4" s="1"/>
  <c r="F111" i="4"/>
  <c r="B111" i="4"/>
  <c r="A111" i="4"/>
  <c r="O110" i="4"/>
  <c r="J110" i="4"/>
  <c r="G110" i="4"/>
  <c r="R110" i="4" s="1"/>
  <c r="F110" i="4"/>
  <c r="A110" i="4"/>
  <c r="O109" i="4"/>
  <c r="L109" i="4"/>
  <c r="J109" i="4"/>
  <c r="G109" i="4"/>
  <c r="H109" i="4" s="1"/>
  <c r="F109" i="4"/>
  <c r="A109" i="4"/>
  <c r="R108" i="4"/>
  <c r="O108" i="4"/>
  <c r="L108" i="4"/>
  <c r="J108" i="4"/>
  <c r="G108" i="4"/>
  <c r="H108" i="4" s="1"/>
  <c r="Q108" i="4" s="1"/>
  <c r="F108" i="4"/>
  <c r="B108" i="4"/>
  <c r="A108" i="4"/>
  <c r="R107" i="4"/>
  <c r="O107" i="4"/>
  <c r="J107" i="4"/>
  <c r="H107" i="4"/>
  <c r="L107" i="4" s="1"/>
  <c r="G107" i="4"/>
  <c r="M107" i="4" s="1"/>
  <c r="F107" i="4"/>
  <c r="A107" i="4"/>
  <c r="O106" i="4"/>
  <c r="M106" i="4"/>
  <c r="J106" i="4"/>
  <c r="H106" i="4"/>
  <c r="G106" i="4"/>
  <c r="R106" i="4" s="1"/>
  <c r="F106" i="4"/>
  <c r="A106" i="4"/>
  <c r="R105" i="4"/>
  <c r="O105" i="4"/>
  <c r="M105" i="4"/>
  <c r="J105" i="4"/>
  <c r="G105" i="4"/>
  <c r="F105" i="4"/>
  <c r="A105" i="4"/>
  <c r="R104" i="4"/>
  <c r="O104" i="4"/>
  <c r="J104" i="4"/>
  <c r="G104" i="4"/>
  <c r="F104" i="4"/>
  <c r="A104" i="4"/>
  <c r="R103" i="4"/>
  <c r="Q103" i="4"/>
  <c r="O103" i="4"/>
  <c r="J103" i="4"/>
  <c r="H103" i="4"/>
  <c r="L103" i="4" s="1"/>
  <c r="G103" i="4"/>
  <c r="M103" i="4" s="1"/>
  <c r="F103" i="4"/>
  <c r="B103" i="4"/>
  <c r="A103" i="4"/>
  <c r="O102" i="4"/>
  <c r="J102" i="4"/>
  <c r="G102" i="4"/>
  <c r="F102" i="4"/>
  <c r="A102" i="4"/>
  <c r="O101" i="4"/>
  <c r="J101" i="4"/>
  <c r="G101" i="4"/>
  <c r="F101" i="4"/>
  <c r="A101" i="4"/>
  <c r="R100" i="4"/>
  <c r="O100" i="4"/>
  <c r="J100" i="4"/>
  <c r="G100" i="4"/>
  <c r="H100" i="4" s="1"/>
  <c r="Q100" i="4" s="1"/>
  <c r="F100" i="4"/>
  <c r="A100" i="4"/>
  <c r="Q99" i="4"/>
  <c r="O99" i="4"/>
  <c r="J99" i="4"/>
  <c r="H99" i="4"/>
  <c r="L99" i="4" s="1"/>
  <c r="G99" i="4"/>
  <c r="M99" i="4" s="1"/>
  <c r="F99" i="4"/>
  <c r="B99" i="4"/>
  <c r="A99" i="4"/>
  <c r="O98" i="4"/>
  <c r="J98" i="4"/>
  <c r="G98" i="4"/>
  <c r="F98" i="4"/>
  <c r="A98" i="4"/>
  <c r="O97" i="4"/>
  <c r="J97" i="4"/>
  <c r="G97" i="4"/>
  <c r="F97" i="4"/>
  <c r="A97" i="4"/>
  <c r="R96" i="4"/>
  <c r="Q96" i="4"/>
  <c r="O96" i="4"/>
  <c r="J96" i="4"/>
  <c r="G96" i="4"/>
  <c r="H96" i="4" s="1"/>
  <c r="F96" i="4"/>
  <c r="A96" i="4"/>
  <c r="Q95" i="4"/>
  <c r="O95" i="4"/>
  <c r="J95" i="4"/>
  <c r="H95" i="4"/>
  <c r="L95" i="4" s="1"/>
  <c r="G95" i="4"/>
  <c r="M95" i="4" s="1"/>
  <c r="F95" i="4"/>
  <c r="B95" i="4"/>
  <c r="A95" i="4"/>
  <c r="O94" i="4"/>
  <c r="J94" i="4"/>
  <c r="G94" i="4"/>
  <c r="F94" i="4"/>
  <c r="A94" i="4"/>
  <c r="O93" i="4"/>
  <c r="J93" i="4"/>
  <c r="G93" i="4"/>
  <c r="F93" i="4"/>
  <c r="A93" i="4"/>
  <c r="R92" i="4"/>
  <c r="O92" i="4"/>
  <c r="J92" i="4"/>
  <c r="G92" i="4"/>
  <c r="H92" i="4" s="1"/>
  <c r="F92" i="4"/>
  <c r="A92" i="4"/>
  <c r="Q91" i="4"/>
  <c r="O91" i="4"/>
  <c r="J91" i="4"/>
  <c r="H91" i="4"/>
  <c r="L91" i="4" s="1"/>
  <c r="G91" i="4"/>
  <c r="M91" i="4" s="1"/>
  <c r="F91" i="4"/>
  <c r="B91" i="4"/>
  <c r="A91" i="4"/>
  <c r="O90" i="4"/>
  <c r="J90" i="4"/>
  <c r="G90" i="4"/>
  <c r="F90" i="4"/>
  <c r="A90" i="4"/>
  <c r="O89" i="4"/>
  <c r="J89" i="4"/>
  <c r="G89" i="4"/>
  <c r="F89" i="4"/>
  <c r="A89" i="4"/>
  <c r="R88" i="4"/>
  <c r="Q88" i="4"/>
  <c r="O88" i="4"/>
  <c r="J88" i="4"/>
  <c r="G88" i="4"/>
  <c r="H88" i="4" s="1"/>
  <c r="F88" i="4"/>
  <c r="A88" i="4"/>
  <c r="Q87" i="4"/>
  <c r="O87" i="4"/>
  <c r="J87" i="4"/>
  <c r="H87" i="4"/>
  <c r="L87" i="4" s="1"/>
  <c r="G87" i="4"/>
  <c r="M87" i="4" s="1"/>
  <c r="F87" i="4"/>
  <c r="B87" i="4"/>
  <c r="A87" i="4"/>
  <c r="O86" i="4"/>
  <c r="J86" i="4"/>
  <c r="G86" i="4"/>
  <c r="F86" i="4"/>
  <c r="A86" i="4"/>
  <c r="O85" i="4"/>
  <c r="J85" i="4"/>
  <c r="G85" i="4"/>
  <c r="F85" i="4"/>
  <c r="A85" i="4"/>
  <c r="O84" i="4"/>
  <c r="J84" i="4"/>
  <c r="G84" i="4"/>
  <c r="F84" i="4"/>
  <c r="A84" i="4"/>
  <c r="R83" i="4"/>
  <c r="O83" i="4"/>
  <c r="L83" i="4"/>
  <c r="J83" i="4"/>
  <c r="G83" i="4"/>
  <c r="M83" i="4" s="1"/>
  <c r="F83" i="4"/>
  <c r="H83" i="4" s="1"/>
  <c r="A83" i="4"/>
  <c r="O82" i="4"/>
  <c r="J82" i="4"/>
  <c r="G82" i="4"/>
  <c r="H82" i="4" s="1"/>
  <c r="L82" i="4" s="1"/>
  <c r="F82" i="4"/>
  <c r="B82" i="4"/>
  <c r="A82" i="4"/>
  <c r="R81" i="4"/>
  <c r="O81" i="4"/>
  <c r="J81" i="4"/>
  <c r="H81" i="4"/>
  <c r="G81" i="4"/>
  <c r="M81" i="4" s="1"/>
  <c r="F81" i="4"/>
  <c r="A81" i="4"/>
  <c r="O80" i="4"/>
  <c r="J80" i="4"/>
  <c r="G80" i="4"/>
  <c r="F80" i="4"/>
  <c r="A80" i="4"/>
  <c r="R79" i="4"/>
  <c r="O79" i="4"/>
  <c r="J79" i="4"/>
  <c r="G79" i="4"/>
  <c r="M79" i="4" s="1"/>
  <c r="F79" i="4"/>
  <c r="H79" i="4" s="1"/>
  <c r="A79" i="4"/>
  <c r="Q78" i="4"/>
  <c r="O78" i="4"/>
  <c r="J78" i="4"/>
  <c r="G78" i="4"/>
  <c r="H78" i="4" s="1"/>
  <c r="L78" i="4" s="1"/>
  <c r="F78" i="4"/>
  <c r="A78" i="4"/>
  <c r="R77" i="4"/>
  <c r="O77" i="4"/>
  <c r="J77" i="4"/>
  <c r="H77" i="4"/>
  <c r="G77" i="4"/>
  <c r="M77" i="4" s="1"/>
  <c r="F77" i="4"/>
  <c r="A77" i="4"/>
  <c r="O76" i="4"/>
  <c r="M76" i="4"/>
  <c r="J76" i="4"/>
  <c r="G76" i="4"/>
  <c r="F76" i="4"/>
  <c r="A76" i="4"/>
  <c r="R75" i="4"/>
  <c r="O75" i="4"/>
  <c r="L75" i="4"/>
  <c r="J75" i="4"/>
  <c r="G75" i="4"/>
  <c r="M75" i="4" s="1"/>
  <c r="F75" i="4"/>
  <c r="H75" i="4" s="1"/>
  <c r="A75" i="4"/>
  <c r="O74" i="4"/>
  <c r="J74" i="4"/>
  <c r="G74" i="4"/>
  <c r="H74" i="4" s="1"/>
  <c r="F74" i="4"/>
  <c r="A74" i="4"/>
  <c r="R73" i="4"/>
  <c r="O73" i="4"/>
  <c r="J73" i="4"/>
  <c r="H73" i="4"/>
  <c r="G73" i="4"/>
  <c r="M73" i="4" s="1"/>
  <c r="F73" i="4"/>
  <c r="A73" i="4"/>
  <c r="O72" i="4"/>
  <c r="M72" i="4"/>
  <c r="J72" i="4"/>
  <c r="G72" i="4"/>
  <c r="F72" i="4"/>
  <c r="A72" i="4"/>
  <c r="R71" i="4"/>
  <c r="O71" i="4"/>
  <c r="J71" i="4"/>
  <c r="G71" i="4"/>
  <c r="M71" i="4" s="1"/>
  <c r="F71" i="4"/>
  <c r="H71" i="4" s="1"/>
  <c r="L71" i="4" s="1"/>
  <c r="A71" i="4"/>
  <c r="Q70" i="4"/>
  <c r="O70" i="4"/>
  <c r="J70" i="4"/>
  <c r="G70" i="4"/>
  <c r="H70" i="4" s="1"/>
  <c r="L70" i="4" s="1"/>
  <c r="F70" i="4"/>
  <c r="A70" i="4"/>
  <c r="R69" i="4"/>
  <c r="O69" i="4"/>
  <c r="J69" i="4"/>
  <c r="H69" i="4"/>
  <c r="G69" i="4"/>
  <c r="M69" i="4" s="1"/>
  <c r="F69" i="4"/>
  <c r="A69" i="4"/>
  <c r="O68" i="4"/>
  <c r="J68" i="4"/>
  <c r="G68" i="4"/>
  <c r="M68" i="4" s="1"/>
  <c r="F68" i="4"/>
  <c r="A68" i="4"/>
  <c r="R67" i="4"/>
  <c r="O67" i="4"/>
  <c r="L67" i="4"/>
  <c r="J67" i="4"/>
  <c r="G67" i="4"/>
  <c r="M67" i="4" s="1"/>
  <c r="F67" i="4"/>
  <c r="H67" i="4" s="1"/>
  <c r="A67" i="4"/>
  <c r="O66" i="4"/>
  <c r="J66" i="4"/>
  <c r="G66" i="4"/>
  <c r="H66" i="4" s="1"/>
  <c r="L66" i="4" s="1"/>
  <c r="F66" i="4"/>
  <c r="B66" i="4"/>
  <c r="A66" i="4"/>
  <c r="R65" i="4"/>
  <c r="O65" i="4"/>
  <c r="J65" i="4"/>
  <c r="H65" i="4"/>
  <c r="G65" i="4"/>
  <c r="M65" i="4" s="1"/>
  <c r="F65" i="4"/>
  <c r="A65" i="4"/>
  <c r="O64" i="4"/>
  <c r="J64" i="4"/>
  <c r="G64" i="4"/>
  <c r="F64" i="4"/>
  <c r="A64" i="4"/>
  <c r="R63" i="4"/>
  <c r="O63" i="4"/>
  <c r="J63" i="4"/>
  <c r="G63" i="4"/>
  <c r="M63" i="4" s="1"/>
  <c r="F63" i="4"/>
  <c r="H63" i="4" s="1"/>
  <c r="A63" i="4"/>
  <c r="Q62" i="4"/>
  <c r="O62" i="4"/>
  <c r="J62" i="4"/>
  <c r="G62" i="4"/>
  <c r="H62" i="4" s="1"/>
  <c r="L62" i="4" s="1"/>
  <c r="F62" i="4"/>
  <c r="A62" i="4"/>
  <c r="R61" i="4"/>
  <c r="O61" i="4"/>
  <c r="J61" i="4"/>
  <c r="H61" i="4"/>
  <c r="G61" i="4"/>
  <c r="M61" i="4" s="1"/>
  <c r="F61" i="4"/>
  <c r="A61" i="4"/>
  <c r="O60" i="4"/>
  <c r="M60" i="4"/>
  <c r="J60" i="4"/>
  <c r="G60" i="4"/>
  <c r="F60" i="4"/>
  <c r="A60" i="4"/>
  <c r="R59" i="4"/>
  <c r="O59" i="4"/>
  <c r="L59" i="4"/>
  <c r="J59" i="4"/>
  <c r="G59" i="4"/>
  <c r="M59" i="4" s="1"/>
  <c r="F59" i="4"/>
  <c r="H59" i="4" s="1"/>
  <c r="A59" i="4"/>
  <c r="O58" i="4"/>
  <c r="J58" i="4"/>
  <c r="G58" i="4"/>
  <c r="H58" i="4" s="1"/>
  <c r="F58" i="4"/>
  <c r="A58" i="4"/>
  <c r="R57" i="4"/>
  <c r="O57" i="4"/>
  <c r="J57" i="4"/>
  <c r="H57" i="4"/>
  <c r="G57" i="4"/>
  <c r="M57" i="4" s="1"/>
  <c r="F57" i="4"/>
  <c r="A57" i="4"/>
  <c r="O56" i="4"/>
  <c r="M56" i="4"/>
  <c r="J56" i="4"/>
  <c r="G56" i="4"/>
  <c r="F56" i="4"/>
  <c r="A56" i="4"/>
  <c r="R55" i="4"/>
  <c r="O55" i="4"/>
  <c r="J55" i="4"/>
  <c r="G55" i="4"/>
  <c r="M55" i="4" s="1"/>
  <c r="F55" i="4"/>
  <c r="H55" i="4" s="1"/>
  <c r="L55" i="4" s="1"/>
  <c r="A55" i="4"/>
  <c r="Q54" i="4"/>
  <c r="O54" i="4"/>
  <c r="J54" i="4"/>
  <c r="G54" i="4"/>
  <c r="H54" i="4" s="1"/>
  <c r="L54" i="4" s="1"/>
  <c r="F54" i="4"/>
  <c r="B54" i="4"/>
  <c r="A54" i="4"/>
  <c r="R53" i="4"/>
  <c r="O53" i="4"/>
  <c r="J53" i="4"/>
  <c r="H53" i="4"/>
  <c r="G53" i="4"/>
  <c r="M53" i="4" s="1"/>
  <c r="F53" i="4"/>
  <c r="A53" i="4"/>
  <c r="O52" i="4"/>
  <c r="J52" i="4"/>
  <c r="G52" i="4"/>
  <c r="M52" i="4" s="1"/>
  <c r="F52" i="4"/>
  <c r="A52" i="4"/>
  <c r="R51" i="4"/>
  <c r="O51" i="4"/>
  <c r="J51" i="4"/>
  <c r="H51" i="4"/>
  <c r="L51" i="4" s="1"/>
  <c r="G51" i="4"/>
  <c r="M51" i="4" s="1"/>
  <c r="F51" i="4"/>
  <c r="A51" i="4"/>
  <c r="O50" i="4"/>
  <c r="J50" i="4"/>
  <c r="G50" i="4"/>
  <c r="M50" i="4" s="1"/>
  <c r="F50" i="4"/>
  <c r="A50" i="4"/>
  <c r="R49" i="4"/>
  <c r="O49" i="4"/>
  <c r="J49" i="4"/>
  <c r="H49" i="4"/>
  <c r="L49" i="4" s="1"/>
  <c r="G49" i="4"/>
  <c r="M49" i="4" s="1"/>
  <c r="F49" i="4"/>
  <c r="A49" i="4"/>
  <c r="O48" i="4"/>
  <c r="J48" i="4"/>
  <c r="G48" i="4"/>
  <c r="M48" i="4" s="1"/>
  <c r="F48" i="4"/>
  <c r="A48" i="4"/>
  <c r="R47" i="4"/>
  <c r="O47" i="4"/>
  <c r="J47" i="4"/>
  <c r="H47" i="4"/>
  <c r="L47" i="4" s="1"/>
  <c r="G47" i="4"/>
  <c r="M47" i="4" s="1"/>
  <c r="F47" i="4"/>
  <c r="A47" i="4"/>
  <c r="O46" i="4"/>
  <c r="J46" i="4"/>
  <c r="G46" i="4"/>
  <c r="M46" i="4" s="1"/>
  <c r="F46" i="4"/>
  <c r="A46" i="4"/>
  <c r="R45" i="4"/>
  <c r="O45" i="4"/>
  <c r="J45" i="4"/>
  <c r="H45" i="4"/>
  <c r="L45" i="4" s="1"/>
  <c r="G45" i="4"/>
  <c r="M45" i="4" s="1"/>
  <c r="F45" i="4"/>
  <c r="A45" i="4"/>
  <c r="O44" i="4"/>
  <c r="J44" i="4"/>
  <c r="G44" i="4"/>
  <c r="M44" i="4" s="1"/>
  <c r="F44" i="4"/>
  <c r="A44" i="4"/>
  <c r="R43" i="4"/>
  <c r="O43" i="4"/>
  <c r="J43" i="4"/>
  <c r="H43" i="4"/>
  <c r="L43" i="4" s="1"/>
  <c r="G43" i="4"/>
  <c r="M43" i="4" s="1"/>
  <c r="F43" i="4"/>
  <c r="A43" i="4"/>
  <c r="O42" i="4"/>
  <c r="J42" i="4"/>
  <c r="G42" i="4"/>
  <c r="M42" i="4" s="1"/>
  <c r="F42" i="4"/>
  <c r="A42" i="4"/>
  <c r="R41" i="4"/>
  <c r="O41" i="4"/>
  <c r="J41" i="4"/>
  <c r="H41" i="4"/>
  <c r="Q41" i="4" s="1"/>
  <c r="G41" i="4"/>
  <c r="M41" i="4" s="1"/>
  <c r="F41" i="4"/>
  <c r="B41" i="4"/>
  <c r="A41" i="4"/>
  <c r="O40" i="4"/>
  <c r="M40" i="4"/>
  <c r="J40" i="4"/>
  <c r="H40" i="4"/>
  <c r="L40" i="4" s="1"/>
  <c r="G40" i="4"/>
  <c r="R40" i="4" s="1"/>
  <c r="F40" i="4"/>
  <c r="A40" i="4"/>
  <c r="O39" i="4"/>
  <c r="J39" i="4"/>
  <c r="H39" i="4"/>
  <c r="G39" i="4"/>
  <c r="M39" i="4" s="1"/>
  <c r="F39" i="4"/>
  <c r="A39" i="4"/>
  <c r="R38" i="4"/>
  <c r="O38" i="4"/>
  <c r="L38" i="4"/>
  <c r="J38" i="4"/>
  <c r="G38" i="4"/>
  <c r="H38" i="4" s="1"/>
  <c r="Q38" i="4" s="1"/>
  <c r="F38" i="4"/>
  <c r="B38" i="4"/>
  <c r="A38" i="4"/>
  <c r="R37" i="4"/>
  <c r="O37" i="4"/>
  <c r="J37" i="4"/>
  <c r="G37" i="4"/>
  <c r="M37" i="4" s="1"/>
  <c r="F37" i="4"/>
  <c r="H37" i="4" s="1"/>
  <c r="A37" i="4"/>
  <c r="O36" i="4"/>
  <c r="M36" i="4"/>
  <c r="J36" i="4"/>
  <c r="H36" i="4"/>
  <c r="G36" i="4"/>
  <c r="R36" i="4" s="1"/>
  <c r="F36" i="4"/>
  <c r="A36" i="4"/>
  <c r="R35" i="4"/>
  <c r="O35" i="4"/>
  <c r="J35" i="4"/>
  <c r="G35" i="4"/>
  <c r="M35" i="4" s="1"/>
  <c r="F35" i="4"/>
  <c r="H35" i="4" s="1"/>
  <c r="A35" i="4"/>
  <c r="O34" i="4"/>
  <c r="J34" i="4"/>
  <c r="G34" i="4"/>
  <c r="F34" i="4"/>
  <c r="A34" i="4"/>
  <c r="R33" i="4"/>
  <c r="O33" i="4"/>
  <c r="J33" i="4"/>
  <c r="H33" i="4"/>
  <c r="Q33" i="4" s="1"/>
  <c r="G33" i="4"/>
  <c r="M33" i="4" s="1"/>
  <c r="F33" i="4"/>
  <c r="B33" i="4"/>
  <c r="A33" i="4"/>
  <c r="O32" i="4"/>
  <c r="M32" i="4"/>
  <c r="J32" i="4"/>
  <c r="G32" i="4"/>
  <c r="R32" i="4" s="1"/>
  <c r="F32" i="4"/>
  <c r="H32" i="4" s="1"/>
  <c r="A32" i="4"/>
  <c r="O31" i="4"/>
  <c r="J31" i="4"/>
  <c r="G31" i="4"/>
  <c r="H31" i="4" s="1"/>
  <c r="L31" i="4" s="1"/>
  <c r="F31" i="4"/>
  <c r="A31" i="4"/>
  <c r="R30" i="4"/>
  <c r="O30" i="4"/>
  <c r="J30" i="4"/>
  <c r="H30" i="4"/>
  <c r="G30" i="4"/>
  <c r="M30" i="4" s="1"/>
  <c r="F30" i="4"/>
  <c r="A30" i="4"/>
  <c r="O29" i="4"/>
  <c r="M29" i="4"/>
  <c r="J29" i="4"/>
  <c r="G29" i="4"/>
  <c r="F29" i="4"/>
  <c r="A29" i="4"/>
  <c r="R28" i="4"/>
  <c r="O28" i="4"/>
  <c r="J28" i="4"/>
  <c r="G28" i="4"/>
  <c r="M28" i="4" s="1"/>
  <c r="F28" i="4"/>
  <c r="H28" i="4" s="1"/>
  <c r="L28" i="4" s="1"/>
  <c r="A28" i="4"/>
  <c r="Q27" i="4"/>
  <c r="O27" i="4"/>
  <c r="J27" i="4"/>
  <c r="G27" i="4"/>
  <c r="H27" i="4" s="1"/>
  <c r="L27" i="4" s="1"/>
  <c r="F27" i="4"/>
  <c r="B27" i="4"/>
  <c r="A27" i="4"/>
  <c r="R26" i="4"/>
  <c r="O26" i="4"/>
  <c r="J26" i="4"/>
  <c r="H26" i="4"/>
  <c r="G26" i="4"/>
  <c r="M26" i="4" s="1"/>
  <c r="F26" i="4"/>
  <c r="A26" i="4"/>
  <c r="O25" i="4"/>
  <c r="J25" i="4"/>
  <c r="G25" i="4"/>
  <c r="M25" i="4" s="1"/>
  <c r="F25" i="4"/>
  <c r="A25" i="4"/>
  <c r="R24" i="4"/>
  <c r="O24" i="4"/>
  <c r="L24" i="4"/>
  <c r="J24" i="4"/>
  <c r="G24" i="4"/>
  <c r="M24" i="4" s="1"/>
  <c r="F24" i="4"/>
  <c r="H24" i="4" s="1"/>
  <c r="A24" i="4"/>
  <c r="O23" i="4"/>
  <c r="J23" i="4"/>
  <c r="G23" i="4"/>
  <c r="H23" i="4" s="1"/>
  <c r="L23" i="4" s="1"/>
  <c r="F23" i="4"/>
  <c r="B23" i="4"/>
  <c r="A23" i="4"/>
  <c r="R22" i="4"/>
  <c r="O22" i="4"/>
  <c r="J22" i="4"/>
  <c r="H22" i="4"/>
  <c r="G22" i="4"/>
  <c r="M22" i="4" s="1"/>
  <c r="F22" i="4"/>
  <c r="A22" i="4"/>
  <c r="O21" i="4"/>
  <c r="J21" i="4"/>
  <c r="G21" i="4"/>
  <c r="F21" i="4"/>
  <c r="A21" i="4"/>
  <c r="R20" i="4"/>
  <c r="O20" i="4"/>
  <c r="J20" i="4"/>
  <c r="G20" i="4"/>
  <c r="M20" i="4" s="1"/>
  <c r="F20" i="4"/>
  <c r="H20" i="4" s="1"/>
  <c r="A20" i="4"/>
  <c r="Q19" i="4"/>
  <c r="O19" i="4"/>
  <c r="J19" i="4"/>
  <c r="G19" i="4"/>
  <c r="H19" i="4" s="1"/>
  <c r="L19" i="4" s="1"/>
  <c r="F19" i="4"/>
  <c r="A19" i="4"/>
  <c r="R18" i="4"/>
  <c r="O18" i="4"/>
  <c r="J18" i="4"/>
  <c r="H18" i="4"/>
  <c r="G18" i="4"/>
  <c r="M18" i="4" s="1"/>
  <c r="F18" i="4"/>
  <c r="A18" i="4"/>
  <c r="O17" i="4"/>
  <c r="M17" i="4"/>
  <c r="J17" i="4"/>
  <c r="G17" i="4"/>
  <c r="F17" i="4"/>
  <c r="A17" i="4"/>
  <c r="R16" i="4"/>
  <c r="O16" i="4"/>
  <c r="L16" i="4"/>
  <c r="J16" i="4"/>
  <c r="G16" i="4"/>
  <c r="M16" i="4" s="1"/>
  <c r="F16" i="4"/>
  <c r="H16" i="4" s="1"/>
  <c r="A16" i="4"/>
  <c r="O15" i="4"/>
  <c r="J15" i="4"/>
  <c r="G15" i="4"/>
  <c r="H15" i="4" s="1"/>
  <c r="L15" i="4" s="1"/>
  <c r="F15" i="4"/>
  <c r="A15" i="4"/>
  <c r="R14" i="4"/>
  <c r="O14" i="4"/>
  <c r="J14" i="4"/>
  <c r="H14" i="4"/>
  <c r="G14" i="4"/>
  <c r="M14" i="4" s="1"/>
  <c r="F14" i="4"/>
  <c r="A14" i="4"/>
  <c r="O13" i="4"/>
  <c r="M13" i="4"/>
  <c r="J13" i="4"/>
  <c r="G13" i="4"/>
  <c r="F13" i="4"/>
  <c r="A13" i="4"/>
  <c r="R12" i="4"/>
  <c r="O12" i="4"/>
  <c r="J12" i="4"/>
  <c r="G12" i="4"/>
  <c r="M12" i="4" s="1"/>
  <c r="F12" i="4"/>
  <c r="H12" i="4" s="1"/>
  <c r="L12" i="4" s="1"/>
  <c r="A12" i="4"/>
  <c r="Q11" i="4"/>
  <c r="O11" i="4"/>
  <c r="J11" i="4"/>
  <c r="G11" i="4"/>
  <c r="H11" i="4" s="1"/>
  <c r="L11" i="4" s="1"/>
  <c r="F11" i="4"/>
  <c r="B11" i="4"/>
  <c r="A11" i="4"/>
  <c r="R10" i="4"/>
  <c r="O10" i="4"/>
  <c r="J10" i="4"/>
  <c r="H10" i="4"/>
  <c r="G10" i="4"/>
  <c r="M10" i="4" s="1"/>
  <c r="F10" i="4"/>
  <c r="A10" i="4"/>
  <c r="O9" i="4"/>
  <c r="J9" i="4"/>
  <c r="G9" i="4"/>
  <c r="M9" i="4" s="1"/>
  <c r="F9" i="4"/>
  <c r="A9" i="4"/>
  <c r="R8" i="4"/>
  <c r="O8" i="4"/>
  <c r="L8" i="4"/>
  <c r="J8" i="4"/>
  <c r="G8" i="4"/>
  <c r="M8" i="4" s="1"/>
  <c r="F8" i="4"/>
  <c r="H8" i="4" s="1"/>
  <c r="A8" i="4"/>
  <c r="O7" i="4"/>
  <c r="J7" i="4"/>
  <c r="G7" i="4"/>
  <c r="H7" i="4" s="1"/>
  <c r="L7" i="4" s="1"/>
  <c r="F7" i="4"/>
  <c r="B7" i="4"/>
  <c r="A7" i="4"/>
  <c r="R6" i="4"/>
  <c r="O6" i="4"/>
  <c r="J6" i="4"/>
  <c r="H6" i="4"/>
  <c r="G6" i="4"/>
  <c r="M6" i="4" s="1"/>
  <c r="F6" i="4"/>
  <c r="A6" i="4"/>
  <c r="O5" i="4"/>
  <c r="J5" i="4"/>
  <c r="G5" i="4"/>
  <c r="F5" i="4"/>
  <c r="A5" i="4"/>
  <c r="R4" i="4"/>
  <c r="O4" i="4"/>
  <c r="J4" i="4"/>
  <c r="G4" i="4"/>
  <c r="M4" i="4" s="1"/>
  <c r="F4" i="4"/>
  <c r="H4" i="4" s="1"/>
  <c r="A4" i="4"/>
  <c r="L252" i="3"/>
  <c r="J252" i="3"/>
  <c r="G252" i="3"/>
  <c r="M252" i="3" s="1"/>
  <c r="F252" i="3"/>
  <c r="H252" i="3" s="1"/>
  <c r="B252" i="3" s="1"/>
  <c r="A252" i="3"/>
  <c r="J251" i="3"/>
  <c r="G251" i="3"/>
  <c r="M251" i="3" s="1"/>
  <c r="F251" i="3"/>
  <c r="H251" i="3" s="1"/>
  <c r="B251" i="3" s="1"/>
  <c r="A251" i="3"/>
  <c r="L250" i="3"/>
  <c r="J250" i="3"/>
  <c r="G250" i="3"/>
  <c r="M250" i="3" s="1"/>
  <c r="F250" i="3"/>
  <c r="H250" i="3" s="1"/>
  <c r="B250" i="3" s="1"/>
  <c r="A250" i="3"/>
  <c r="J249" i="3"/>
  <c r="G249" i="3"/>
  <c r="M249" i="3" s="1"/>
  <c r="F249" i="3"/>
  <c r="H249" i="3" s="1"/>
  <c r="B249" i="3" s="1"/>
  <c r="A249" i="3"/>
  <c r="L248" i="3"/>
  <c r="J248" i="3"/>
  <c r="G248" i="3"/>
  <c r="M248" i="3" s="1"/>
  <c r="F248" i="3"/>
  <c r="H248" i="3" s="1"/>
  <c r="B248" i="3" s="1"/>
  <c r="A248" i="3"/>
  <c r="J247" i="3"/>
  <c r="G247" i="3"/>
  <c r="M247" i="3" s="1"/>
  <c r="F247" i="3"/>
  <c r="H247" i="3" s="1"/>
  <c r="B247" i="3" s="1"/>
  <c r="A247" i="3"/>
  <c r="L246" i="3"/>
  <c r="J246" i="3"/>
  <c r="G246" i="3"/>
  <c r="M246" i="3" s="1"/>
  <c r="F246" i="3"/>
  <c r="H246" i="3" s="1"/>
  <c r="B246" i="3" s="1"/>
  <c r="A246" i="3"/>
  <c r="J245" i="3"/>
  <c r="G245" i="3"/>
  <c r="M245" i="3" s="1"/>
  <c r="F245" i="3"/>
  <c r="H245" i="3" s="1"/>
  <c r="B245" i="3" s="1"/>
  <c r="A245" i="3"/>
  <c r="L244" i="3"/>
  <c r="J244" i="3"/>
  <c r="G244" i="3"/>
  <c r="M244" i="3" s="1"/>
  <c r="F244" i="3"/>
  <c r="H244" i="3" s="1"/>
  <c r="B244" i="3" s="1"/>
  <c r="A244" i="3"/>
  <c r="J243" i="3"/>
  <c r="G243" i="3"/>
  <c r="M243" i="3" s="1"/>
  <c r="F243" i="3"/>
  <c r="H243" i="3" s="1"/>
  <c r="B243" i="3" s="1"/>
  <c r="A243" i="3"/>
  <c r="L242" i="3"/>
  <c r="J242" i="3"/>
  <c r="G242" i="3"/>
  <c r="M242" i="3" s="1"/>
  <c r="F242" i="3"/>
  <c r="H242" i="3" s="1"/>
  <c r="B242" i="3" s="1"/>
  <c r="A242" i="3"/>
  <c r="J241" i="3"/>
  <c r="G241" i="3"/>
  <c r="M241" i="3" s="1"/>
  <c r="F241" i="3"/>
  <c r="H241" i="3" s="1"/>
  <c r="B241" i="3" s="1"/>
  <c r="A241" i="3"/>
  <c r="L240" i="3"/>
  <c r="J240" i="3"/>
  <c r="G240" i="3"/>
  <c r="M240" i="3" s="1"/>
  <c r="F240" i="3"/>
  <c r="H240" i="3" s="1"/>
  <c r="B240" i="3" s="1"/>
  <c r="A240" i="3"/>
  <c r="J239" i="3"/>
  <c r="G239" i="3"/>
  <c r="M239" i="3" s="1"/>
  <c r="F239" i="3"/>
  <c r="H239" i="3" s="1"/>
  <c r="B239" i="3" s="1"/>
  <c r="A239" i="3"/>
  <c r="L238" i="3"/>
  <c r="J238" i="3"/>
  <c r="G238" i="3"/>
  <c r="M238" i="3" s="1"/>
  <c r="F238" i="3"/>
  <c r="H238" i="3" s="1"/>
  <c r="B238" i="3" s="1"/>
  <c r="A238" i="3"/>
  <c r="J237" i="3"/>
  <c r="G237" i="3"/>
  <c r="M237" i="3" s="1"/>
  <c r="F237" i="3"/>
  <c r="H237" i="3" s="1"/>
  <c r="B237" i="3" s="1"/>
  <c r="A237" i="3"/>
  <c r="L236" i="3"/>
  <c r="J236" i="3"/>
  <c r="G236" i="3"/>
  <c r="M236" i="3" s="1"/>
  <c r="F236" i="3"/>
  <c r="H236" i="3" s="1"/>
  <c r="B236" i="3" s="1"/>
  <c r="A236" i="3"/>
  <c r="J235" i="3"/>
  <c r="G235" i="3"/>
  <c r="M235" i="3" s="1"/>
  <c r="F235" i="3"/>
  <c r="H235" i="3" s="1"/>
  <c r="B235" i="3" s="1"/>
  <c r="A235" i="3"/>
  <c r="L234" i="3"/>
  <c r="J234" i="3"/>
  <c r="G234" i="3"/>
  <c r="M234" i="3" s="1"/>
  <c r="F234" i="3"/>
  <c r="H234" i="3" s="1"/>
  <c r="B234" i="3" s="1"/>
  <c r="A234" i="3"/>
  <c r="J233" i="3"/>
  <c r="G233" i="3"/>
  <c r="M233" i="3" s="1"/>
  <c r="F233" i="3"/>
  <c r="H233" i="3" s="1"/>
  <c r="B233" i="3" s="1"/>
  <c r="A233" i="3"/>
  <c r="L232" i="3"/>
  <c r="J232" i="3"/>
  <c r="G232" i="3"/>
  <c r="M232" i="3" s="1"/>
  <c r="F232" i="3"/>
  <c r="H232" i="3" s="1"/>
  <c r="B232" i="3" s="1"/>
  <c r="A232" i="3"/>
  <c r="J231" i="3"/>
  <c r="G231" i="3"/>
  <c r="M231" i="3" s="1"/>
  <c r="F231" i="3"/>
  <c r="H231" i="3" s="1"/>
  <c r="B231" i="3" s="1"/>
  <c r="A231" i="3"/>
  <c r="L230" i="3"/>
  <c r="J230" i="3"/>
  <c r="G230" i="3"/>
  <c r="M230" i="3" s="1"/>
  <c r="F230" i="3"/>
  <c r="H230" i="3" s="1"/>
  <c r="B230" i="3" s="1"/>
  <c r="A230" i="3"/>
  <c r="J229" i="3"/>
  <c r="G229" i="3"/>
  <c r="M229" i="3" s="1"/>
  <c r="F229" i="3"/>
  <c r="H229" i="3" s="1"/>
  <c r="B229" i="3" s="1"/>
  <c r="A229" i="3"/>
  <c r="L228" i="3"/>
  <c r="J228" i="3"/>
  <c r="G228" i="3"/>
  <c r="M228" i="3" s="1"/>
  <c r="F228" i="3"/>
  <c r="H228" i="3" s="1"/>
  <c r="B228" i="3" s="1"/>
  <c r="A228" i="3"/>
  <c r="J227" i="3"/>
  <c r="G227" i="3"/>
  <c r="M227" i="3" s="1"/>
  <c r="F227" i="3"/>
  <c r="H227" i="3" s="1"/>
  <c r="B227" i="3" s="1"/>
  <c r="A227" i="3"/>
  <c r="L226" i="3"/>
  <c r="J226" i="3"/>
  <c r="G226" i="3"/>
  <c r="M226" i="3" s="1"/>
  <c r="F226" i="3"/>
  <c r="H226" i="3" s="1"/>
  <c r="B226" i="3" s="1"/>
  <c r="A226" i="3"/>
  <c r="J225" i="3"/>
  <c r="G225" i="3"/>
  <c r="M225" i="3" s="1"/>
  <c r="F225" i="3"/>
  <c r="H225" i="3" s="1"/>
  <c r="B225" i="3" s="1"/>
  <c r="A225" i="3"/>
  <c r="L224" i="3"/>
  <c r="J224" i="3"/>
  <c r="G224" i="3"/>
  <c r="M224" i="3" s="1"/>
  <c r="F224" i="3"/>
  <c r="H224" i="3" s="1"/>
  <c r="B224" i="3" s="1"/>
  <c r="A224" i="3"/>
  <c r="J223" i="3"/>
  <c r="G223" i="3"/>
  <c r="M223" i="3" s="1"/>
  <c r="F223" i="3"/>
  <c r="H223" i="3" s="1"/>
  <c r="B223" i="3" s="1"/>
  <c r="A223" i="3"/>
  <c r="L222" i="3"/>
  <c r="J222" i="3"/>
  <c r="G222" i="3"/>
  <c r="M222" i="3" s="1"/>
  <c r="F222" i="3"/>
  <c r="H222" i="3" s="1"/>
  <c r="B222" i="3" s="1"/>
  <c r="A222" i="3"/>
  <c r="J221" i="3"/>
  <c r="G221" i="3"/>
  <c r="M221" i="3" s="1"/>
  <c r="F221" i="3"/>
  <c r="H221" i="3" s="1"/>
  <c r="B221" i="3" s="1"/>
  <c r="A221" i="3"/>
  <c r="L220" i="3"/>
  <c r="J220" i="3"/>
  <c r="G220" i="3"/>
  <c r="M220" i="3" s="1"/>
  <c r="F220" i="3"/>
  <c r="H220" i="3" s="1"/>
  <c r="B220" i="3" s="1"/>
  <c r="A220" i="3"/>
  <c r="J219" i="3"/>
  <c r="G219" i="3"/>
  <c r="M219" i="3" s="1"/>
  <c r="F219" i="3"/>
  <c r="H219" i="3" s="1"/>
  <c r="B219" i="3" s="1"/>
  <c r="A219" i="3"/>
  <c r="L218" i="3"/>
  <c r="J218" i="3"/>
  <c r="G218" i="3"/>
  <c r="M218" i="3" s="1"/>
  <c r="F218" i="3"/>
  <c r="H218" i="3" s="1"/>
  <c r="B218" i="3" s="1"/>
  <c r="A218" i="3"/>
  <c r="J217" i="3"/>
  <c r="G217" i="3"/>
  <c r="M217" i="3" s="1"/>
  <c r="F217" i="3"/>
  <c r="H217" i="3" s="1"/>
  <c r="B217" i="3" s="1"/>
  <c r="A217" i="3"/>
  <c r="L216" i="3"/>
  <c r="J216" i="3"/>
  <c r="G216" i="3"/>
  <c r="M216" i="3" s="1"/>
  <c r="F216" i="3"/>
  <c r="H216" i="3" s="1"/>
  <c r="B216" i="3" s="1"/>
  <c r="A216" i="3"/>
  <c r="J215" i="3"/>
  <c r="G215" i="3"/>
  <c r="M215" i="3" s="1"/>
  <c r="F215" i="3"/>
  <c r="H215" i="3" s="1"/>
  <c r="B215" i="3" s="1"/>
  <c r="A215" i="3"/>
  <c r="L214" i="3"/>
  <c r="J214" i="3"/>
  <c r="G214" i="3"/>
  <c r="M214" i="3" s="1"/>
  <c r="F214" i="3"/>
  <c r="H214" i="3" s="1"/>
  <c r="B214" i="3" s="1"/>
  <c r="A214" i="3"/>
  <c r="J213" i="3"/>
  <c r="G213" i="3"/>
  <c r="M213" i="3" s="1"/>
  <c r="F213" i="3"/>
  <c r="H213" i="3" s="1"/>
  <c r="B213" i="3" s="1"/>
  <c r="A213" i="3"/>
  <c r="L212" i="3"/>
  <c r="J212" i="3"/>
  <c r="G212" i="3"/>
  <c r="M212" i="3" s="1"/>
  <c r="F212" i="3"/>
  <c r="H212" i="3" s="1"/>
  <c r="B212" i="3" s="1"/>
  <c r="A212" i="3"/>
  <c r="J211" i="3"/>
  <c r="G211" i="3"/>
  <c r="M211" i="3" s="1"/>
  <c r="F211" i="3"/>
  <c r="H211" i="3" s="1"/>
  <c r="B211" i="3" s="1"/>
  <c r="A211" i="3"/>
  <c r="L210" i="3"/>
  <c r="J210" i="3"/>
  <c r="G210" i="3"/>
  <c r="M210" i="3" s="1"/>
  <c r="F210" i="3"/>
  <c r="H210" i="3" s="1"/>
  <c r="B210" i="3" s="1"/>
  <c r="A210" i="3"/>
  <c r="J209" i="3"/>
  <c r="G209" i="3"/>
  <c r="M209" i="3" s="1"/>
  <c r="F209" i="3"/>
  <c r="H209" i="3" s="1"/>
  <c r="B209" i="3" s="1"/>
  <c r="A209" i="3"/>
  <c r="L208" i="3"/>
  <c r="J208" i="3"/>
  <c r="G208" i="3"/>
  <c r="M208" i="3" s="1"/>
  <c r="F208" i="3"/>
  <c r="H208" i="3" s="1"/>
  <c r="B208" i="3" s="1"/>
  <c r="A208" i="3"/>
  <c r="J207" i="3"/>
  <c r="G207" i="3"/>
  <c r="M207" i="3" s="1"/>
  <c r="F207" i="3"/>
  <c r="H207" i="3" s="1"/>
  <c r="B207" i="3" s="1"/>
  <c r="A207" i="3"/>
  <c r="L206" i="3"/>
  <c r="J206" i="3"/>
  <c r="G206" i="3"/>
  <c r="M206" i="3" s="1"/>
  <c r="F206" i="3"/>
  <c r="H206" i="3" s="1"/>
  <c r="B206" i="3" s="1"/>
  <c r="A206" i="3"/>
  <c r="J205" i="3"/>
  <c r="G205" i="3"/>
  <c r="M205" i="3" s="1"/>
  <c r="F205" i="3"/>
  <c r="H205" i="3" s="1"/>
  <c r="B205" i="3" s="1"/>
  <c r="A205" i="3"/>
  <c r="L204" i="3"/>
  <c r="J204" i="3"/>
  <c r="G204" i="3"/>
  <c r="M204" i="3" s="1"/>
  <c r="F204" i="3"/>
  <c r="H204" i="3" s="1"/>
  <c r="B204" i="3" s="1"/>
  <c r="A204" i="3"/>
  <c r="J203" i="3"/>
  <c r="G203" i="3"/>
  <c r="M203" i="3" s="1"/>
  <c r="F203" i="3"/>
  <c r="H203" i="3" s="1"/>
  <c r="B203" i="3" s="1"/>
  <c r="A203" i="3"/>
  <c r="L202" i="3"/>
  <c r="J202" i="3"/>
  <c r="G202" i="3"/>
  <c r="M202" i="3" s="1"/>
  <c r="F202" i="3"/>
  <c r="H202" i="3" s="1"/>
  <c r="B202" i="3" s="1"/>
  <c r="A202" i="3"/>
  <c r="J201" i="3"/>
  <c r="G201" i="3"/>
  <c r="M201" i="3" s="1"/>
  <c r="F201" i="3"/>
  <c r="H201" i="3" s="1"/>
  <c r="B201" i="3" s="1"/>
  <c r="A201" i="3"/>
  <c r="L200" i="3"/>
  <c r="J200" i="3"/>
  <c r="G200" i="3"/>
  <c r="M200" i="3" s="1"/>
  <c r="F200" i="3"/>
  <c r="H200" i="3" s="1"/>
  <c r="B200" i="3" s="1"/>
  <c r="A200" i="3"/>
  <c r="J199" i="3"/>
  <c r="G199" i="3"/>
  <c r="M199" i="3" s="1"/>
  <c r="F199" i="3"/>
  <c r="H199" i="3" s="1"/>
  <c r="B199" i="3" s="1"/>
  <c r="A199" i="3"/>
  <c r="L198" i="3"/>
  <c r="J198" i="3"/>
  <c r="G198" i="3"/>
  <c r="M198" i="3" s="1"/>
  <c r="F198" i="3"/>
  <c r="H198" i="3" s="1"/>
  <c r="B198" i="3" s="1"/>
  <c r="A198" i="3"/>
  <c r="J197" i="3"/>
  <c r="G197" i="3"/>
  <c r="M197" i="3" s="1"/>
  <c r="F197" i="3"/>
  <c r="H197" i="3" s="1"/>
  <c r="B197" i="3" s="1"/>
  <c r="A197" i="3"/>
  <c r="L196" i="3"/>
  <c r="J196" i="3"/>
  <c r="G196" i="3"/>
  <c r="M196" i="3" s="1"/>
  <c r="F196" i="3"/>
  <c r="H196" i="3" s="1"/>
  <c r="B196" i="3" s="1"/>
  <c r="A196" i="3"/>
  <c r="J195" i="3"/>
  <c r="G195" i="3"/>
  <c r="M195" i="3" s="1"/>
  <c r="F195" i="3"/>
  <c r="H195" i="3" s="1"/>
  <c r="B195" i="3" s="1"/>
  <c r="A195" i="3"/>
  <c r="L194" i="3"/>
  <c r="J194" i="3"/>
  <c r="G194" i="3"/>
  <c r="M194" i="3" s="1"/>
  <c r="F194" i="3"/>
  <c r="H194" i="3" s="1"/>
  <c r="B194" i="3" s="1"/>
  <c r="A194" i="3"/>
  <c r="J193" i="3"/>
  <c r="G193" i="3"/>
  <c r="M193" i="3" s="1"/>
  <c r="F193" i="3"/>
  <c r="H193" i="3" s="1"/>
  <c r="B193" i="3" s="1"/>
  <c r="A193" i="3"/>
  <c r="L192" i="3"/>
  <c r="J192" i="3"/>
  <c r="G192" i="3"/>
  <c r="M192" i="3" s="1"/>
  <c r="F192" i="3"/>
  <c r="H192" i="3" s="1"/>
  <c r="B192" i="3" s="1"/>
  <c r="A192" i="3"/>
  <c r="J191" i="3"/>
  <c r="G191" i="3"/>
  <c r="M191" i="3" s="1"/>
  <c r="F191" i="3"/>
  <c r="H191" i="3" s="1"/>
  <c r="B191" i="3" s="1"/>
  <c r="A191" i="3"/>
  <c r="L190" i="3"/>
  <c r="J190" i="3"/>
  <c r="G190" i="3"/>
  <c r="M190" i="3" s="1"/>
  <c r="F190" i="3"/>
  <c r="H190" i="3" s="1"/>
  <c r="B190" i="3" s="1"/>
  <c r="A190" i="3"/>
  <c r="J189" i="3"/>
  <c r="G189" i="3"/>
  <c r="M189" i="3" s="1"/>
  <c r="F189" i="3"/>
  <c r="H189" i="3" s="1"/>
  <c r="B189" i="3" s="1"/>
  <c r="A189" i="3"/>
  <c r="L188" i="3"/>
  <c r="J188" i="3"/>
  <c r="G188" i="3"/>
  <c r="M188" i="3" s="1"/>
  <c r="F188" i="3"/>
  <c r="H188" i="3" s="1"/>
  <c r="B188" i="3" s="1"/>
  <c r="A188" i="3"/>
  <c r="J187" i="3"/>
  <c r="G187" i="3"/>
  <c r="M187" i="3" s="1"/>
  <c r="F187" i="3"/>
  <c r="H187" i="3" s="1"/>
  <c r="B187" i="3" s="1"/>
  <c r="A187" i="3"/>
  <c r="L186" i="3"/>
  <c r="J186" i="3"/>
  <c r="G186" i="3"/>
  <c r="M186" i="3" s="1"/>
  <c r="F186" i="3"/>
  <c r="H186" i="3" s="1"/>
  <c r="B186" i="3" s="1"/>
  <c r="A186" i="3"/>
  <c r="J185" i="3"/>
  <c r="G185" i="3"/>
  <c r="M185" i="3" s="1"/>
  <c r="F185" i="3"/>
  <c r="H185" i="3" s="1"/>
  <c r="B185" i="3" s="1"/>
  <c r="A185" i="3"/>
  <c r="L184" i="3"/>
  <c r="J184" i="3"/>
  <c r="G184" i="3"/>
  <c r="M184" i="3" s="1"/>
  <c r="F184" i="3"/>
  <c r="H184" i="3" s="1"/>
  <c r="B184" i="3" s="1"/>
  <c r="A184" i="3"/>
  <c r="J183" i="3"/>
  <c r="G183" i="3"/>
  <c r="M183" i="3" s="1"/>
  <c r="F183" i="3"/>
  <c r="H183" i="3" s="1"/>
  <c r="B183" i="3" s="1"/>
  <c r="A183" i="3"/>
  <c r="L182" i="3"/>
  <c r="J182" i="3"/>
  <c r="G182" i="3"/>
  <c r="M182" i="3" s="1"/>
  <c r="F182" i="3"/>
  <c r="H182" i="3" s="1"/>
  <c r="B182" i="3" s="1"/>
  <c r="A182" i="3"/>
  <c r="J181" i="3"/>
  <c r="G181" i="3"/>
  <c r="M181" i="3" s="1"/>
  <c r="F181" i="3"/>
  <c r="H181" i="3" s="1"/>
  <c r="B181" i="3" s="1"/>
  <c r="A181" i="3"/>
  <c r="L180" i="3"/>
  <c r="J180" i="3"/>
  <c r="G180" i="3"/>
  <c r="M180" i="3" s="1"/>
  <c r="F180" i="3"/>
  <c r="H180" i="3" s="1"/>
  <c r="B180" i="3" s="1"/>
  <c r="A180" i="3"/>
  <c r="J179" i="3"/>
  <c r="G179" i="3"/>
  <c r="M179" i="3" s="1"/>
  <c r="F179" i="3"/>
  <c r="H179" i="3" s="1"/>
  <c r="B179" i="3" s="1"/>
  <c r="A179" i="3"/>
  <c r="L178" i="3"/>
  <c r="J178" i="3"/>
  <c r="G178" i="3"/>
  <c r="M178" i="3" s="1"/>
  <c r="F178" i="3"/>
  <c r="H178" i="3" s="1"/>
  <c r="B178" i="3" s="1"/>
  <c r="A178" i="3"/>
  <c r="J177" i="3"/>
  <c r="G177" i="3"/>
  <c r="M177" i="3" s="1"/>
  <c r="F177" i="3"/>
  <c r="H177" i="3" s="1"/>
  <c r="B177" i="3" s="1"/>
  <c r="A177" i="3"/>
  <c r="L176" i="3"/>
  <c r="J176" i="3"/>
  <c r="G176" i="3"/>
  <c r="M176" i="3" s="1"/>
  <c r="F176" i="3"/>
  <c r="H176" i="3" s="1"/>
  <c r="B176" i="3" s="1"/>
  <c r="A176" i="3"/>
  <c r="J175" i="3"/>
  <c r="G175" i="3"/>
  <c r="M175" i="3" s="1"/>
  <c r="F175" i="3"/>
  <c r="H175" i="3" s="1"/>
  <c r="B175" i="3" s="1"/>
  <c r="A175" i="3"/>
  <c r="L174" i="3"/>
  <c r="J174" i="3"/>
  <c r="G174" i="3"/>
  <c r="M174" i="3" s="1"/>
  <c r="F174" i="3"/>
  <c r="H174" i="3" s="1"/>
  <c r="B174" i="3" s="1"/>
  <c r="A174" i="3"/>
  <c r="J173" i="3"/>
  <c r="G173" i="3"/>
  <c r="M173" i="3" s="1"/>
  <c r="F173" i="3"/>
  <c r="H173" i="3" s="1"/>
  <c r="B173" i="3" s="1"/>
  <c r="A173" i="3"/>
  <c r="L172" i="3"/>
  <c r="J172" i="3"/>
  <c r="G172" i="3"/>
  <c r="M172" i="3" s="1"/>
  <c r="F172" i="3"/>
  <c r="H172" i="3" s="1"/>
  <c r="B172" i="3" s="1"/>
  <c r="A172" i="3"/>
  <c r="J171" i="3"/>
  <c r="G171" i="3"/>
  <c r="M171" i="3" s="1"/>
  <c r="F171" i="3"/>
  <c r="H171" i="3" s="1"/>
  <c r="B171" i="3" s="1"/>
  <c r="A171" i="3"/>
  <c r="L170" i="3"/>
  <c r="J170" i="3"/>
  <c r="G170" i="3"/>
  <c r="M170" i="3" s="1"/>
  <c r="F170" i="3"/>
  <c r="H170" i="3" s="1"/>
  <c r="B170" i="3" s="1"/>
  <c r="A170" i="3"/>
  <c r="J169" i="3"/>
  <c r="G169" i="3"/>
  <c r="M169" i="3" s="1"/>
  <c r="F169" i="3"/>
  <c r="H169" i="3" s="1"/>
  <c r="B169" i="3" s="1"/>
  <c r="A169" i="3"/>
  <c r="L168" i="3"/>
  <c r="J168" i="3"/>
  <c r="G168" i="3"/>
  <c r="M168" i="3" s="1"/>
  <c r="F168" i="3"/>
  <c r="H168" i="3" s="1"/>
  <c r="B168" i="3" s="1"/>
  <c r="A168" i="3"/>
  <c r="J167" i="3"/>
  <c r="G167" i="3"/>
  <c r="M167" i="3" s="1"/>
  <c r="F167" i="3"/>
  <c r="H167" i="3" s="1"/>
  <c r="B167" i="3" s="1"/>
  <c r="A167" i="3"/>
  <c r="L166" i="3"/>
  <c r="J166" i="3"/>
  <c r="G166" i="3"/>
  <c r="M166" i="3" s="1"/>
  <c r="F166" i="3"/>
  <c r="H166" i="3" s="1"/>
  <c r="B166" i="3" s="1"/>
  <c r="A166" i="3"/>
  <c r="J165" i="3"/>
  <c r="G165" i="3"/>
  <c r="M165" i="3" s="1"/>
  <c r="F165" i="3"/>
  <c r="H165" i="3" s="1"/>
  <c r="B165" i="3" s="1"/>
  <c r="A165" i="3"/>
  <c r="L164" i="3"/>
  <c r="J164" i="3"/>
  <c r="G164" i="3"/>
  <c r="M164" i="3" s="1"/>
  <c r="F164" i="3"/>
  <c r="H164" i="3" s="1"/>
  <c r="B164" i="3" s="1"/>
  <c r="A164" i="3"/>
  <c r="J163" i="3"/>
  <c r="G163" i="3"/>
  <c r="M163" i="3" s="1"/>
  <c r="F163" i="3"/>
  <c r="H163" i="3" s="1"/>
  <c r="B163" i="3" s="1"/>
  <c r="A163" i="3"/>
  <c r="L162" i="3"/>
  <c r="J162" i="3"/>
  <c r="G162" i="3"/>
  <c r="M162" i="3" s="1"/>
  <c r="F162" i="3"/>
  <c r="H162" i="3" s="1"/>
  <c r="B162" i="3" s="1"/>
  <c r="A162" i="3"/>
  <c r="J161" i="3"/>
  <c r="G161" i="3"/>
  <c r="M161" i="3" s="1"/>
  <c r="F161" i="3"/>
  <c r="H161" i="3" s="1"/>
  <c r="B161" i="3" s="1"/>
  <c r="A161" i="3"/>
  <c r="L160" i="3"/>
  <c r="J160" i="3"/>
  <c r="G160" i="3"/>
  <c r="M160" i="3" s="1"/>
  <c r="F160" i="3"/>
  <c r="H160" i="3" s="1"/>
  <c r="B160" i="3" s="1"/>
  <c r="A160" i="3"/>
  <c r="J159" i="3"/>
  <c r="G159" i="3"/>
  <c r="M159" i="3" s="1"/>
  <c r="F159" i="3"/>
  <c r="H159" i="3" s="1"/>
  <c r="B159" i="3" s="1"/>
  <c r="A159" i="3"/>
  <c r="L158" i="3"/>
  <c r="J158" i="3"/>
  <c r="G158" i="3"/>
  <c r="M158" i="3" s="1"/>
  <c r="F158" i="3"/>
  <c r="H158" i="3" s="1"/>
  <c r="B158" i="3" s="1"/>
  <c r="A158" i="3"/>
  <c r="J157" i="3"/>
  <c r="G157" i="3"/>
  <c r="M157" i="3" s="1"/>
  <c r="F157" i="3"/>
  <c r="H157" i="3" s="1"/>
  <c r="B157" i="3" s="1"/>
  <c r="A157" i="3"/>
  <c r="L156" i="3"/>
  <c r="J156" i="3"/>
  <c r="G156" i="3"/>
  <c r="M156" i="3" s="1"/>
  <c r="F156" i="3"/>
  <c r="H156" i="3" s="1"/>
  <c r="B156" i="3" s="1"/>
  <c r="A156" i="3"/>
  <c r="J155" i="3"/>
  <c r="G155" i="3"/>
  <c r="M155" i="3" s="1"/>
  <c r="F155" i="3"/>
  <c r="H155" i="3" s="1"/>
  <c r="B155" i="3" s="1"/>
  <c r="A155" i="3"/>
  <c r="L154" i="3"/>
  <c r="J154" i="3"/>
  <c r="G154" i="3"/>
  <c r="M154" i="3" s="1"/>
  <c r="F154" i="3"/>
  <c r="H154" i="3" s="1"/>
  <c r="B154" i="3" s="1"/>
  <c r="A154" i="3"/>
  <c r="J153" i="3"/>
  <c r="G153" i="3"/>
  <c r="M153" i="3" s="1"/>
  <c r="F153" i="3"/>
  <c r="H153" i="3" s="1"/>
  <c r="B153" i="3" s="1"/>
  <c r="A153" i="3"/>
  <c r="L152" i="3"/>
  <c r="J152" i="3"/>
  <c r="G152" i="3"/>
  <c r="M152" i="3" s="1"/>
  <c r="F152" i="3"/>
  <c r="H152" i="3" s="1"/>
  <c r="B152" i="3" s="1"/>
  <c r="A152" i="3"/>
  <c r="J151" i="3"/>
  <c r="G151" i="3"/>
  <c r="M151" i="3" s="1"/>
  <c r="F151" i="3"/>
  <c r="H151" i="3" s="1"/>
  <c r="B151" i="3" s="1"/>
  <c r="A151" i="3"/>
  <c r="L150" i="3"/>
  <c r="J150" i="3"/>
  <c r="G150" i="3"/>
  <c r="M150" i="3" s="1"/>
  <c r="F150" i="3"/>
  <c r="H150" i="3" s="1"/>
  <c r="B150" i="3" s="1"/>
  <c r="A150" i="3"/>
  <c r="J149" i="3"/>
  <c r="G149" i="3"/>
  <c r="M149" i="3" s="1"/>
  <c r="F149" i="3"/>
  <c r="H149" i="3" s="1"/>
  <c r="B149" i="3" s="1"/>
  <c r="A149" i="3"/>
  <c r="L148" i="3"/>
  <c r="J148" i="3"/>
  <c r="G148" i="3"/>
  <c r="M148" i="3" s="1"/>
  <c r="F148" i="3"/>
  <c r="H148" i="3" s="1"/>
  <c r="B148" i="3" s="1"/>
  <c r="A148" i="3"/>
  <c r="J147" i="3"/>
  <c r="G147" i="3"/>
  <c r="M147" i="3" s="1"/>
  <c r="F147" i="3"/>
  <c r="H147" i="3" s="1"/>
  <c r="B147" i="3" s="1"/>
  <c r="A147" i="3"/>
  <c r="L145" i="3"/>
  <c r="J145" i="3"/>
  <c r="G145" i="3"/>
  <c r="M145" i="3" s="1"/>
  <c r="F145" i="3"/>
  <c r="H145" i="3" s="1"/>
  <c r="B145" i="3" s="1"/>
  <c r="A145" i="3"/>
  <c r="J144" i="3"/>
  <c r="G144" i="3"/>
  <c r="M144" i="3" s="1"/>
  <c r="F144" i="3"/>
  <c r="H144" i="3" s="1"/>
  <c r="B144" i="3" s="1"/>
  <c r="A144" i="3"/>
  <c r="L143" i="3"/>
  <c r="J143" i="3"/>
  <c r="G143" i="3"/>
  <c r="M143" i="3" s="1"/>
  <c r="F143" i="3"/>
  <c r="H143" i="3" s="1"/>
  <c r="B143" i="3" s="1"/>
  <c r="A143" i="3"/>
  <c r="J142" i="3"/>
  <c r="G142" i="3"/>
  <c r="M142" i="3" s="1"/>
  <c r="F142" i="3"/>
  <c r="H142" i="3" s="1"/>
  <c r="B142" i="3" s="1"/>
  <c r="A142" i="3"/>
  <c r="L141" i="3"/>
  <c r="J141" i="3"/>
  <c r="G141" i="3"/>
  <c r="M141" i="3" s="1"/>
  <c r="F141" i="3"/>
  <c r="H141" i="3" s="1"/>
  <c r="B141" i="3" s="1"/>
  <c r="A141" i="3"/>
  <c r="J140" i="3"/>
  <c r="G140" i="3"/>
  <c r="M140" i="3" s="1"/>
  <c r="F140" i="3"/>
  <c r="H140" i="3" s="1"/>
  <c r="B140" i="3" s="1"/>
  <c r="A140" i="3"/>
  <c r="L139" i="3"/>
  <c r="J139" i="3"/>
  <c r="G139" i="3"/>
  <c r="M139" i="3" s="1"/>
  <c r="F139" i="3"/>
  <c r="H139" i="3" s="1"/>
  <c r="B139" i="3" s="1"/>
  <c r="A139" i="3"/>
  <c r="J138" i="3"/>
  <c r="G138" i="3"/>
  <c r="M138" i="3" s="1"/>
  <c r="F138" i="3"/>
  <c r="H138" i="3" s="1"/>
  <c r="B138" i="3" s="1"/>
  <c r="A138" i="3"/>
  <c r="L137" i="3"/>
  <c r="J137" i="3"/>
  <c r="G137" i="3"/>
  <c r="M137" i="3" s="1"/>
  <c r="F137" i="3"/>
  <c r="H137" i="3" s="1"/>
  <c r="B137" i="3" s="1"/>
  <c r="A137" i="3"/>
  <c r="J136" i="3"/>
  <c r="G136" i="3"/>
  <c r="M136" i="3" s="1"/>
  <c r="F136" i="3"/>
  <c r="H136" i="3" s="1"/>
  <c r="B136" i="3" s="1"/>
  <c r="A136" i="3"/>
  <c r="L135" i="3"/>
  <c r="J135" i="3"/>
  <c r="G135" i="3"/>
  <c r="M135" i="3" s="1"/>
  <c r="F135" i="3"/>
  <c r="H135" i="3" s="1"/>
  <c r="B135" i="3" s="1"/>
  <c r="A135" i="3"/>
  <c r="J134" i="3"/>
  <c r="G134" i="3"/>
  <c r="M134" i="3" s="1"/>
  <c r="F134" i="3"/>
  <c r="H134" i="3" s="1"/>
  <c r="B134" i="3" s="1"/>
  <c r="A134" i="3"/>
  <c r="L133" i="3"/>
  <c r="J133" i="3"/>
  <c r="G133" i="3"/>
  <c r="M133" i="3" s="1"/>
  <c r="F133" i="3"/>
  <c r="H133" i="3" s="1"/>
  <c r="B133" i="3" s="1"/>
  <c r="A133" i="3"/>
  <c r="J132" i="3"/>
  <c r="G132" i="3"/>
  <c r="M132" i="3" s="1"/>
  <c r="F132" i="3"/>
  <c r="H132" i="3" s="1"/>
  <c r="B132" i="3" s="1"/>
  <c r="A132" i="3"/>
  <c r="L131" i="3"/>
  <c r="J131" i="3"/>
  <c r="G131" i="3"/>
  <c r="M131" i="3" s="1"/>
  <c r="F131" i="3"/>
  <c r="H131" i="3" s="1"/>
  <c r="B131" i="3" s="1"/>
  <c r="A131" i="3"/>
  <c r="J130" i="3"/>
  <c r="G130" i="3"/>
  <c r="M130" i="3" s="1"/>
  <c r="F130" i="3"/>
  <c r="H130" i="3" s="1"/>
  <c r="B130" i="3" s="1"/>
  <c r="A130" i="3"/>
  <c r="L129" i="3"/>
  <c r="J129" i="3"/>
  <c r="G129" i="3"/>
  <c r="M129" i="3" s="1"/>
  <c r="F129" i="3"/>
  <c r="H129" i="3" s="1"/>
  <c r="B129" i="3" s="1"/>
  <c r="A129" i="3"/>
  <c r="J128" i="3"/>
  <c r="G128" i="3"/>
  <c r="M128" i="3" s="1"/>
  <c r="F128" i="3"/>
  <c r="H128" i="3" s="1"/>
  <c r="B128" i="3" s="1"/>
  <c r="A128" i="3"/>
  <c r="L127" i="3"/>
  <c r="J127" i="3"/>
  <c r="G127" i="3"/>
  <c r="M127" i="3" s="1"/>
  <c r="F127" i="3"/>
  <c r="H127" i="3" s="1"/>
  <c r="B127" i="3" s="1"/>
  <c r="A127" i="3"/>
  <c r="J126" i="3"/>
  <c r="G126" i="3"/>
  <c r="M126" i="3" s="1"/>
  <c r="F126" i="3"/>
  <c r="H126" i="3" s="1"/>
  <c r="B126" i="3" s="1"/>
  <c r="A126" i="3"/>
  <c r="L125" i="3"/>
  <c r="J125" i="3"/>
  <c r="G125" i="3"/>
  <c r="M125" i="3" s="1"/>
  <c r="F125" i="3"/>
  <c r="H125" i="3" s="1"/>
  <c r="B125" i="3" s="1"/>
  <c r="A125" i="3"/>
  <c r="J124" i="3"/>
  <c r="G124" i="3"/>
  <c r="M124" i="3" s="1"/>
  <c r="F124" i="3"/>
  <c r="H124" i="3" s="1"/>
  <c r="B124" i="3" s="1"/>
  <c r="A124" i="3"/>
  <c r="L123" i="3"/>
  <c r="J123" i="3"/>
  <c r="G123" i="3"/>
  <c r="M123" i="3" s="1"/>
  <c r="F123" i="3"/>
  <c r="H123" i="3" s="1"/>
  <c r="B123" i="3" s="1"/>
  <c r="A123" i="3"/>
  <c r="J122" i="3"/>
  <c r="G122" i="3"/>
  <c r="M122" i="3" s="1"/>
  <c r="F122" i="3"/>
  <c r="H122" i="3" s="1"/>
  <c r="B122" i="3" s="1"/>
  <c r="A122" i="3"/>
  <c r="L121" i="3"/>
  <c r="J121" i="3"/>
  <c r="G121" i="3"/>
  <c r="M121" i="3" s="1"/>
  <c r="F121" i="3"/>
  <c r="H121" i="3" s="1"/>
  <c r="B121" i="3" s="1"/>
  <c r="A121" i="3"/>
  <c r="J120" i="3"/>
  <c r="G120" i="3"/>
  <c r="M120" i="3" s="1"/>
  <c r="F120" i="3"/>
  <c r="H120" i="3" s="1"/>
  <c r="B120" i="3" s="1"/>
  <c r="A120" i="3"/>
  <c r="L119" i="3"/>
  <c r="J119" i="3"/>
  <c r="G119" i="3"/>
  <c r="M119" i="3" s="1"/>
  <c r="F119" i="3"/>
  <c r="H119" i="3" s="1"/>
  <c r="B119" i="3" s="1"/>
  <c r="A119" i="3"/>
  <c r="J118" i="3"/>
  <c r="G118" i="3"/>
  <c r="M118" i="3" s="1"/>
  <c r="F118" i="3"/>
  <c r="H118" i="3" s="1"/>
  <c r="B118" i="3" s="1"/>
  <c r="A118" i="3"/>
  <c r="L117" i="3"/>
  <c r="J117" i="3"/>
  <c r="G117" i="3"/>
  <c r="M117" i="3" s="1"/>
  <c r="F117" i="3"/>
  <c r="H117" i="3" s="1"/>
  <c r="B117" i="3" s="1"/>
  <c r="A117" i="3"/>
  <c r="J116" i="3"/>
  <c r="G116" i="3"/>
  <c r="M116" i="3" s="1"/>
  <c r="F116" i="3"/>
  <c r="H116" i="3" s="1"/>
  <c r="B116" i="3" s="1"/>
  <c r="A116" i="3"/>
  <c r="L115" i="3"/>
  <c r="J115" i="3"/>
  <c r="G115" i="3"/>
  <c r="M115" i="3" s="1"/>
  <c r="F115" i="3"/>
  <c r="H115" i="3" s="1"/>
  <c r="B115" i="3" s="1"/>
  <c r="A115" i="3"/>
  <c r="J114" i="3"/>
  <c r="G114" i="3"/>
  <c r="M114" i="3" s="1"/>
  <c r="F114" i="3"/>
  <c r="H114" i="3" s="1"/>
  <c r="B114" i="3" s="1"/>
  <c r="A114" i="3"/>
  <c r="L113" i="3"/>
  <c r="J113" i="3"/>
  <c r="G113" i="3"/>
  <c r="M113" i="3" s="1"/>
  <c r="F113" i="3"/>
  <c r="H113" i="3" s="1"/>
  <c r="B113" i="3" s="1"/>
  <c r="A113" i="3"/>
  <c r="J112" i="3"/>
  <c r="G112" i="3"/>
  <c r="M112" i="3" s="1"/>
  <c r="F112" i="3"/>
  <c r="H112" i="3" s="1"/>
  <c r="B112" i="3" s="1"/>
  <c r="A112" i="3"/>
  <c r="L111" i="3"/>
  <c r="J111" i="3"/>
  <c r="G111" i="3"/>
  <c r="M111" i="3" s="1"/>
  <c r="F111" i="3"/>
  <c r="H111" i="3" s="1"/>
  <c r="B111" i="3" s="1"/>
  <c r="A111" i="3"/>
  <c r="J110" i="3"/>
  <c r="G110" i="3"/>
  <c r="M110" i="3" s="1"/>
  <c r="F110" i="3"/>
  <c r="H110" i="3" s="1"/>
  <c r="B110" i="3" s="1"/>
  <c r="A110" i="3"/>
  <c r="L109" i="3"/>
  <c r="J109" i="3"/>
  <c r="G109" i="3"/>
  <c r="M109" i="3" s="1"/>
  <c r="F109" i="3"/>
  <c r="H109" i="3" s="1"/>
  <c r="B109" i="3" s="1"/>
  <c r="A109" i="3"/>
  <c r="J108" i="3"/>
  <c r="G108" i="3"/>
  <c r="M108" i="3" s="1"/>
  <c r="F108" i="3"/>
  <c r="H108" i="3" s="1"/>
  <c r="B108" i="3" s="1"/>
  <c r="A108" i="3"/>
  <c r="L107" i="3"/>
  <c r="J107" i="3"/>
  <c r="G107" i="3"/>
  <c r="M107" i="3" s="1"/>
  <c r="F107" i="3"/>
  <c r="H107" i="3" s="1"/>
  <c r="B107" i="3" s="1"/>
  <c r="A107" i="3"/>
  <c r="J106" i="3"/>
  <c r="G106" i="3"/>
  <c r="M106" i="3" s="1"/>
  <c r="F106" i="3"/>
  <c r="H106" i="3" s="1"/>
  <c r="B106" i="3" s="1"/>
  <c r="A106" i="3"/>
  <c r="L105" i="3"/>
  <c r="J105" i="3"/>
  <c r="G105" i="3"/>
  <c r="M105" i="3" s="1"/>
  <c r="F105" i="3"/>
  <c r="H105" i="3" s="1"/>
  <c r="B105" i="3" s="1"/>
  <c r="A105" i="3"/>
  <c r="J104" i="3"/>
  <c r="G104" i="3"/>
  <c r="M104" i="3" s="1"/>
  <c r="F104" i="3"/>
  <c r="H104" i="3" s="1"/>
  <c r="B104" i="3" s="1"/>
  <c r="A104" i="3"/>
  <c r="L103" i="3"/>
  <c r="J103" i="3"/>
  <c r="G103" i="3"/>
  <c r="M103" i="3" s="1"/>
  <c r="F103" i="3"/>
  <c r="H103" i="3" s="1"/>
  <c r="B103" i="3" s="1"/>
  <c r="A103" i="3"/>
  <c r="J102" i="3"/>
  <c r="G102" i="3"/>
  <c r="M102" i="3" s="1"/>
  <c r="F102" i="3"/>
  <c r="H102" i="3" s="1"/>
  <c r="B102" i="3" s="1"/>
  <c r="A102" i="3"/>
  <c r="L101" i="3"/>
  <c r="J101" i="3"/>
  <c r="G101" i="3"/>
  <c r="M101" i="3" s="1"/>
  <c r="F101" i="3"/>
  <c r="H101" i="3" s="1"/>
  <c r="B101" i="3" s="1"/>
  <c r="A101" i="3"/>
  <c r="J100" i="3"/>
  <c r="G100" i="3"/>
  <c r="M100" i="3" s="1"/>
  <c r="F100" i="3"/>
  <c r="H100" i="3" s="1"/>
  <c r="A100" i="3"/>
  <c r="J99" i="3"/>
  <c r="H99" i="3"/>
  <c r="B99" i="3" s="1"/>
  <c r="G99" i="3"/>
  <c r="M99" i="3" s="1"/>
  <c r="F99" i="3"/>
  <c r="A99" i="3"/>
  <c r="J98" i="3"/>
  <c r="G98" i="3"/>
  <c r="M98" i="3" s="1"/>
  <c r="F98" i="3"/>
  <c r="H98" i="3" s="1"/>
  <c r="A98" i="3"/>
  <c r="J97" i="3"/>
  <c r="H97" i="3"/>
  <c r="B97" i="3" s="1"/>
  <c r="G97" i="3"/>
  <c r="M97" i="3" s="1"/>
  <c r="F97" i="3"/>
  <c r="A97" i="3"/>
  <c r="J96" i="3"/>
  <c r="G96" i="3"/>
  <c r="M96" i="3" s="1"/>
  <c r="F96" i="3"/>
  <c r="H96" i="3" s="1"/>
  <c r="A96" i="3"/>
  <c r="J95" i="3"/>
  <c r="H95" i="3"/>
  <c r="B95" i="3" s="1"/>
  <c r="G95" i="3"/>
  <c r="M95" i="3" s="1"/>
  <c r="F95" i="3"/>
  <c r="A95" i="3"/>
  <c r="J94" i="3"/>
  <c r="G94" i="3"/>
  <c r="M94" i="3" s="1"/>
  <c r="F94" i="3"/>
  <c r="H94" i="3" s="1"/>
  <c r="A94" i="3"/>
  <c r="J93" i="3"/>
  <c r="H93" i="3"/>
  <c r="B93" i="3" s="1"/>
  <c r="G93" i="3"/>
  <c r="M93" i="3" s="1"/>
  <c r="F93" i="3"/>
  <c r="A93" i="3"/>
  <c r="J92" i="3"/>
  <c r="G92" i="3"/>
  <c r="M92" i="3" s="1"/>
  <c r="F92" i="3"/>
  <c r="H92" i="3" s="1"/>
  <c r="A92" i="3"/>
  <c r="J91" i="3"/>
  <c r="H91" i="3"/>
  <c r="B91" i="3" s="1"/>
  <c r="G91" i="3"/>
  <c r="M91" i="3" s="1"/>
  <c r="F91" i="3"/>
  <c r="A91" i="3"/>
  <c r="J90" i="3"/>
  <c r="G90" i="3"/>
  <c r="M90" i="3" s="1"/>
  <c r="F90" i="3"/>
  <c r="H90" i="3" s="1"/>
  <c r="A90" i="3"/>
  <c r="J89" i="3"/>
  <c r="H89" i="3"/>
  <c r="B89" i="3" s="1"/>
  <c r="G89" i="3"/>
  <c r="M89" i="3" s="1"/>
  <c r="F89" i="3"/>
  <c r="A89" i="3"/>
  <c r="J88" i="3"/>
  <c r="G88" i="3"/>
  <c r="M88" i="3" s="1"/>
  <c r="F88" i="3"/>
  <c r="H88" i="3" s="1"/>
  <c r="A88" i="3"/>
  <c r="J87" i="3"/>
  <c r="H87" i="3"/>
  <c r="B87" i="3" s="1"/>
  <c r="G87" i="3"/>
  <c r="M87" i="3" s="1"/>
  <c r="F87" i="3"/>
  <c r="A87" i="3"/>
  <c r="J86" i="3"/>
  <c r="G86" i="3"/>
  <c r="M86" i="3" s="1"/>
  <c r="F86" i="3"/>
  <c r="H86" i="3" s="1"/>
  <c r="A86" i="3"/>
  <c r="J85" i="3"/>
  <c r="H85" i="3"/>
  <c r="B85" i="3" s="1"/>
  <c r="G85" i="3"/>
  <c r="M85" i="3" s="1"/>
  <c r="F85" i="3"/>
  <c r="A85" i="3"/>
  <c r="J84" i="3"/>
  <c r="G84" i="3"/>
  <c r="M84" i="3" s="1"/>
  <c r="F84" i="3"/>
  <c r="H84" i="3" s="1"/>
  <c r="A84" i="3"/>
  <c r="J83" i="3"/>
  <c r="H83" i="3"/>
  <c r="B83" i="3" s="1"/>
  <c r="G83" i="3"/>
  <c r="M83" i="3" s="1"/>
  <c r="F83" i="3"/>
  <c r="A83" i="3"/>
  <c r="J82" i="3"/>
  <c r="G82" i="3"/>
  <c r="M82" i="3" s="1"/>
  <c r="F82" i="3"/>
  <c r="H82" i="3" s="1"/>
  <c r="A82" i="3"/>
  <c r="J81" i="3"/>
  <c r="H81" i="3"/>
  <c r="B81" i="3" s="1"/>
  <c r="G81" i="3"/>
  <c r="M81" i="3" s="1"/>
  <c r="F81" i="3"/>
  <c r="A81" i="3"/>
  <c r="J80" i="3"/>
  <c r="G80" i="3"/>
  <c r="M80" i="3" s="1"/>
  <c r="F80" i="3"/>
  <c r="H80" i="3" s="1"/>
  <c r="A80" i="3"/>
  <c r="J79" i="3"/>
  <c r="H79" i="3"/>
  <c r="B79" i="3" s="1"/>
  <c r="G79" i="3"/>
  <c r="M79" i="3" s="1"/>
  <c r="F79" i="3"/>
  <c r="A79" i="3"/>
  <c r="J78" i="3"/>
  <c r="G78" i="3"/>
  <c r="M78" i="3" s="1"/>
  <c r="F78" i="3"/>
  <c r="H78" i="3" s="1"/>
  <c r="A78" i="3"/>
  <c r="J77" i="3"/>
  <c r="H77" i="3"/>
  <c r="B77" i="3" s="1"/>
  <c r="G77" i="3"/>
  <c r="M77" i="3" s="1"/>
  <c r="F77" i="3"/>
  <c r="A77" i="3"/>
  <c r="J76" i="3"/>
  <c r="G76" i="3"/>
  <c r="M76" i="3" s="1"/>
  <c r="F76" i="3"/>
  <c r="H76" i="3" s="1"/>
  <c r="A76" i="3"/>
  <c r="J75" i="3"/>
  <c r="H75" i="3"/>
  <c r="B75" i="3" s="1"/>
  <c r="G75" i="3"/>
  <c r="M75" i="3" s="1"/>
  <c r="F75" i="3"/>
  <c r="A75" i="3"/>
  <c r="J74" i="3"/>
  <c r="G74" i="3"/>
  <c r="M74" i="3" s="1"/>
  <c r="F74" i="3"/>
  <c r="H74" i="3" s="1"/>
  <c r="A74" i="3"/>
  <c r="J73" i="3"/>
  <c r="H73" i="3"/>
  <c r="B73" i="3" s="1"/>
  <c r="G73" i="3"/>
  <c r="M73" i="3" s="1"/>
  <c r="F73" i="3"/>
  <c r="A73" i="3"/>
  <c r="J72" i="3"/>
  <c r="G72" i="3"/>
  <c r="M72" i="3" s="1"/>
  <c r="F72" i="3"/>
  <c r="H72" i="3" s="1"/>
  <c r="A72" i="3"/>
  <c r="J71" i="3"/>
  <c r="H71" i="3"/>
  <c r="B71" i="3" s="1"/>
  <c r="G71" i="3"/>
  <c r="M71" i="3" s="1"/>
  <c r="F71" i="3"/>
  <c r="A71" i="3"/>
  <c r="J70" i="3"/>
  <c r="G70" i="3"/>
  <c r="M70" i="3" s="1"/>
  <c r="F70" i="3"/>
  <c r="H70" i="3" s="1"/>
  <c r="A70" i="3"/>
  <c r="J69" i="3"/>
  <c r="H69" i="3"/>
  <c r="B69" i="3" s="1"/>
  <c r="G69" i="3"/>
  <c r="M69" i="3" s="1"/>
  <c r="F69" i="3"/>
  <c r="A69" i="3"/>
  <c r="J68" i="3"/>
  <c r="G68" i="3"/>
  <c r="M68" i="3" s="1"/>
  <c r="F68" i="3"/>
  <c r="H68" i="3" s="1"/>
  <c r="A68" i="3"/>
  <c r="J67" i="3"/>
  <c r="H67" i="3"/>
  <c r="B67" i="3" s="1"/>
  <c r="G67" i="3"/>
  <c r="M67" i="3" s="1"/>
  <c r="F67" i="3"/>
  <c r="A67" i="3"/>
  <c r="J66" i="3"/>
  <c r="G66" i="3"/>
  <c r="M66" i="3" s="1"/>
  <c r="F66" i="3"/>
  <c r="H66" i="3" s="1"/>
  <c r="A66" i="3"/>
  <c r="J65" i="3"/>
  <c r="H65" i="3"/>
  <c r="B65" i="3" s="1"/>
  <c r="G65" i="3"/>
  <c r="M65" i="3" s="1"/>
  <c r="F65" i="3"/>
  <c r="A65" i="3"/>
  <c r="J64" i="3"/>
  <c r="G64" i="3"/>
  <c r="M64" i="3" s="1"/>
  <c r="F64" i="3"/>
  <c r="H64" i="3" s="1"/>
  <c r="A64" i="3"/>
  <c r="J63" i="3"/>
  <c r="H63" i="3"/>
  <c r="B63" i="3" s="1"/>
  <c r="G63" i="3"/>
  <c r="M63" i="3" s="1"/>
  <c r="F63" i="3"/>
  <c r="A63" i="3"/>
  <c r="J62" i="3"/>
  <c r="G62" i="3"/>
  <c r="M62" i="3" s="1"/>
  <c r="F62" i="3"/>
  <c r="H62" i="3" s="1"/>
  <c r="A62" i="3"/>
  <c r="J61" i="3"/>
  <c r="H61" i="3"/>
  <c r="B61" i="3" s="1"/>
  <c r="G61" i="3"/>
  <c r="M61" i="3" s="1"/>
  <c r="F61" i="3"/>
  <c r="A61" i="3"/>
  <c r="J60" i="3"/>
  <c r="G60" i="3"/>
  <c r="M60" i="3" s="1"/>
  <c r="F60" i="3"/>
  <c r="H60" i="3" s="1"/>
  <c r="A60" i="3"/>
  <c r="J59" i="3"/>
  <c r="H59" i="3"/>
  <c r="B59" i="3" s="1"/>
  <c r="G59" i="3"/>
  <c r="M59" i="3" s="1"/>
  <c r="F59" i="3"/>
  <c r="A59" i="3"/>
  <c r="J58" i="3"/>
  <c r="G58" i="3"/>
  <c r="M58" i="3" s="1"/>
  <c r="F58" i="3"/>
  <c r="H58" i="3" s="1"/>
  <c r="A58" i="3"/>
  <c r="J57" i="3"/>
  <c r="H57" i="3"/>
  <c r="B57" i="3" s="1"/>
  <c r="G57" i="3"/>
  <c r="M57" i="3" s="1"/>
  <c r="F57" i="3"/>
  <c r="A57" i="3"/>
  <c r="J56" i="3"/>
  <c r="G56" i="3"/>
  <c r="M56" i="3" s="1"/>
  <c r="F56" i="3"/>
  <c r="H56" i="3" s="1"/>
  <c r="A56" i="3"/>
  <c r="J55" i="3"/>
  <c r="H55" i="3"/>
  <c r="B55" i="3" s="1"/>
  <c r="G55" i="3"/>
  <c r="M55" i="3" s="1"/>
  <c r="F55" i="3"/>
  <c r="A55" i="3"/>
  <c r="J54" i="3"/>
  <c r="G54" i="3"/>
  <c r="M54" i="3" s="1"/>
  <c r="F54" i="3"/>
  <c r="H54" i="3" s="1"/>
  <c r="A54" i="3"/>
  <c r="J53" i="3"/>
  <c r="H53" i="3"/>
  <c r="B53" i="3" s="1"/>
  <c r="G53" i="3"/>
  <c r="M53" i="3" s="1"/>
  <c r="F53" i="3"/>
  <c r="A53" i="3"/>
  <c r="J52" i="3"/>
  <c r="G52" i="3"/>
  <c r="M52" i="3" s="1"/>
  <c r="F52" i="3"/>
  <c r="H52" i="3" s="1"/>
  <c r="A52" i="3"/>
  <c r="J51" i="3"/>
  <c r="H51" i="3"/>
  <c r="B51" i="3" s="1"/>
  <c r="G51" i="3"/>
  <c r="M51" i="3" s="1"/>
  <c r="F51" i="3"/>
  <c r="A51" i="3"/>
  <c r="J50" i="3"/>
  <c r="G50" i="3"/>
  <c r="M50" i="3" s="1"/>
  <c r="F50" i="3"/>
  <c r="H50" i="3" s="1"/>
  <c r="A50" i="3"/>
  <c r="J49" i="3"/>
  <c r="H49" i="3"/>
  <c r="B49" i="3" s="1"/>
  <c r="G49" i="3"/>
  <c r="M49" i="3" s="1"/>
  <c r="F49" i="3"/>
  <c r="A49" i="3"/>
  <c r="J48" i="3"/>
  <c r="G48" i="3"/>
  <c r="M48" i="3" s="1"/>
  <c r="F48" i="3"/>
  <c r="H48" i="3" s="1"/>
  <c r="A48" i="3"/>
  <c r="J47" i="3"/>
  <c r="H47" i="3"/>
  <c r="B47" i="3" s="1"/>
  <c r="G47" i="3"/>
  <c r="M47" i="3" s="1"/>
  <c r="F47" i="3"/>
  <c r="A47" i="3"/>
  <c r="J46" i="3"/>
  <c r="G46" i="3"/>
  <c r="M46" i="3" s="1"/>
  <c r="F46" i="3"/>
  <c r="H46" i="3" s="1"/>
  <c r="A46" i="3"/>
  <c r="J45" i="3"/>
  <c r="H45" i="3"/>
  <c r="B45" i="3" s="1"/>
  <c r="G45" i="3"/>
  <c r="M45" i="3" s="1"/>
  <c r="F45" i="3"/>
  <c r="A45" i="3"/>
  <c r="J44" i="3"/>
  <c r="G44" i="3"/>
  <c r="M44" i="3" s="1"/>
  <c r="F44" i="3"/>
  <c r="H44" i="3" s="1"/>
  <c r="A44" i="3"/>
  <c r="J43" i="3"/>
  <c r="H43" i="3"/>
  <c r="B43" i="3" s="1"/>
  <c r="G43" i="3"/>
  <c r="M43" i="3" s="1"/>
  <c r="F43" i="3"/>
  <c r="A43" i="3"/>
  <c r="J42" i="3"/>
  <c r="G42" i="3"/>
  <c r="M42" i="3" s="1"/>
  <c r="F42" i="3"/>
  <c r="H42" i="3" s="1"/>
  <c r="A42" i="3"/>
  <c r="J41" i="3"/>
  <c r="H41" i="3"/>
  <c r="B41" i="3" s="1"/>
  <c r="G41" i="3"/>
  <c r="M41" i="3" s="1"/>
  <c r="F41" i="3"/>
  <c r="A41" i="3"/>
  <c r="J40" i="3"/>
  <c r="G40" i="3"/>
  <c r="M40" i="3" s="1"/>
  <c r="F40" i="3"/>
  <c r="H40" i="3" s="1"/>
  <c r="A40" i="3"/>
  <c r="J39" i="3"/>
  <c r="H39" i="3"/>
  <c r="B39" i="3" s="1"/>
  <c r="G39" i="3"/>
  <c r="M39" i="3" s="1"/>
  <c r="F39" i="3"/>
  <c r="A39" i="3"/>
  <c r="J38" i="3"/>
  <c r="G38" i="3"/>
  <c r="M38" i="3" s="1"/>
  <c r="F38" i="3"/>
  <c r="H38" i="3" s="1"/>
  <c r="A38" i="3"/>
  <c r="J37" i="3"/>
  <c r="H37" i="3"/>
  <c r="B37" i="3" s="1"/>
  <c r="G37" i="3"/>
  <c r="M37" i="3" s="1"/>
  <c r="F37" i="3"/>
  <c r="A37" i="3"/>
  <c r="J36" i="3"/>
  <c r="G36" i="3"/>
  <c r="M36" i="3" s="1"/>
  <c r="F36" i="3"/>
  <c r="H36" i="3" s="1"/>
  <c r="A36" i="3"/>
  <c r="J35" i="3"/>
  <c r="H35" i="3"/>
  <c r="B35" i="3" s="1"/>
  <c r="G35" i="3"/>
  <c r="M35" i="3" s="1"/>
  <c r="F35" i="3"/>
  <c r="A35" i="3"/>
  <c r="J34" i="3"/>
  <c r="G34" i="3"/>
  <c r="M34" i="3" s="1"/>
  <c r="F34" i="3"/>
  <c r="H34" i="3" s="1"/>
  <c r="A34" i="3"/>
  <c r="J33" i="3"/>
  <c r="H33" i="3"/>
  <c r="B33" i="3" s="1"/>
  <c r="G33" i="3"/>
  <c r="M33" i="3" s="1"/>
  <c r="F33" i="3"/>
  <c r="A33" i="3"/>
  <c r="J32" i="3"/>
  <c r="G32" i="3"/>
  <c r="M32" i="3" s="1"/>
  <c r="F32" i="3"/>
  <c r="H32" i="3" s="1"/>
  <c r="A32" i="3"/>
  <c r="J31" i="3"/>
  <c r="H31" i="3"/>
  <c r="B31" i="3" s="1"/>
  <c r="G31" i="3"/>
  <c r="M31" i="3" s="1"/>
  <c r="F31" i="3"/>
  <c r="A31" i="3"/>
  <c r="J30" i="3"/>
  <c r="G30" i="3"/>
  <c r="M30" i="3" s="1"/>
  <c r="F30" i="3"/>
  <c r="H30" i="3" s="1"/>
  <c r="A30" i="3"/>
  <c r="J29" i="3"/>
  <c r="H29" i="3"/>
  <c r="B29" i="3" s="1"/>
  <c r="G29" i="3"/>
  <c r="M29" i="3" s="1"/>
  <c r="F29" i="3"/>
  <c r="A29" i="3"/>
  <c r="J28" i="3"/>
  <c r="G28" i="3"/>
  <c r="M28" i="3" s="1"/>
  <c r="F28" i="3"/>
  <c r="H28" i="3" s="1"/>
  <c r="A28" i="3"/>
  <c r="J27" i="3"/>
  <c r="H27" i="3"/>
  <c r="B27" i="3" s="1"/>
  <c r="G27" i="3"/>
  <c r="M27" i="3" s="1"/>
  <c r="F27" i="3"/>
  <c r="A27" i="3"/>
  <c r="J26" i="3"/>
  <c r="G26" i="3"/>
  <c r="M26" i="3" s="1"/>
  <c r="F26" i="3"/>
  <c r="H26" i="3" s="1"/>
  <c r="A26" i="3"/>
  <c r="J25" i="3"/>
  <c r="H25" i="3"/>
  <c r="B25" i="3" s="1"/>
  <c r="G25" i="3"/>
  <c r="M25" i="3" s="1"/>
  <c r="F25" i="3"/>
  <c r="A25" i="3"/>
  <c r="J24" i="3"/>
  <c r="G24" i="3"/>
  <c r="M24" i="3" s="1"/>
  <c r="F24" i="3"/>
  <c r="H24" i="3" s="1"/>
  <c r="A24" i="3"/>
  <c r="J23" i="3"/>
  <c r="H23" i="3"/>
  <c r="B23" i="3" s="1"/>
  <c r="G23" i="3"/>
  <c r="M23" i="3" s="1"/>
  <c r="F23" i="3"/>
  <c r="A23" i="3"/>
  <c r="J22" i="3"/>
  <c r="G22" i="3"/>
  <c r="M22" i="3" s="1"/>
  <c r="F22" i="3"/>
  <c r="H22" i="3" s="1"/>
  <c r="A22" i="3"/>
  <c r="J21" i="3"/>
  <c r="H21" i="3"/>
  <c r="B21" i="3" s="1"/>
  <c r="G21" i="3"/>
  <c r="M21" i="3" s="1"/>
  <c r="F21" i="3"/>
  <c r="A21" i="3"/>
  <c r="J20" i="3"/>
  <c r="G20" i="3"/>
  <c r="M20" i="3" s="1"/>
  <c r="F20" i="3"/>
  <c r="H20" i="3" s="1"/>
  <c r="A20" i="3"/>
  <c r="J19" i="3"/>
  <c r="H19" i="3"/>
  <c r="B19" i="3" s="1"/>
  <c r="G19" i="3"/>
  <c r="M19" i="3" s="1"/>
  <c r="F19" i="3"/>
  <c r="J18" i="3"/>
  <c r="G18" i="3"/>
  <c r="M18" i="3" s="1"/>
  <c r="F18" i="3"/>
  <c r="H18" i="3" s="1"/>
  <c r="A18" i="3"/>
  <c r="J17" i="3"/>
  <c r="H17" i="3"/>
  <c r="B17" i="3" s="1"/>
  <c r="G17" i="3"/>
  <c r="M17" i="3" s="1"/>
  <c r="F17" i="3"/>
  <c r="A17" i="3"/>
  <c r="J16" i="3"/>
  <c r="G16" i="3"/>
  <c r="M16" i="3" s="1"/>
  <c r="F16" i="3"/>
  <c r="H16" i="3" s="1"/>
  <c r="A16" i="3"/>
  <c r="J15" i="3"/>
  <c r="H15" i="3"/>
  <c r="B15" i="3" s="1"/>
  <c r="G15" i="3"/>
  <c r="M15" i="3" s="1"/>
  <c r="F15" i="3"/>
  <c r="A15" i="3"/>
  <c r="J14" i="3"/>
  <c r="G14" i="3"/>
  <c r="M14" i="3" s="1"/>
  <c r="F14" i="3"/>
  <c r="H14" i="3" s="1"/>
  <c r="A14" i="3"/>
  <c r="J13" i="3"/>
  <c r="H13" i="3"/>
  <c r="B13" i="3" s="1"/>
  <c r="G13" i="3"/>
  <c r="M13" i="3" s="1"/>
  <c r="F13" i="3"/>
  <c r="A13" i="3"/>
  <c r="J12" i="3"/>
  <c r="G12" i="3"/>
  <c r="M12" i="3" s="1"/>
  <c r="F12" i="3"/>
  <c r="H12" i="3" s="1"/>
  <c r="L12" i="3" s="1"/>
  <c r="A12" i="3"/>
  <c r="J11" i="3"/>
  <c r="G11" i="3"/>
  <c r="H11" i="3" s="1"/>
  <c r="L11" i="3" s="1"/>
  <c r="F11" i="3"/>
  <c r="A11" i="3"/>
  <c r="J10" i="3"/>
  <c r="G10" i="3"/>
  <c r="M10" i="3" s="1"/>
  <c r="F10" i="3"/>
  <c r="H10" i="3" s="1"/>
  <c r="L10" i="3" s="1"/>
  <c r="A10" i="3"/>
  <c r="J9" i="3"/>
  <c r="G9" i="3"/>
  <c r="H9" i="3" s="1"/>
  <c r="L9" i="3" s="1"/>
  <c r="F9" i="3"/>
  <c r="A9" i="3"/>
  <c r="J8" i="3"/>
  <c r="H8" i="3"/>
  <c r="L8" i="3" s="1"/>
  <c r="G8" i="3"/>
  <c r="M8" i="3" s="1"/>
  <c r="F8" i="3"/>
  <c r="A8" i="3"/>
  <c r="M7" i="3"/>
  <c r="J7" i="3"/>
  <c r="G7" i="3"/>
  <c r="H7" i="3" s="1"/>
  <c r="L7" i="3" s="1"/>
  <c r="F7" i="3"/>
  <c r="A7" i="3"/>
  <c r="J6" i="3"/>
  <c r="H6" i="3"/>
  <c r="L6" i="3" s="1"/>
  <c r="G6" i="3"/>
  <c r="M6" i="3" s="1"/>
  <c r="F6" i="3"/>
  <c r="A6" i="3"/>
  <c r="M5" i="3"/>
  <c r="J5" i="3"/>
  <c r="G5" i="3"/>
  <c r="H5" i="3" s="1"/>
  <c r="L5" i="3" s="1"/>
  <c r="F5" i="3"/>
  <c r="A5" i="3"/>
  <c r="J4" i="3"/>
  <c r="G4" i="3"/>
  <c r="M4" i="3" s="1"/>
  <c r="F4" i="3"/>
  <c r="H4" i="3" s="1"/>
  <c r="L4" i="3" s="1"/>
  <c r="A4" i="3"/>
  <c r="AK101" i="1" l="1" a="1"/>
  <c r="AK101" i="1" s="1"/>
  <c r="AC97" i="1" a="1"/>
  <c r="AC97" i="1" s="1"/>
  <c r="AW77" i="1" a="1"/>
  <c r="AW77" i="1" s="1"/>
  <c r="AF73" i="1" s="1"/>
  <c r="R77" i="1" s="1"/>
  <c r="AV77" i="1" a="1"/>
  <c r="AV77" i="1" s="1"/>
  <c r="AF72" i="1" s="1"/>
  <c r="AW20" i="1" a="1"/>
  <c r="AW20" i="1" s="1"/>
  <c r="AU20" i="1" a="1"/>
  <c r="AU20" i="1" s="1"/>
  <c r="AV20" i="1" a="1"/>
  <c r="AV20" i="1" s="1"/>
  <c r="AU75" i="1" a="1"/>
  <c r="AU75" i="1" s="1"/>
  <c r="X71" i="1" s="1"/>
  <c r="AV75" i="1" a="1"/>
  <c r="AV75" i="1" s="1"/>
  <c r="X72" i="1" s="1"/>
  <c r="AW75" i="1" a="1"/>
  <c r="AW75" i="1" s="1"/>
  <c r="X73" i="1" s="1"/>
  <c r="R76" i="1" s="1"/>
  <c r="B26" i="3"/>
  <c r="L26" i="3"/>
  <c r="B50" i="3"/>
  <c r="L50" i="3"/>
  <c r="B66" i="3"/>
  <c r="L66" i="3"/>
  <c r="B82" i="3"/>
  <c r="L82" i="3"/>
  <c r="B20" i="3"/>
  <c r="L20" i="3"/>
  <c r="B28" i="3"/>
  <c r="L28" i="3"/>
  <c r="B36" i="3"/>
  <c r="L36" i="3"/>
  <c r="B44" i="3"/>
  <c r="L44" i="3"/>
  <c r="B52" i="3"/>
  <c r="L52" i="3"/>
  <c r="B60" i="3"/>
  <c r="L60" i="3"/>
  <c r="B68" i="3"/>
  <c r="L68" i="3"/>
  <c r="B76" i="3"/>
  <c r="L76" i="3"/>
  <c r="B84" i="3"/>
  <c r="L84" i="3"/>
  <c r="B92" i="3"/>
  <c r="L92" i="3"/>
  <c r="B100" i="3"/>
  <c r="L100" i="3"/>
  <c r="B42" i="3"/>
  <c r="L42" i="3"/>
  <c r="B90" i="3"/>
  <c r="L90" i="3"/>
  <c r="B22" i="3"/>
  <c r="L22" i="3"/>
  <c r="B38" i="3"/>
  <c r="L38" i="3"/>
  <c r="B46" i="3"/>
  <c r="L46" i="3"/>
  <c r="B54" i="3"/>
  <c r="L54" i="3"/>
  <c r="B62" i="3"/>
  <c r="L62" i="3"/>
  <c r="B70" i="3"/>
  <c r="L70" i="3"/>
  <c r="B78" i="3"/>
  <c r="L78" i="3"/>
  <c r="B86" i="3"/>
  <c r="L86" i="3"/>
  <c r="B94" i="3"/>
  <c r="L94" i="3"/>
  <c r="B18" i="3"/>
  <c r="L18" i="3"/>
  <c r="B34" i="3"/>
  <c r="L34" i="3"/>
  <c r="B58" i="3"/>
  <c r="L58" i="3"/>
  <c r="B74" i="3"/>
  <c r="L74" i="3"/>
  <c r="B98" i="3"/>
  <c r="L98" i="3"/>
  <c r="B14" i="3"/>
  <c r="L14" i="3"/>
  <c r="B30" i="3"/>
  <c r="L30" i="3"/>
  <c r="B16" i="3"/>
  <c r="L16" i="3"/>
  <c r="B24" i="3"/>
  <c r="L24" i="3"/>
  <c r="B32" i="3"/>
  <c r="L32" i="3"/>
  <c r="B40" i="3"/>
  <c r="L40" i="3"/>
  <c r="B48" i="3"/>
  <c r="L48" i="3"/>
  <c r="B56" i="3"/>
  <c r="L56" i="3"/>
  <c r="B64" i="3"/>
  <c r="L64" i="3"/>
  <c r="B72" i="3"/>
  <c r="L72" i="3"/>
  <c r="B80" i="3"/>
  <c r="L80" i="3"/>
  <c r="B88" i="3"/>
  <c r="L88" i="3"/>
  <c r="B96" i="3"/>
  <c r="L96" i="3"/>
  <c r="Q20" i="4"/>
  <c r="B20" i="4"/>
  <c r="R21" i="4"/>
  <c r="H21" i="4"/>
  <c r="Q35" i="4"/>
  <c r="B35" i="4"/>
  <c r="L74" i="4"/>
  <c r="Q74" i="4"/>
  <c r="B74" i="4"/>
  <c r="R246" i="4"/>
  <c r="H246" i="4"/>
  <c r="M246" i="4"/>
  <c r="Q278" i="4"/>
  <c r="B278" i="4"/>
  <c r="L278" i="4"/>
  <c r="L23" i="5"/>
  <c r="B23" i="5"/>
  <c r="L25" i="5"/>
  <c r="B25" i="5"/>
  <c r="L31" i="5"/>
  <c r="B31" i="5"/>
  <c r="L37" i="5"/>
  <c r="B37" i="5"/>
  <c r="L39" i="5"/>
  <c r="B39" i="5"/>
  <c r="L165" i="5"/>
  <c r="B165" i="5"/>
  <c r="L176" i="5"/>
  <c r="J176" i="5"/>
  <c r="L192" i="5"/>
  <c r="J192" i="5"/>
  <c r="L200" i="5"/>
  <c r="J200" i="5"/>
  <c r="L205" i="5"/>
  <c r="B205" i="5"/>
  <c r="L208" i="5"/>
  <c r="J208" i="5"/>
  <c r="L213" i="5"/>
  <c r="B213" i="5"/>
  <c r="L216" i="5"/>
  <c r="J216" i="5"/>
  <c r="L221" i="5"/>
  <c r="B221" i="5"/>
  <c r="L224" i="5"/>
  <c r="J224" i="5"/>
  <c r="L257" i="5"/>
  <c r="J257" i="5"/>
  <c r="L265" i="5"/>
  <c r="J265" i="5"/>
  <c r="L273" i="5"/>
  <c r="J273" i="5"/>
  <c r="L281" i="5"/>
  <c r="J281" i="5"/>
  <c r="L289" i="5"/>
  <c r="J289" i="5"/>
  <c r="L297" i="5"/>
  <c r="J297" i="5"/>
  <c r="L307" i="5"/>
  <c r="J307" i="5"/>
  <c r="J316" i="5"/>
  <c r="L316" i="5"/>
  <c r="L327" i="5"/>
  <c r="J327" i="5"/>
  <c r="M11" i="3"/>
  <c r="L13" i="3"/>
  <c r="L15" i="3"/>
  <c r="L17" i="3"/>
  <c r="L19" i="3"/>
  <c r="L21" i="3"/>
  <c r="L23" i="3"/>
  <c r="L25" i="3"/>
  <c r="L27" i="3"/>
  <c r="L29" i="3"/>
  <c r="L31" i="3"/>
  <c r="L33" i="3"/>
  <c r="L35" i="3"/>
  <c r="L37" i="3"/>
  <c r="L39" i="3"/>
  <c r="L41" i="3"/>
  <c r="L43" i="3"/>
  <c r="L45" i="3"/>
  <c r="L47" i="3"/>
  <c r="L49" i="3"/>
  <c r="L51" i="3"/>
  <c r="L53" i="3"/>
  <c r="L55" i="3"/>
  <c r="L57" i="3"/>
  <c r="L59" i="3"/>
  <c r="L61" i="3"/>
  <c r="L63" i="3"/>
  <c r="L65" i="3"/>
  <c r="L67" i="3"/>
  <c r="L69" i="3"/>
  <c r="L71" i="3"/>
  <c r="L73" i="3"/>
  <c r="L75" i="3"/>
  <c r="L77" i="3"/>
  <c r="L79" i="3"/>
  <c r="L81" i="3"/>
  <c r="L83" i="3"/>
  <c r="L85" i="3"/>
  <c r="L87" i="3"/>
  <c r="L89" i="3"/>
  <c r="L91" i="3"/>
  <c r="L93" i="3"/>
  <c r="L95" i="3"/>
  <c r="L97" i="3"/>
  <c r="L99" i="3"/>
  <c r="L102" i="3"/>
  <c r="L106" i="3"/>
  <c r="L110" i="3"/>
  <c r="L114" i="3"/>
  <c r="L118" i="3"/>
  <c r="L122" i="3"/>
  <c r="L126" i="3"/>
  <c r="L130" i="3"/>
  <c r="L134" i="3"/>
  <c r="L138" i="3"/>
  <c r="L142" i="3"/>
  <c r="L147" i="3"/>
  <c r="L151" i="3"/>
  <c r="L155" i="3"/>
  <c r="L159" i="3"/>
  <c r="L163" i="3"/>
  <c r="L167" i="3"/>
  <c r="L171" i="3"/>
  <c r="L175" i="3"/>
  <c r="L179" i="3"/>
  <c r="L183" i="3"/>
  <c r="L187" i="3"/>
  <c r="L191" i="3"/>
  <c r="L195" i="3"/>
  <c r="L199" i="3"/>
  <c r="L203" i="3"/>
  <c r="L207" i="3"/>
  <c r="L211" i="3"/>
  <c r="L215" i="3"/>
  <c r="L219" i="3"/>
  <c r="L223" i="3"/>
  <c r="L227" i="3"/>
  <c r="L231" i="3"/>
  <c r="L235" i="3"/>
  <c r="L239" i="3"/>
  <c r="L243" i="3"/>
  <c r="L247" i="3"/>
  <c r="L251" i="3"/>
  <c r="Q7" i="4"/>
  <c r="L14" i="4"/>
  <c r="Q14" i="4"/>
  <c r="B14" i="4"/>
  <c r="Q16" i="4"/>
  <c r="B16" i="4"/>
  <c r="R17" i="4"/>
  <c r="H17" i="4"/>
  <c r="B19" i="4"/>
  <c r="Q23" i="4"/>
  <c r="L30" i="4"/>
  <c r="Q30" i="4"/>
  <c r="B30" i="4"/>
  <c r="L32" i="4"/>
  <c r="B32" i="4"/>
  <c r="Q32" i="4"/>
  <c r="L36" i="4"/>
  <c r="B36" i="4"/>
  <c r="Q36" i="4"/>
  <c r="L58" i="4"/>
  <c r="Q58" i="4"/>
  <c r="B58" i="4"/>
  <c r="R80" i="4"/>
  <c r="H80" i="4"/>
  <c r="M80" i="4"/>
  <c r="R94" i="4"/>
  <c r="M94" i="4"/>
  <c r="H94" i="4"/>
  <c r="H97" i="4"/>
  <c r="M97" i="4"/>
  <c r="R97" i="4"/>
  <c r="R178" i="4"/>
  <c r="H178" i="4"/>
  <c r="M178" i="4"/>
  <c r="R5" i="4"/>
  <c r="H5" i="4"/>
  <c r="L18" i="4"/>
  <c r="Q18" i="4"/>
  <c r="B18" i="4"/>
  <c r="H34" i="4"/>
  <c r="M34" i="4"/>
  <c r="R34" i="4"/>
  <c r="L61" i="4"/>
  <c r="Q61" i="4"/>
  <c r="B61" i="4"/>
  <c r="L191" i="4"/>
  <c r="Q191" i="4"/>
  <c r="B191" i="4"/>
  <c r="Q270" i="4"/>
  <c r="B270" i="4"/>
  <c r="L270" i="4"/>
  <c r="L29" i="5"/>
  <c r="B29" i="5"/>
  <c r="L47" i="5"/>
  <c r="B47" i="5"/>
  <c r="L139" i="5"/>
  <c r="B139" i="5"/>
  <c r="L143" i="5"/>
  <c r="B143" i="5"/>
  <c r="L152" i="5"/>
  <c r="J152" i="5"/>
  <c r="L157" i="5"/>
  <c r="B157" i="5"/>
  <c r="L168" i="5"/>
  <c r="J168" i="5"/>
  <c r="L173" i="5"/>
  <c r="B173" i="5"/>
  <c r="L181" i="5"/>
  <c r="B181" i="5"/>
  <c r="L189" i="5"/>
  <c r="B189" i="5"/>
  <c r="M9" i="3"/>
  <c r="M5" i="4"/>
  <c r="L10" i="4"/>
  <c r="Q10" i="4"/>
  <c r="B10" i="4"/>
  <c r="Q12" i="4"/>
  <c r="B12" i="4"/>
  <c r="R13" i="4"/>
  <c r="H13" i="4"/>
  <c r="B15" i="4"/>
  <c r="M21" i="4"/>
  <c r="L26" i="4"/>
  <c r="Q26" i="4"/>
  <c r="B26" i="4"/>
  <c r="Q28" i="4"/>
  <c r="B28" i="4"/>
  <c r="R29" i="4"/>
  <c r="H29" i="4"/>
  <c r="B31" i="4"/>
  <c r="R64" i="4"/>
  <c r="H64" i="4"/>
  <c r="M64" i="4"/>
  <c r="Q79" i="4"/>
  <c r="B79" i="4"/>
  <c r="L79" i="4"/>
  <c r="L92" i="4"/>
  <c r="B92" i="4"/>
  <c r="Q92" i="4"/>
  <c r="R142" i="4"/>
  <c r="M142" i="4"/>
  <c r="H142" i="4"/>
  <c r="Q4" i="4"/>
  <c r="B4" i="4"/>
  <c r="L115" i="4"/>
  <c r="Q115" i="4"/>
  <c r="B115" i="4"/>
  <c r="Q233" i="4"/>
  <c r="B233" i="4"/>
  <c r="L233" i="4"/>
  <c r="L259" i="4"/>
  <c r="Q259" i="4"/>
  <c r="B259" i="4"/>
  <c r="Q274" i="4"/>
  <c r="B274" i="4"/>
  <c r="L274" i="4"/>
  <c r="L21" i="5"/>
  <c r="B21" i="5"/>
  <c r="L27" i="5"/>
  <c r="B27" i="5"/>
  <c r="L33" i="5"/>
  <c r="B33" i="5"/>
  <c r="L35" i="5"/>
  <c r="B35" i="5"/>
  <c r="L41" i="5"/>
  <c r="B41" i="5"/>
  <c r="L43" i="5"/>
  <c r="B43" i="5"/>
  <c r="L45" i="5"/>
  <c r="B45" i="5"/>
  <c r="L141" i="5"/>
  <c r="B141" i="5"/>
  <c r="L160" i="5"/>
  <c r="J160" i="5"/>
  <c r="L184" i="5"/>
  <c r="J184" i="5"/>
  <c r="L197" i="5"/>
  <c r="B197" i="5"/>
  <c r="L104" i="3"/>
  <c r="L108" i="3"/>
  <c r="L112" i="3"/>
  <c r="L116" i="3"/>
  <c r="L120" i="3"/>
  <c r="L124" i="3"/>
  <c r="L128" i="3"/>
  <c r="L132" i="3"/>
  <c r="L136" i="3"/>
  <c r="L140" i="3"/>
  <c r="L144" i="3"/>
  <c r="L149" i="3"/>
  <c r="L153" i="3"/>
  <c r="L157" i="3"/>
  <c r="L161" i="3"/>
  <c r="L165" i="3"/>
  <c r="L169" i="3"/>
  <c r="L173" i="3"/>
  <c r="L177" i="3"/>
  <c r="L181" i="3"/>
  <c r="L185" i="3"/>
  <c r="L189" i="3"/>
  <c r="L193" i="3"/>
  <c r="L197" i="3"/>
  <c r="L201" i="3"/>
  <c r="L205" i="3"/>
  <c r="L209" i="3"/>
  <c r="L213" i="3"/>
  <c r="L217" i="3"/>
  <c r="L221" i="3"/>
  <c r="L225" i="3"/>
  <c r="L229" i="3"/>
  <c r="L233" i="3"/>
  <c r="L237" i="3"/>
  <c r="L241" i="3"/>
  <c r="L245" i="3"/>
  <c r="L249" i="3"/>
  <c r="L4" i="4"/>
  <c r="L6" i="4"/>
  <c r="Q6" i="4"/>
  <c r="B6" i="4"/>
  <c r="Q8" i="4"/>
  <c r="B8" i="4"/>
  <c r="R9" i="4"/>
  <c r="H9" i="4"/>
  <c r="Q15" i="4"/>
  <c r="L20" i="4"/>
  <c r="L22" i="4"/>
  <c r="Q22" i="4"/>
  <c r="B22" i="4"/>
  <c r="Q24" i="4"/>
  <c r="B24" i="4"/>
  <c r="R25" i="4"/>
  <c r="H25" i="4"/>
  <c r="Q31" i="4"/>
  <c r="L35" i="4"/>
  <c r="L37" i="4"/>
  <c r="B37" i="4"/>
  <c r="Q37" i="4"/>
  <c r="Q39" i="4"/>
  <c r="B39" i="4"/>
  <c r="L39" i="4"/>
  <c r="Q63" i="4"/>
  <c r="B63" i="4"/>
  <c r="L63" i="4"/>
  <c r="L77" i="4"/>
  <c r="Q77" i="4"/>
  <c r="B77" i="4"/>
  <c r="L140" i="4"/>
  <c r="B140" i="4"/>
  <c r="Q140" i="4"/>
  <c r="L381" i="5"/>
  <c r="J381" i="5"/>
  <c r="L413" i="5"/>
  <c r="J413" i="5"/>
  <c r="R7" i="4"/>
  <c r="R11" i="4"/>
  <c r="R15" i="4"/>
  <c r="R19" i="4"/>
  <c r="R23" i="4"/>
  <c r="R27" i="4"/>
  <c r="R31" i="4"/>
  <c r="L33" i="4"/>
  <c r="M38" i="4"/>
  <c r="R39" i="4"/>
  <c r="L41" i="4"/>
  <c r="L57" i="4"/>
  <c r="Q57" i="4"/>
  <c r="B57" i="4"/>
  <c r="Q59" i="4"/>
  <c r="B59" i="4"/>
  <c r="R60" i="4"/>
  <c r="H60" i="4"/>
  <c r="B62" i="4"/>
  <c r="Q66" i="4"/>
  <c r="L73" i="4"/>
  <c r="Q73" i="4"/>
  <c r="B73" i="4"/>
  <c r="Q75" i="4"/>
  <c r="B75" i="4"/>
  <c r="R76" i="4"/>
  <c r="H76" i="4"/>
  <c r="B78" i="4"/>
  <c r="Q82" i="4"/>
  <c r="H85" i="4"/>
  <c r="M85" i="4"/>
  <c r="R85" i="4"/>
  <c r="L96" i="4"/>
  <c r="B96" i="4"/>
  <c r="R98" i="4"/>
  <c r="M98" i="4"/>
  <c r="H98" i="4"/>
  <c r="H101" i="4"/>
  <c r="M101" i="4"/>
  <c r="R101" i="4"/>
  <c r="L114" i="4"/>
  <c r="Q114" i="4"/>
  <c r="B114" i="4"/>
  <c r="H117" i="4"/>
  <c r="M117" i="4"/>
  <c r="R117" i="4"/>
  <c r="L175" i="4"/>
  <c r="Q175" i="4"/>
  <c r="B175" i="4"/>
  <c r="R198" i="4"/>
  <c r="H198" i="4"/>
  <c r="M198" i="4"/>
  <c r="R206" i="4"/>
  <c r="H206" i="4"/>
  <c r="M206" i="4"/>
  <c r="R214" i="4"/>
  <c r="H214" i="4"/>
  <c r="M214" i="4"/>
  <c r="R222" i="4"/>
  <c r="H222" i="4"/>
  <c r="M222" i="4"/>
  <c r="R230" i="4"/>
  <c r="H230" i="4"/>
  <c r="M230" i="4"/>
  <c r="L243" i="4"/>
  <c r="Q243" i="4"/>
  <c r="B243" i="4"/>
  <c r="M7" i="4"/>
  <c r="M11" i="4"/>
  <c r="M15" i="4"/>
  <c r="M19" i="4"/>
  <c r="M23" i="4"/>
  <c r="M27" i="4"/>
  <c r="M31" i="4"/>
  <c r="Q40" i="4"/>
  <c r="L53" i="4"/>
  <c r="Q53" i="4"/>
  <c r="B53" i="4"/>
  <c r="Q55" i="4"/>
  <c r="B55" i="4"/>
  <c r="R56" i="4"/>
  <c r="H56" i="4"/>
  <c r="L69" i="4"/>
  <c r="Q69" i="4"/>
  <c r="B69" i="4"/>
  <c r="Q71" i="4"/>
  <c r="B71" i="4"/>
  <c r="R72" i="4"/>
  <c r="H72" i="4"/>
  <c r="R86" i="4"/>
  <c r="M86" i="4"/>
  <c r="H86" i="4"/>
  <c r="H89" i="4"/>
  <c r="M89" i="4"/>
  <c r="R89" i="4"/>
  <c r="L100" i="4"/>
  <c r="B100" i="4"/>
  <c r="R102" i="4"/>
  <c r="M102" i="4"/>
  <c r="H102" i="4"/>
  <c r="L116" i="4"/>
  <c r="B116" i="4"/>
  <c r="R118" i="4"/>
  <c r="M118" i="4"/>
  <c r="H118" i="4"/>
  <c r="L139" i="4"/>
  <c r="Q139" i="4"/>
  <c r="B139" i="4"/>
  <c r="Q265" i="4"/>
  <c r="B265" i="4"/>
  <c r="L265" i="4"/>
  <c r="B40" i="4"/>
  <c r="H42" i="4"/>
  <c r="R42" i="4"/>
  <c r="Q43" i="4"/>
  <c r="B43" i="4"/>
  <c r="R44" i="4"/>
  <c r="H44" i="4"/>
  <c r="Q45" i="4"/>
  <c r="B45" i="4"/>
  <c r="H46" i="4"/>
  <c r="R46" i="4"/>
  <c r="Q47" i="4"/>
  <c r="B47" i="4"/>
  <c r="R48" i="4"/>
  <c r="H48" i="4"/>
  <c r="Q49" i="4"/>
  <c r="B49" i="4"/>
  <c r="H50" i="4"/>
  <c r="R50" i="4"/>
  <c r="Q51" i="4"/>
  <c r="B51" i="4"/>
  <c r="R52" i="4"/>
  <c r="H52" i="4"/>
  <c r="L65" i="4"/>
  <c r="Q65" i="4"/>
  <c r="B65" i="4"/>
  <c r="Q67" i="4"/>
  <c r="B67" i="4"/>
  <c r="R68" i="4"/>
  <c r="H68" i="4"/>
  <c r="B70" i="4"/>
  <c r="L81" i="4"/>
  <c r="Q81" i="4"/>
  <c r="B81" i="4"/>
  <c r="Q83" i="4"/>
  <c r="B83" i="4"/>
  <c r="H84" i="4"/>
  <c r="M84" i="4"/>
  <c r="R84" i="4"/>
  <c r="L88" i="4"/>
  <c r="B88" i="4"/>
  <c r="R90" i="4"/>
  <c r="M90" i="4"/>
  <c r="H90" i="4"/>
  <c r="H93" i="4"/>
  <c r="M93" i="4"/>
  <c r="R93" i="4"/>
  <c r="L138" i="4"/>
  <c r="Q138" i="4"/>
  <c r="B138" i="4"/>
  <c r="H141" i="4"/>
  <c r="M141" i="4"/>
  <c r="R141" i="4"/>
  <c r="Q181" i="4"/>
  <c r="B181" i="4"/>
  <c r="L181" i="4"/>
  <c r="R194" i="4"/>
  <c r="H194" i="4"/>
  <c r="M194" i="4"/>
  <c r="R202" i="4"/>
  <c r="H202" i="4"/>
  <c r="M202" i="4"/>
  <c r="R210" i="4"/>
  <c r="H210" i="4"/>
  <c r="M210" i="4"/>
  <c r="R218" i="4"/>
  <c r="H218" i="4"/>
  <c r="M218" i="4"/>
  <c r="R226" i="4"/>
  <c r="H226" i="4"/>
  <c r="M226" i="4"/>
  <c r="Q249" i="4"/>
  <c r="B249" i="4"/>
  <c r="L249" i="4"/>
  <c r="R262" i="4"/>
  <c r="H262" i="4"/>
  <c r="M262" i="4"/>
  <c r="R54" i="4"/>
  <c r="R58" i="4"/>
  <c r="R62" i="4"/>
  <c r="R66" i="4"/>
  <c r="R70" i="4"/>
  <c r="R74" i="4"/>
  <c r="R78" i="4"/>
  <c r="R82" i="4"/>
  <c r="H104" i="4"/>
  <c r="H105" i="4"/>
  <c r="Q107" i="4"/>
  <c r="M109" i="4"/>
  <c r="M110" i="4"/>
  <c r="H120" i="4"/>
  <c r="H121" i="4"/>
  <c r="Q123" i="4"/>
  <c r="M125" i="4"/>
  <c r="M126" i="4"/>
  <c r="M129" i="4"/>
  <c r="M130" i="4"/>
  <c r="M133" i="4"/>
  <c r="M134" i="4"/>
  <c r="H144" i="4"/>
  <c r="H145" i="4"/>
  <c r="Q147" i="4"/>
  <c r="H148" i="4"/>
  <c r="H149" i="4"/>
  <c r="Q151" i="4"/>
  <c r="H152" i="4"/>
  <c r="H153" i="4"/>
  <c r="Q155" i="4"/>
  <c r="H156" i="4"/>
  <c r="H157" i="4"/>
  <c r="Q159" i="4"/>
  <c r="H160" i="4"/>
  <c r="H161" i="4"/>
  <c r="Q163" i="4"/>
  <c r="H164" i="4"/>
  <c r="H165" i="4"/>
  <c r="L171" i="4"/>
  <c r="Q171" i="4"/>
  <c r="B171" i="4"/>
  <c r="R174" i="4"/>
  <c r="H174" i="4"/>
  <c r="H177" i="4"/>
  <c r="L187" i="4"/>
  <c r="Q187" i="4"/>
  <c r="B187" i="4"/>
  <c r="R190" i="4"/>
  <c r="H190" i="4"/>
  <c r="H193" i="4"/>
  <c r="H197" i="4"/>
  <c r="H201" i="4"/>
  <c r="H205" i="4"/>
  <c r="H209" i="4"/>
  <c r="H213" i="4"/>
  <c r="H217" i="4"/>
  <c r="H221" i="4"/>
  <c r="H225" i="4"/>
  <c r="H229" i="4"/>
  <c r="L239" i="4"/>
  <c r="Q239" i="4"/>
  <c r="B239" i="4"/>
  <c r="R242" i="4"/>
  <c r="H242" i="4"/>
  <c r="H245" i="4"/>
  <c r="L255" i="4"/>
  <c r="Q255" i="4"/>
  <c r="B255" i="4"/>
  <c r="R258" i="4"/>
  <c r="H258" i="4"/>
  <c r="H261" i="4"/>
  <c r="M54" i="4"/>
  <c r="M58" i="4"/>
  <c r="M62" i="4"/>
  <c r="M66" i="4"/>
  <c r="M70" i="4"/>
  <c r="M74" i="4"/>
  <c r="M78" i="4"/>
  <c r="M82" i="4"/>
  <c r="L106" i="4"/>
  <c r="Q106" i="4"/>
  <c r="B106" i="4"/>
  <c r="Q109" i="4"/>
  <c r="B109" i="4"/>
  <c r="L122" i="4"/>
  <c r="Q122" i="4"/>
  <c r="B122" i="4"/>
  <c r="Q125" i="4"/>
  <c r="B125" i="4"/>
  <c r="Q129" i="4"/>
  <c r="B129" i="4"/>
  <c r="Q133" i="4"/>
  <c r="B133" i="4"/>
  <c r="L146" i="4"/>
  <c r="Q146" i="4"/>
  <c r="B146" i="4"/>
  <c r="L150" i="4"/>
  <c r="Q150" i="4"/>
  <c r="B150" i="4"/>
  <c r="L154" i="4"/>
  <c r="Q154" i="4"/>
  <c r="B154" i="4"/>
  <c r="L158" i="4"/>
  <c r="Q158" i="4"/>
  <c r="B158" i="4"/>
  <c r="L162" i="4"/>
  <c r="Q162" i="4"/>
  <c r="B162" i="4"/>
  <c r="R165" i="4"/>
  <c r="L166" i="4"/>
  <c r="Q166" i="4"/>
  <c r="B166" i="4"/>
  <c r="R170" i="4"/>
  <c r="H170" i="4"/>
  <c r="H173" i="4"/>
  <c r="L183" i="4"/>
  <c r="Q183" i="4"/>
  <c r="B183" i="4"/>
  <c r="R186" i="4"/>
  <c r="H186" i="4"/>
  <c r="H189" i="4"/>
  <c r="L235" i="4"/>
  <c r="Q235" i="4"/>
  <c r="B235" i="4"/>
  <c r="R238" i="4"/>
  <c r="H238" i="4"/>
  <c r="Q241" i="4"/>
  <c r="B241" i="4"/>
  <c r="L251" i="4"/>
  <c r="Q251" i="4"/>
  <c r="B251" i="4"/>
  <c r="R254" i="4"/>
  <c r="H254" i="4"/>
  <c r="Q257" i="4"/>
  <c r="B257" i="4"/>
  <c r="L267" i="4"/>
  <c r="Q267" i="4"/>
  <c r="B267" i="4"/>
  <c r="Q272" i="4"/>
  <c r="B272" i="4"/>
  <c r="Q276" i="4"/>
  <c r="B276" i="4"/>
  <c r="Q280" i="4"/>
  <c r="B280" i="4"/>
  <c r="B107" i="4"/>
  <c r="R109" i="4"/>
  <c r="H110" i="4"/>
  <c r="H112" i="4"/>
  <c r="H113" i="4"/>
  <c r="B123" i="4"/>
  <c r="R125" i="4"/>
  <c r="H126" i="4"/>
  <c r="R129" i="4"/>
  <c r="H130" i="4"/>
  <c r="R133" i="4"/>
  <c r="H134" i="4"/>
  <c r="H136" i="4"/>
  <c r="H137" i="4"/>
  <c r="B147" i="4"/>
  <c r="B151" i="4"/>
  <c r="B155" i="4"/>
  <c r="B159" i="4"/>
  <c r="B163" i="4"/>
  <c r="H168" i="4"/>
  <c r="M174" i="4"/>
  <c r="L179" i="4"/>
  <c r="Q179" i="4"/>
  <c r="B179" i="4"/>
  <c r="R182" i="4"/>
  <c r="H182" i="4"/>
  <c r="H185" i="4"/>
  <c r="M190" i="4"/>
  <c r="L195" i="4"/>
  <c r="Q195" i="4"/>
  <c r="B195" i="4"/>
  <c r="L199" i="4"/>
  <c r="Q199" i="4"/>
  <c r="B199" i="4"/>
  <c r="L203" i="4"/>
  <c r="Q203" i="4"/>
  <c r="B203" i="4"/>
  <c r="L207" i="4"/>
  <c r="Q207" i="4"/>
  <c r="B207" i="4"/>
  <c r="L211" i="4"/>
  <c r="Q211" i="4"/>
  <c r="B211" i="4"/>
  <c r="L215" i="4"/>
  <c r="Q215" i="4"/>
  <c r="B215" i="4"/>
  <c r="L219" i="4"/>
  <c r="Q219" i="4"/>
  <c r="B219" i="4"/>
  <c r="L223" i="4"/>
  <c r="Q223" i="4"/>
  <c r="B223" i="4"/>
  <c r="L227" i="4"/>
  <c r="Q227" i="4"/>
  <c r="B227" i="4"/>
  <c r="L231" i="4"/>
  <c r="Q231" i="4"/>
  <c r="B231" i="4"/>
  <c r="R234" i="4"/>
  <c r="H234" i="4"/>
  <c r="H237" i="4"/>
  <c r="M242" i="4"/>
  <c r="L247" i="4"/>
  <c r="Q247" i="4"/>
  <c r="B247" i="4"/>
  <c r="R250" i="4"/>
  <c r="H250" i="4"/>
  <c r="H253" i="4"/>
  <c r="L263" i="4"/>
  <c r="Q263" i="4"/>
  <c r="B263" i="4"/>
  <c r="R266" i="4"/>
  <c r="H266" i="4"/>
  <c r="R87" i="4"/>
  <c r="M88" i="4"/>
  <c r="R91" i="4"/>
  <c r="M92" i="4"/>
  <c r="R95" i="4"/>
  <c r="M96" i="4"/>
  <c r="R99" i="4"/>
  <c r="M100" i="4"/>
  <c r="M104" i="4"/>
  <c r="M108" i="4"/>
  <c r="M112" i="4"/>
  <c r="M116" i="4"/>
  <c r="M120" i="4"/>
  <c r="M124" i="4"/>
  <c r="R127" i="4"/>
  <c r="M128" i="4"/>
  <c r="R131" i="4"/>
  <c r="M132" i="4"/>
  <c r="M136" i="4"/>
  <c r="M140" i="4"/>
  <c r="M144" i="4"/>
  <c r="R147" i="4"/>
  <c r="M148" i="4"/>
  <c r="R151" i="4"/>
  <c r="M152" i="4"/>
  <c r="R155" i="4"/>
  <c r="M156" i="4"/>
  <c r="R159" i="4"/>
  <c r="M160" i="4"/>
  <c r="R163" i="4"/>
  <c r="M164" i="4"/>
  <c r="R167" i="4"/>
  <c r="M168" i="4"/>
  <c r="R172" i="4"/>
  <c r="M173" i="4"/>
  <c r="R176" i="4"/>
  <c r="M177" i="4"/>
  <c r="R180" i="4"/>
  <c r="M181" i="4"/>
  <c r="R184" i="4"/>
  <c r="M185" i="4"/>
  <c r="R188" i="4"/>
  <c r="M189" i="4"/>
  <c r="R192" i="4"/>
  <c r="M193" i="4"/>
  <c r="M197" i="4"/>
  <c r="M201" i="4"/>
  <c r="M205" i="4"/>
  <c r="M209" i="4"/>
  <c r="M213" i="4"/>
  <c r="M217" i="4"/>
  <c r="M221" i="4"/>
  <c r="M225" i="4"/>
  <c r="M229" i="4"/>
  <c r="R232" i="4"/>
  <c r="M233" i="4"/>
  <c r="R236" i="4"/>
  <c r="M237" i="4"/>
  <c r="R240" i="4"/>
  <c r="M241" i="4"/>
  <c r="R244" i="4"/>
  <c r="M245" i="4"/>
  <c r="R248" i="4"/>
  <c r="M249" i="4"/>
  <c r="R252" i="4"/>
  <c r="M253" i="4"/>
  <c r="R256" i="4"/>
  <c r="M257" i="4"/>
  <c r="R260" i="4"/>
  <c r="M261" i="4"/>
  <c r="R264" i="4"/>
  <c r="M265" i="4"/>
  <c r="R268" i="4"/>
  <c r="R269" i="4"/>
  <c r="H269" i="4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2" i="5"/>
  <c r="L24" i="5"/>
  <c r="L26" i="5"/>
  <c r="L28" i="5"/>
  <c r="L30" i="5"/>
  <c r="L32" i="5"/>
  <c r="L34" i="5"/>
  <c r="L36" i="5"/>
  <c r="L38" i="5"/>
  <c r="L40" i="5"/>
  <c r="L42" i="5"/>
  <c r="L44" i="5"/>
  <c r="L46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3" i="5"/>
  <c r="L65" i="5"/>
  <c r="L67" i="5"/>
  <c r="L69" i="5"/>
  <c r="L71" i="5"/>
  <c r="L73" i="5"/>
  <c r="L75" i="5"/>
  <c r="L77" i="5"/>
  <c r="L79" i="5"/>
  <c r="L81" i="5"/>
  <c r="L83" i="5"/>
  <c r="L85" i="5"/>
  <c r="L87" i="5"/>
  <c r="L89" i="5"/>
  <c r="L91" i="5"/>
  <c r="L93" i="5"/>
  <c r="L95" i="5"/>
  <c r="L97" i="5"/>
  <c r="L99" i="5"/>
  <c r="L101" i="5"/>
  <c r="L103" i="5"/>
  <c r="L105" i="5"/>
  <c r="L107" i="5"/>
  <c r="L109" i="5"/>
  <c r="L111" i="5"/>
  <c r="L113" i="5"/>
  <c r="L115" i="5"/>
  <c r="L117" i="5"/>
  <c r="L119" i="5"/>
  <c r="L121" i="5"/>
  <c r="L123" i="5"/>
  <c r="L125" i="5"/>
  <c r="L127" i="5"/>
  <c r="L129" i="5"/>
  <c r="L131" i="5"/>
  <c r="L133" i="5"/>
  <c r="L135" i="5"/>
  <c r="L137" i="5"/>
  <c r="L145" i="5"/>
  <c r="J145" i="5"/>
  <c r="R166" i="4"/>
  <c r="R171" i="4"/>
  <c r="R175" i="4"/>
  <c r="R179" i="4"/>
  <c r="R183" i="4"/>
  <c r="R187" i="4"/>
  <c r="R191" i="4"/>
  <c r="R195" i="4"/>
  <c r="R199" i="4"/>
  <c r="R203" i="4"/>
  <c r="R207" i="4"/>
  <c r="R211" i="4"/>
  <c r="R215" i="4"/>
  <c r="R219" i="4"/>
  <c r="R223" i="4"/>
  <c r="R227" i="4"/>
  <c r="R231" i="4"/>
  <c r="R235" i="4"/>
  <c r="R239" i="4"/>
  <c r="R243" i="4"/>
  <c r="R247" i="4"/>
  <c r="R251" i="4"/>
  <c r="R255" i="4"/>
  <c r="R259" i="4"/>
  <c r="R263" i="4"/>
  <c r="R267" i="4"/>
  <c r="H271" i="4"/>
  <c r="R271" i="4"/>
  <c r="R273" i="4"/>
  <c r="H273" i="4"/>
  <c r="H275" i="4"/>
  <c r="R275" i="4"/>
  <c r="R277" i="4"/>
  <c r="H277" i="4"/>
  <c r="H279" i="4"/>
  <c r="R279" i="4"/>
  <c r="R281" i="4"/>
  <c r="H281" i="4"/>
  <c r="B132" i="5"/>
  <c r="B134" i="5"/>
  <c r="B136" i="5"/>
  <c r="B144" i="5"/>
  <c r="L155" i="5"/>
  <c r="B155" i="5"/>
  <c r="L158" i="5"/>
  <c r="J158" i="5"/>
  <c r="L163" i="5"/>
  <c r="B163" i="5"/>
  <c r="L166" i="5"/>
  <c r="J166" i="5"/>
  <c r="L171" i="5"/>
  <c r="B171" i="5"/>
  <c r="L174" i="5"/>
  <c r="J174" i="5"/>
  <c r="L179" i="5"/>
  <c r="B179" i="5"/>
  <c r="L182" i="5"/>
  <c r="J182" i="5"/>
  <c r="L187" i="5"/>
  <c r="B187" i="5"/>
  <c r="L190" i="5"/>
  <c r="J190" i="5"/>
  <c r="L195" i="5"/>
  <c r="B195" i="5"/>
  <c r="L198" i="5"/>
  <c r="J198" i="5"/>
  <c r="L203" i="5"/>
  <c r="B203" i="5"/>
  <c r="L206" i="5"/>
  <c r="J206" i="5"/>
  <c r="L211" i="5"/>
  <c r="B211" i="5"/>
  <c r="L214" i="5"/>
  <c r="J214" i="5"/>
  <c r="L219" i="5"/>
  <c r="B219" i="5"/>
  <c r="L222" i="5"/>
  <c r="J222" i="5"/>
  <c r="L228" i="5"/>
  <c r="B228" i="5"/>
  <c r="L231" i="5"/>
  <c r="J231" i="5"/>
  <c r="L236" i="5"/>
  <c r="B236" i="5"/>
  <c r="L239" i="5"/>
  <c r="J239" i="5"/>
  <c r="L244" i="5"/>
  <c r="B244" i="5"/>
  <c r="L247" i="5"/>
  <c r="J247" i="5"/>
  <c r="L252" i="5"/>
  <c r="B252" i="5"/>
  <c r="L153" i="5"/>
  <c r="B153" i="5"/>
  <c r="L156" i="5"/>
  <c r="J156" i="5"/>
  <c r="L161" i="5"/>
  <c r="B161" i="5"/>
  <c r="L164" i="5"/>
  <c r="J164" i="5"/>
  <c r="L169" i="5"/>
  <c r="B169" i="5"/>
  <c r="L172" i="5"/>
  <c r="J172" i="5"/>
  <c r="L177" i="5"/>
  <c r="B177" i="5"/>
  <c r="L180" i="5"/>
  <c r="J180" i="5"/>
  <c r="L185" i="5"/>
  <c r="B185" i="5"/>
  <c r="L188" i="5"/>
  <c r="J188" i="5"/>
  <c r="L193" i="5"/>
  <c r="B193" i="5"/>
  <c r="L196" i="5"/>
  <c r="J196" i="5"/>
  <c r="L201" i="5"/>
  <c r="B201" i="5"/>
  <c r="L204" i="5"/>
  <c r="J204" i="5"/>
  <c r="L209" i="5"/>
  <c r="B209" i="5"/>
  <c r="L212" i="5"/>
  <c r="J212" i="5"/>
  <c r="L217" i="5"/>
  <c r="B217" i="5"/>
  <c r="L220" i="5"/>
  <c r="J220" i="5"/>
  <c r="L226" i="5"/>
  <c r="B226" i="5"/>
  <c r="L146" i="5"/>
  <c r="B146" i="5"/>
  <c r="L148" i="5"/>
  <c r="B148" i="5"/>
  <c r="L150" i="5"/>
  <c r="B150" i="5"/>
  <c r="L154" i="5"/>
  <c r="J154" i="5"/>
  <c r="L159" i="5"/>
  <c r="B159" i="5"/>
  <c r="L162" i="5"/>
  <c r="J162" i="5"/>
  <c r="L167" i="5"/>
  <c r="B167" i="5"/>
  <c r="L170" i="5"/>
  <c r="J170" i="5"/>
  <c r="L175" i="5"/>
  <c r="B175" i="5"/>
  <c r="L178" i="5"/>
  <c r="J178" i="5"/>
  <c r="L183" i="5"/>
  <c r="B183" i="5"/>
  <c r="L186" i="5"/>
  <c r="J186" i="5"/>
  <c r="L191" i="5"/>
  <c r="B191" i="5"/>
  <c r="L194" i="5"/>
  <c r="J194" i="5"/>
  <c r="L199" i="5"/>
  <c r="B199" i="5"/>
  <c r="L202" i="5"/>
  <c r="J202" i="5"/>
  <c r="L207" i="5"/>
  <c r="B207" i="5"/>
  <c r="L210" i="5"/>
  <c r="J210" i="5"/>
  <c r="L215" i="5"/>
  <c r="B215" i="5"/>
  <c r="L218" i="5"/>
  <c r="J218" i="5"/>
  <c r="L223" i="5"/>
  <c r="B223" i="5"/>
  <c r="L227" i="5"/>
  <c r="J227" i="5"/>
  <c r="L232" i="5"/>
  <c r="B232" i="5"/>
  <c r="L235" i="5"/>
  <c r="J235" i="5"/>
  <c r="L240" i="5"/>
  <c r="B240" i="5"/>
  <c r="L243" i="5"/>
  <c r="J243" i="5"/>
  <c r="L248" i="5"/>
  <c r="B248" i="5"/>
  <c r="L251" i="5"/>
  <c r="J251" i="5"/>
  <c r="B230" i="5"/>
  <c r="B234" i="5"/>
  <c r="B238" i="5"/>
  <c r="B242" i="5"/>
  <c r="B246" i="5"/>
  <c r="B250" i="5"/>
  <c r="L259" i="5"/>
  <c r="J259" i="5"/>
  <c r="L267" i="5"/>
  <c r="J267" i="5"/>
  <c r="L275" i="5"/>
  <c r="J275" i="5"/>
  <c r="L283" i="5"/>
  <c r="J283" i="5"/>
  <c r="L291" i="5"/>
  <c r="J291" i="5"/>
  <c r="L299" i="5"/>
  <c r="J299" i="5"/>
  <c r="L309" i="5"/>
  <c r="J309" i="5"/>
  <c r="L319" i="5"/>
  <c r="J319" i="5"/>
  <c r="J340" i="5"/>
  <c r="L340" i="5"/>
  <c r="L370" i="5"/>
  <c r="B370" i="5"/>
  <c r="L402" i="5"/>
  <c r="B402" i="5"/>
  <c r="L434" i="5"/>
  <c r="B434" i="5"/>
  <c r="L253" i="5"/>
  <c r="J253" i="5"/>
  <c r="L261" i="5"/>
  <c r="J261" i="5"/>
  <c r="L269" i="5"/>
  <c r="J269" i="5"/>
  <c r="L277" i="5"/>
  <c r="J277" i="5"/>
  <c r="L285" i="5"/>
  <c r="J285" i="5"/>
  <c r="L293" i="5"/>
  <c r="J293" i="5"/>
  <c r="L301" i="5"/>
  <c r="J301" i="5"/>
  <c r="L311" i="5"/>
  <c r="J311" i="5"/>
  <c r="J332" i="5"/>
  <c r="L332" i="5"/>
  <c r="L350" i="5"/>
  <c r="J350" i="5"/>
  <c r="L365" i="5"/>
  <c r="J365" i="5"/>
  <c r="L397" i="5"/>
  <c r="J397" i="5"/>
  <c r="L429" i="5"/>
  <c r="J429" i="5"/>
  <c r="J229" i="5"/>
  <c r="J233" i="5"/>
  <c r="J237" i="5"/>
  <c r="J241" i="5"/>
  <c r="J245" i="5"/>
  <c r="J249" i="5"/>
  <c r="L255" i="5"/>
  <c r="J255" i="5"/>
  <c r="L263" i="5"/>
  <c r="J263" i="5"/>
  <c r="L271" i="5"/>
  <c r="J271" i="5"/>
  <c r="L279" i="5"/>
  <c r="J279" i="5"/>
  <c r="L287" i="5"/>
  <c r="J287" i="5"/>
  <c r="L295" i="5"/>
  <c r="J295" i="5"/>
  <c r="L303" i="5"/>
  <c r="J303" i="5"/>
  <c r="L305" i="5"/>
  <c r="J305" i="5"/>
  <c r="J324" i="5"/>
  <c r="L324" i="5"/>
  <c r="L335" i="5"/>
  <c r="J335" i="5"/>
  <c r="L386" i="5"/>
  <c r="B386" i="5"/>
  <c r="L418" i="5"/>
  <c r="B418" i="5"/>
  <c r="L344" i="5"/>
  <c r="J344" i="5"/>
  <c r="L352" i="5"/>
  <c r="J352" i="5"/>
  <c r="L369" i="5"/>
  <c r="J369" i="5"/>
  <c r="L385" i="5"/>
  <c r="J385" i="5"/>
  <c r="L401" i="5"/>
  <c r="J401" i="5"/>
  <c r="L417" i="5"/>
  <c r="J417" i="5"/>
  <c r="L433" i="5"/>
  <c r="J433" i="5"/>
  <c r="L314" i="5"/>
  <c r="J317" i="5"/>
  <c r="L322" i="5"/>
  <c r="J325" i="5"/>
  <c r="L330" i="5"/>
  <c r="J333" i="5"/>
  <c r="L338" i="5"/>
  <c r="J341" i="5"/>
  <c r="L346" i="5"/>
  <c r="J346" i="5"/>
  <c r="L354" i="5"/>
  <c r="J354" i="5"/>
  <c r="L357" i="5"/>
  <c r="J357" i="5"/>
  <c r="L373" i="5"/>
  <c r="J373" i="5"/>
  <c r="L389" i="5"/>
  <c r="J389" i="5"/>
  <c r="L405" i="5"/>
  <c r="J405" i="5"/>
  <c r="L421" i="5"/>
  <c r="J421" i="5"/>
  <c r="L437" i="5"/>
  <c r="J437" i="5"/>
  <c r="L312" i="5"/>
  <c r="L320" i="5"/>
  <c r="L328" i="5"/>
  <c r="L336" i="5"/>
  <c r="L348" i="5"/>
  <c r="J348" i="5"/>
  <c r="L361" i="5"/>
  <c r="J361" i="5"/>
  <c r="L377" i="5"/>
  <c r="J377" i="5"/>
  <c r="L393" i="5"/>
  <c r="J393" i="5"/>
  <c r="L409" i="5"/>
  <c r="J409" i="5"/>
  <c r="L425" i="5"/>
  <c r="J425" i="5"/>
  <c r="B356" i="5"/>
  <c r="B360" i="5"/>
  <c r="B364" i="5"/>
  <c r="B368" i="5"/>
  <c r="B372" i="5"/>
  <c r="B376" i="5"/>
  <c r="B380" i="5"/>
  <c r="B384" i="5"/>
  <c r="B388" i="5"/>
  <c r="B392" i="5"/>
  <c r="B396" i="5"/>
  <c r="B400" i="5"/>
  <c r="B404" i="5"/>
  <c r="B408" i="5"/>
  <c r="B412" i="5"/>
  <c r="B416" i="5"/>
  <c r="B420" i="5"/>
  <c r="B424" i="5"/>
  <c r="B428" i="5"/>
  <c r="B432" i="5"/>
  <c r="B436" i="5"/>
  <c r="J439" i="5"/>
  <c r="Q100" i="1" l="1"/>
  <c r="AR109" i="1"/>
  <c r="X85" i="1"/>
  <c r="AA85" i="1"/>
  <c r="AQ85" i="1" s="1"/>
  <c r="S85" i="1"/>
  <c r="AQ10" i="1" a="1"/>
  <c r="AQ10" i="1" s="1"/>
  <c r="X16" i="1"/>
  <c r="X17" i="1"/>
  <c r="X18" i="1"/>
  <c r="L234" i="4"/>
  <c r="Q234" i="4"/>
  <c r="B234" i="4"/>
  <c r="L134" i="4"/>
  <c r="Q134" i="4"/>
  <c r="B134" i="4"/>
  <c r="L186" i="4"/>
  <c r="Q186" i="4"/>
  <c r="B186" i="4"/>
  <c r="Q177" i="4"/>
  <c r="B177" i="4"/>
  <c r="L177" i="4"/>
  <c r="L104" i="4"/>
  <c r="B104" i="4"/>
  <c r="Q104" i="4"/>
  <c r="L194" i="4"/>
  <c r="Q194" i="4"/>
  <c r="B194" i="4"/>
  <c r="L46" i="4"/>
  <c r="Q46" i="4"/>
  <c r="B46" i="4"/>
  <c r="L72" i="4"/>
  <c r="Q72" i="4"/>
  <c r="B72" i="4"/>
  <c r="L214" i="4"/>
  <c r="Q214" i="4"/>
  <c r="B214" i="4"/>
  <c r="L98" i="4"/>
  <c r="Q98" i="4"/>
  <c r="B98" i="4"/>
  <c r="L21" i="4"/>
  <c r="Q21" i="4"/>
  <c r="B21" i="4"/>
  <c r="L279" i="4"/>
  <c r="Q279" i="4"/>
  <c r="B279" i="4"/>
  <c r="L275" i="4"/>
  <c r="Q275" i="4"/>
  <c r="B275" i="4"/>
  <c r="L271" i="4"/>
  <c r="Q271" i="4"/>
  <c r="B271" i="4"/>
  <c r="L250" i="4"/>
  <c r="Q250" i="4"/>
  <c r="B250" i="4"/>
  <c r="Q185" i="4"/>
  <c r="B185" i="4"/>
  <c r="L185" i="4"/>
  <c r="L110" i="4"/>
  <c r="Q110" i="4"/>
  <c r="B110" i="4"/>
  <c r="Q173" i="4"/>
  <c r="B173" i="4"/>
  <c r="L173" i="4"/>
  <c r="Q261" i="4"/>
  <c r="B261" i="4"/>
  <c r="L261" i="4"/>
  <c r="Q229" i="4"/>
  <c r="B229" i="4"/>
  <c r="L229" i="4"/>
  <c r="Q213" i="4"/>
  <c r="B213" i="4"/>
  <c r="L213" i="4"/>
  <c r="Q197" i="4"/>
  <c r="B197" i="4"/>
  <c r="L197" i="4"/>
  <c r="L174" i="4"/>
  <c r="Q174" i="4"/>
  <c r="B174" i="4"/>
  <c r="Q161" i="4"/>
  <c r="B161" i="4"/>
  <c r="L161" i="4"/>
  <c r="L156" i="4"/>
  <c r="B156" i="4"/>
  <c r="Q156" i="4"/>
  <c r="Q145" i="4"/>
  <c r="B145" i="4"/>
  <c r="L145" i="4"/>
  <c r="L202" i="4"/>
  <c r="Q202" i="4"/>
  <c r="B202" i="4"/>
  <c r="Q93" i="4"/>
  <c r="B93" i="4"/>
  <c r="L93" i="4"/>
  <c r="L84" i="4"/>
  <c r="B84" i="4"/>
  <c r="Q84" i="4"/>
  <c r="L102" i="4"/>
  <c r="Q102" i="4"/>
  <c r="B102" i="4"/>
  <c r="L86" i="4"/>
  <c r="Q86" i="4"/>
  <c r="B86" i="4"/>
  <c r="L222" i="4"/>
  <c r="Q222" i="4"/>
  <c r="B222" i="4"/>
  <c r="Q117" i="4"/>
  <c r="B117" i="4"/>
  <c r="L117" i="4"/>
  <c r="L29" i="4"/>
  <c r="Q29" i="4"/>
  <c r="B29" i="4"/>
  <c r="L178" i="4"/>
  <c r="Q178" i="4"/>
  <c r="B178" i="4"/>
  <c r="Q97" i="4"/>
  <c r="B97" i="4"/>
  <c r="L97" i="4"/>
  <c r="L246" i="4"/>
  <c r="Q246" i="4"/>
  <c r="B246" i="4"/>
  <c r="Q168" i="4"/>
  <c r="B168" i="4"/>
  <c r="L168" i="4"/>
  <c r="Q112" i="4"/>
  <c r="L112" i="4"/>
  <c r="B112" i="4"/>
  <c r="Q217" i="4"/>
  <c r="B217" i="4"/>
  <c r="L217" i="4"/>
  <c r="L152" i="4"/>
  <c r="B152" i="4"/>
  <c r="Q152" i="4"/>
  <c r="L226" i="4"/>
  <c r="Q226" i="4"/>
  <c r="B226" i="4"/>
  <c r="L118" i="4"/>
  <c r="Q118" i="4"/>
  <c r="B118" i="4"/>
  <c r="L142" i="4"/>
  <c r="Q142" i="4"/>
  <c r="B142" i="4"/>
  <c r="L281" i="4"/>
  <c r="Q281" i="4"/>
  <c r="B281" i="4"/>
  <c r="L277" i="4"/>
  <c r="Q277" i="4"/>
  <c r="B277" i="4"/>
  <c r="L273" i="4"/>
  <c r="Q273" i="4"/>
  <c r="B273" i="4"/>
  <c r="L182" i="4"/>
  <c r="Q182" i="4"/>
  <c r="B182" i="4"/>
  <c r="Q137" i="4"/>
  <c r="B137" i="4"/>
  <c r="L137" i="4"/>
  <c r="L130" i="4"/>
  <c r="Q130" i="4"/>
  <c r="B130" i="4"/>
  <c r="L238" i="4"/>
  <c r="Q238" i="4"/>
  <c r="B238" i="4"/>
  <c r="L170" i="4"/>
  <c r="Q170" i="4"/>
  <c r="B170" i="4"/>
  <c r="L258" i="4"/>
  <c r="Q258" i="4"/>
  <c r="B258" i="4"/>
  <c r="Q225" i="4"/>
  <c r="B225" i="4"/>
  <c r="L225" i="4"/>
  <c r="Q209" i="4"/>
  <c r="B209" i="4"/>
  <c r="L209" i="4"/>
  <c r="Q193" i="4"/>
  <c r="B193" i="4"/>
  <c r="L193" i="4"/>
  <c r="Q165" i="4"/>
  <c r="B165" i="4"/>
  <c r="L165" i="4"/>
  <c r="L160" i="4"/>
  <c r="B160" i="4"/>
  <c r="Q160" i="4"/>
  <c r="Q149" i="4"/>
  <c r="B149" i="4"/>
  <c r="L149" i="4"/>
  <c r="L144" i="4"/>
  <c r="B144" i="4"/>
  <c r="Q144" i="4"/>
  <c r="Q121" i="4"/>
  <c r="B121" i="4"/>
  <c r="L121" i="4"/>
  <c r="L262" i="4"/>
  <c r="Q262" i="4"/>
  <c r="B262" i="4"/>
  <c r="L210" i="4"/>
  <c r="Q210" i="4"/>
  <c r="B210" i="4"/>
  <c r="L90" i="4"/>
  <c r="Q90" i="4"/>
  <c r="B90" i="4"/>
  <c r="L230" i="4"/>
  <c r="Q230" i="4"/>
  <c r="B230" i="4"/>
  <c r="L198" i="4"/>
  <c r="Q198" i="4"/>
  <c r="B198" i="4"/>
  <c r="L76" i="4"/>
  <c r="Q76" i="4"/>
  <c r="B76" i="4"/>
  <c r="L25" i="4"/>
  <c r="Q25" i="4"/>
  <c r="B25" i="4"/>
  <c r="L64" i="4"/>
  <c r="Q64" i="4"/>
  <c r="B64" i="4"/>
  <c r="L13" i="4"/>
  <c r="Q13" i="4"/>
  <c r="B13" i="4"/>
  <c r="L34" i="4"/>
  <c r="B34" i="4"/>
  <c r="Q34" i="4"/>
  <c r="L5" i="4"/>
  <c r="Q5" i="4"/>
  <c r="B5" i="4"/>
  <c r="L94" i="4"/>
  <c r="Q94" i="4"/>
  <c r="B94" i="4"/>
  <c r="L80" i="4"/>
  <c r="Q80" i="4"/>
  <c r="B80" i="4"/>
  <c r="L17" i="4"/>
  <c r="Q17" i="4"/>
  <c r="B17" i="4"/>
  <c r="L269" i="4"/>
  <c r="B269" i="4"/>
  <c r="Q269" i="4"/>
  <c r="Q253" i="4"/>
  <c r="B253" i="4"/>
  <c r="L253" i="4"/>
  <c r="L126" i="4"/>
  <c r="Q126" i="4"/>
  <c r="B126" i="4"/>
  <c r="L242" i="4"/>
  <c r="Q242" i="4"/>
  <c r="B242" i="4"/>
  <c r="Q201" i="4"/>
  <c r="B201" i="4"/>
  <c r="L201" i="4"/>
  <c r="Q157" i="4"/>
  <c r="B157" i="4"/>
  <c r="L157" i="4"/>
  <c r="L68" i="4"/>
  <c r="Q68" i="4"/>
  <c r="B68" i="4"/>
  <c r="L50" i="4"/>
  <c r="Q50" i="4"/>
  <c r="B50" i="4"/>
  <c r="L42" i="4"/>
  <c r="Q42" i="4"/>
  <c r="B42" i="4"/>
  <c r="Q89" i="4"/>
  <c r="B89" i="4"/>
  <c r="L89" i="4"/>
  <c r="L266" i="4"/>
  <c r="Q266" i="4"/>
  <c r="B266" i="4"/>
  <c r="Q237" i="4"/>
  <c r="B237" i="4"/>
  <c r="L237" i="4"/>
  <c r="Q136" i="4"/>
  <c r="L136" i="4"/>
  <c r="B136" i="4"/>
  <c r="Q113" i="4"/>
  <c r="B113" i="4"/>
  <c r="L113" i="4"/>
  <c r="L254" i="4"/>
  <c r="Q254" i="4"/>
  <c r="B254" i="4"/>
  <c r="Q189" i="4"/>
  <c r="B189" i="4"/>
  <c r="L189" i="4"/>
  <c r="Q245" i="4"/>
  <c r="B245" i="4"/>
  <c r="L245" i="4"/>
  <c r="Q221" i="4"/>
  <c r="B221" i="4"/>
  <c r="L221" i="4"/>
  <c r="Q205" i="4"/>
  <c r="B205" i="4"/>
  <c r="L205" i="4"/>
  <c r="L190" i="4"/>
  <c r="Q190" i="4"/>
  <c r="B190" i="4"/>
  <c r="L164" i="4"/>
  <c r="B164" i="4"/>
  <c r="Q164" i="4"/>
  <c r="Q153" i="4"/>
  <c r="B153" i="4"/>
  <c r="L153" i="4"/>
  <c r="L148" i="4"/>
  <c r="B148" i="4"/>
  <c r="Q148" i="4"/>
  <c r="L120" i="4"/>
  <c r="B120" i="4"/>
  <c r="Q120" i="4"/>
  <c r="Q105" i="4"/>
  <c r="B105" i="4"/>
  <c r="L105" i="4"/>
  <c r="L218" i="4"/>
  <c r="Q218" i="4"/>
  <c r="B218" i="4"/>
  <c r="Q141" i="4"/>
  <c r="B141" i="4"/>
  <c r="L141" i="4"/>
  <c r="L52" i="4"/>
  <c r="Q52" i="4"/>
  <c r="B52" i="4"/>
  <c r="L48" i="4"/>
  <c r="Q48" i="4"/>
  <c r="B48" i="4"/>
  <c r="L44" i="4"/>
  <c r="Q44" i="4"/>
  <c r="B44" i="4"/>
  <c r="L56" i="4"/>
  <c r="Q56" i="4"/>
  <c r="B56" i="4"/>
  <c r="L206" i="4"/>
  <c r="Q206" i="4"/>
  <c r="B206" i="4"/>
  <c r="Q101" i="4"/>
  <c r="B101" i="4"/>
  <c r="L101" i="4"/>
  <c r="Q85" i="4"/>
  <c r="B85" i="4"/>
  <c r="L85" i="4"/>
  <c r="L60" i="4"/>
  <c r="Q60" i="4"/>
  <c r="B60" i="4"/>
  <c r="L9" i="4"/>
  <c r="Q9" i="4"/>
  <c r="B9" i="4"/>
  <c r="P108" i="1" l="1"/>
  <c r="N111" i="1"/>
  <c r="AL111" i="1" s="1"/>
  <c r="I104" i="1"/>
  <c r="V104" i="1" s="1"/>
  <c r="N50" i="1"/>
  <c r="V49" i="1"/>
  <c r="Q104" i="1" l="1"/>
  <c r="K104" i="1"/>
  <c r="W111" i="1"/>
  <c r="E113" i="1" s="1"/>
  <c r="S111" i="1"/>
  <c r="N37" i="1"/>
  <c r="Z111" i="1" l="1"/>
  <c r="U30" i="1"/>
  <c r="X37" i="1"/>
  <c r="U31" i="1"/>
  <c r="J30" i="1"/>
  <c r="N36" i="1" s="1"/>
  <c r="O26" i="1"/>
  <c r="X15" i="1"/>
  <c r="N82" i="1" l="1"/>
  <c r="S82" i="1" s="1"/>
  <c r="N81" i="1"/>
  <c r="AA81" i="1" s="1"/>
  <c r="AQ81" i="1" s="1"/>
  <c r="N39" i="1"/>
  <c r="AE117" i="1" s="1"/>
  <c r="N52" i="1"/>
  <c r="T54" i="1" s="1"/>
  <c r="R22" i="1"/>
  <c r="R21" i="1"/>
  <c r="AE118" i="1" l="1"/>
  <c r="S81" i="1"/>
  <c r="X86" i="1"/>
  <c r="S86" i="1"/>
  <c r="X81" i="1"/>
  <c r="Z90" i="1"/>
  <c r="AA86" i="1"/>
  <c r="AQ86" i="1" s="1"/>
  <c r="X82" i="1"/>
  <c r="AA82" i="1"/>
  <c r="X36" i="1"/>
  <c r="S42" i="1"/>
  <c r="AQ43" i="1" s="1"/>
  <c r="AF54" i="1"/>
  <c r="AQ54" i="1"/>
  <c r="AK61" i="1"/>
  <c r="Y54" i="1"/>
  <c r="AK90" i="1" l="1"/>
  <c r="AQ82" i="1"/>
  <c r="AQ61" i="1"/>
  <c r="C61" i="1" s="1"/>
  <c r="Z61" i="1"/>
  <c r="Y42" i="1"/>
  <c r="AF42" i="1"/>
  <c r="AQ90" i="1" l="1"/>
  <c r="C90" i="1" s="1"/>
  <c r="AQ110" i="1" l="1"/>
  <c r="AR110" i="1"/>
  <c r="AS109" i="1" l="1"/>
  <c r="AS110" i="1" s="1"/>
  <c r="AS111" i="1" s="1"/>
  <c r="AQ112" i="1" s="1"/>
  <c r="AQ115" i="1" s="1"/>
  <c r="AQ114" i="1"/>
  <c r="AR113" i="1" l="1"/>
  <c r="AQ116" i="1" s="1"/>
  <c r="AQ117" i="1" s="1"/>
  <c r="K118" i="1" s="1"/>
  <c r="K119" i="1" s="1"/>
  <c r="Q121" i="1" s="1"/>
  <c r="AA121" i="1" s="1"/>
  <c r="AQ119" i="1"/>
  <c r="AR120" i="1" s="1"/>
  <c r="AQ120" i="1" s="1"/>
  <c r="I108" i="1" s="1"/>
  <c r="V108" i="1" s="1"/>
  <c r="K108" i="1" l="1"/>
  <c r="Q108" i="1"/>
  <c r="W121" i="1"/>
  <c r="P118" i="1"/>
  <c r="AE121" i="1"/>
  <c r="AK124" i="1" s="1"/>
  <c r="C124" i="1" s="1"/>
  <c r="AE119" i="1"/>
  <c r="N11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32" authorId="0" shapeId="0" xr:uid="{00DE3D47-EE0B-468C-8E8B-74A20993AB3E}">
      <text/>
    </comment>
    <comment ref="E40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O44" authorId="0" shapeId="0" xr:uid="{681E0D6F-5BCA-4A65-86E2-06F51DB8193B}">
      <text>
        <r>
          <rPr>
            <b/>
            <sz val="9"/>
            <color indexed="81"/>
            <rFont val="Tahoma"/>
            <family val="2"/>
          </rPr>
          <t>Catalogue des Tubes Carrés</t>
        </r>
      </text>
    </comment>
    <comment ref="S44" authorId="0" shapeId="0" xr:uid="{D42B4E12-FF9D-4E23-B111-97D1E4FEBE1F}">
      <text>
        <r>
          <rPr>
            <b/>
            <sz val="9"/>
            <color indexed="81"/>
            <rFont val="Tahoma"/>
            <family val="2"/>
          </rPr>
          <t>Catalogue des Tubes Rectangulaires</t>
        </r>
      </text>
    </comment>
    <comment ref="W44" authorId="0" shapeId="0" xr:uid="{1BCECC4F-479E-462E-BD11-2AED6DA13367}">
      <text>
        <r>
          <rPr>
            <b/>
            <sz val="9"/>
            <color indexed="81"/>
            <rFont val="Tahoma"/>
            <family val="2"/>
          </rPr>
          <t>Catalogue des Tubes Ronds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<sst xmlns="http://schemas.openxmlformats.org/spreadsheetml/2006/main" count="447" uniqueCount="315">
  <si>
    <t>S235</t>
  </si>
  <si>
    <t>S275</t>
  </si>
  <si>
    <t>S355</t>
  </si>
  <si>
    <t>S460</t>
  </si>
  <si>
    <t>t</t>
  </si>
  <si>
    <t>Dimensions du Garde-Corps</t>
  </si>
  <si>
    <t>L</t>
  </si>
  <si>
    <t>h</t>
  </si>
  <si>
    <t>Hauteur  h =</t>
  </si>
  <si>
    <t>Entraxe des Poteaux  L =</t>
  </si>
  <si>
    <t>m</t>
  </si>
  <si>
    <t>Section des Poteaux</t>
  </si>
  <si>
    <t>Nuance d'Acier :</t>
  </si>
  <si>
    <t>daN/mm²</t>
  </si>
  <si>
    <t>mm</t>
  </si>
  <si>
    <r>
      <t>cm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</si>
  <si>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</si>
  <si>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t>daN.m</t>
  </si>
  <si>
    <t>Efforts Appliqués au Garde-Corps</t>
  </si>
  <si>
    <t>Nuances</t>
  </si>
  <si>
    <t>Catégorie de Bâtiment :</t>
  </si>
  <si>
    <t>Catégorie</t>
  </si>
  <si>
    <t>Cat</t>
  </si>
  <si>
    <t>A</t>
  </si>
  <si>
    <t>B</t>
  </si>
  <si>
    <t>D</t>
  </si>
  <si>
    <t>E1</t>
  </si>
  <si>
    <t>Destination</t>
  </si>
  <si>
    <t>Bureaux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</si>
  <si>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k</t>
    </r>
  </si>
  <si>
    <t>Usage du Bâtiment :</t>
  </si>
  <si>
    <t>daN/ml</t>
  </si>
  <si>
    <t>Habitation , Résidentiel</t>
  </si>
  <si>
    <t>Commerces</t>
  </si>
  <si>
    <t>C2</t>
  </si>
  <si>
    <t>C3</t>
  </si>
  <si>
    <t>C4</t>
  </si>
  <si>
    <t>C1</t>
  </si>
  <si>
    <t>C5</t>
  </si>
  <si>
    <t>E2</t>
  </si>
  <si>
    <t>Espaces équipés de tables etc., par exemple : écoles, cafés, restaurants, salles de banquet, salles de lecture, salles de réception</t>
  </si>
  <si>
    <t>NF EN 13200-3 : Installations pour spectateurs - Partie 3 : éléments de séparation - Exigences - Installations</t>
  </si>
  <si>
    <t>NF E 85-015 : Éléments d'installations industrielles - Moyens d'accès permanents - Choix d'un moyen d'accès</t>
  </si>
  <si>
    <t>Alertes</t>
  </si>
  <si>
    <t>Espaces ne présentants pas d'obstacles à la circulation des personnes, par exemple : salles de musée, salles d'exposition etc. et accès des bâtiments publics et administratifs, hôtels, hôpitaux, gares</t>
  </si>
  <si>
    <t>Espaces permettants des activités physiques, par exemple : dancings, salles de gymnastique, scènes</t>
  </si>
  <si>
    <t>Espaces susceptibles d'accueillir des foules importantes, par exemple : bâtiments destinés à des événemetns publics tels que salles de concert, salles de sport y compris tribunes, terrasses et aires d'accès, quais de gare</t>
  </si>
  <si>
    <t>Usage industriel</t>
  </si>
  <si>
    <t>Surface susceptibles de recevoir une accumulation de marchandises, y compris aires d'accès, par exemple : aires de stockage, y compris stockages de livres et autres documents</t>
  </si>
  <si>
    <t>Poids du remplissage</t>
  </si>
  <si>
    <t>daN/m²</t>
  </si>
  <si>
    <t>G</t>
  </si>
  <si>
    <t>F</t>
  </si>
  <si>
    <t>g =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</si>
  <si>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</si>
  <si>
    <r>
      <t>M</t>
    </r>
    <r>
      <rPr>
        <vertAlign val="subscript"/>
        <sz val="11"/>
        <color rgb="FFC00000"/>
        <rFont val="Calibri"/>
        <family val="2"/>
        <scheme val="minor"/>
      </rPr>
      <t>Ed</t>
    </r>
  </si>
  <si>
    <r>
      <t>R</t>
    </r>
    <r>
      <rPr>
        <vertAlign val="subscript"/>
        <sz val="11"/>
        <color rgb="FFC00000"/>
        <rFont val="Calibri"/>
        <family val="2"/>
        <scheme val="minor"/>
      </rPr>
      <t>v</t>
    </r>
  </si>
  <si>
    <r>
      <t>R</t>
    </r>
    <r>
      <rPr>
        <vertAlign val="subscript"/>
        <sz val="11"/>
        <color rgb="FFC00000"/>
        <rFont val="Calibri"/>
        <family val="2"/>
        <scheme val="minor"/>
      </rPr>
      <t>h</t>
    </r>
  </si>
  <si>
    <t>Vérification ELU</t>
  </si>
  <si>
    <r>
      <t>F</t>
    </r>
    <r>
      <rPr>
        <vertAlign val="subscript"/>
        <sz val="11"/>
        <color theme="1"/>
        <rFont val="Calibri"/>
        <family val="2"/>
        <scheme val="minor"/>
      </rPr>
      <t>ELU</t>
    </r>
    <r>
      <rPr>
        <sz val="11"/>
        <color theme="1"/>
        <rFont val="Calibri"/>
        <family val="2"/>
        <scheme val="minor"/>
      </rPr>
      <t xml:space="preserve"> =</t>
    </r>
  </si>
  <si>
    <t>daN</t>
  </si>
  <si>
    <r>
      <t>Résistance aux efforts normaux N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 A * fy</t>
    </r>
  </si>
  <si>
    <t>A =</t>
  </si>
  <si>
    <t>mm²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</si>
  <si>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</si>
  <si>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F</t>
    </r>
    <r>
      <rPr>
        <vertAlign val="subscript"/>
        <sz val="11"/>
        <color theme="1"/>
        <rFont val="Calibri"/>
        <family val="2"/>
        <scheme val="minor"/>
      </rPr>
      <t>ELU</t>
    </r>
    <r>
      <rPr>
        <sz val="11"/>
        <color theme="1"/>
        <rFont val="Calibri"/>
        <family val="2"/>
        <scheme val="minor"/>
      </rPr>
      <t xml:space="preserve"> * h</t>
    </r>
  </si>
  <si>
    <r>
      <t>cm</t>
    </r>
    <r>
      <rPr>
        <vertAlign val="superscript"/>
        <sz val="11"/>
        <color theme="1"/>
        <rFont val="Calibri"/>
        <family val="2"/>
        <scheme val="minor"/>
      </rPr>
      <t>4</t>
    </r>
  </si>
  <si>
    <r>
      <t>R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</si>
  <si>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r>
      <t>R</t>
    </r>
    <r>
      <rPr>
        <vertAlign val="sub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 =</t>
    </r>
  </si>
  <si>
    <t>Résistance du poteau</t>
  </si>
  <si>
    <t>+</t>
  </si>
  <si>
    <t>=</t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</si>
  <si>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</si>
  <si>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</si>
  <si>
    <r>
      <t>M</t>
    </r>
    <r>
      <rPr>
        <vertAlign val="subscript"/>
        <sz val="11"/>
        <color theme="1"/>
        <rFont val="Calibri"/>
        <family val="2"/>
        <scheme val="minor"/>
      </rPr>
      <t>el,Rd</t>
    </r>
  </si>
  <si>
    <r>
      <t>N</t>
    </r>
    <r>
      <rPr>
        <vertAlign val="subscript"/>
        <sz val="11"/>
        <color theme="1"/>
        <rFont val="Calibri"/>
        <family val="2"/>
        <scheme val="minor"/>
      </rPr>
      <t>Rd</t>
    </r>
  </si>
  <si>
    <t>Vérification ELS</t>
  </si>
  <si>
    <r>
      <t>F</t>
    </r>
    <r>
      <rPr>
        <vertAlign val="subscript"/>
        <sz val="11"/>
        <color theme="1"/>
        <rFont val="Calibri"/>
        <family val="2"/>
        <scheme val="minor"/>
      </rPr>
      <t>ELS</t>
    </r>
    <r>
      <rPr>
        <sz val="11"/>
        <color theme="1"/>
        <rFont val="Calibri"/>
        <family val="2"/>
        <scheme val="minor"/>
      </rPr>
      <t xml:space="preserve"> = L * qk</t>
    </r>
  </si>
  <si>
    <r>
      <t>F</t>
    </r>
    <r>
      <rPr>
        <vertAlign val="subscript"/>
        <sz val="11"/>
        <color theme="1"/>
        <rFont val="Calibri"/>
        <family val="2"/>
        <scheme val="minor"/>
      </rPr>
      <t>ELS</t>
    </r>
    <r>
      <rPr>
        <sz val="11"/>
        <color theme="1"/>
        <rFont val="Calibri"/>
        <family val="2"/>
        <scheme val="minor"/>
      </rPr>
      <t xml:space="preserve"> =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</si>
  <si>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k</t>
    </r>
    <r>
      <rPr>
        <b/>
        <sz val="11"/>
        <color theme="1"/>
        <rFont val="Calibri"/>
        <family val="2"/>
        <scheme val="minor"/>
      </rPr>
      <t xml:space="preserve"> =</t>
    </r>
  </si>
  <si>
    <r>
      <t>M</t>
    </r>
    <r>
      <rPr>
        <b/>
        <vertAlign val="subscript"/>
        <sz val="11"/>
        <color theme="1"/>
        <rFont val="Calibri"/>
        <family val="2"/>
        <scheme val="minor"/>
      </rPr>
      <t>el,Rd</t>
    </r>
    <r>
      <rPr>
        <b/>
        <sz val="11"/>
        <color theme="1"/>
        <rFont val="Calibri"/>
        <family val="2"/>
        <scheme val="minor"/>
      </rPr>
      <t xml:space="preserve"> =</t>
    </r>
  </si>
  <si>
    <r>
      <t>N</t>
    </r>
    <r>
      <rPr>
        <b/>
        <vertAlign val="subscript"/>
        <sz val="11"/>
        <color theme="1"/>
        <rFont val="Calibri"/>
        <family val="2"/>
        <scheme val="minor"/>
      </rPr>
      <t>Rd</t>
    </r>
    <r>
      <rPr>
        <b/>
        <sz val="11"/>
        <color theme="1"/>
        <rFont val="Calibri"/>
        <family val="2"/>
        <scheme val="minor"/>
      </rPr>
      <t xml:space="preserve"> =</t>
    </r>
  </si>
  <si>
    <t>δ</t>
  </si>
  <si>
    <t>Déplacement admissible :</t>
  </si>
  <si>
    <t>h /</t>
  </si>
  <si>
    <r>
      <t xml:space="preserve"> δ</t>
    </r>
    <r>
      <rPr>
        <vertAlign val="subscript"/>
        <sz val="11"/>
        <color theme="1"/>
        <rFont val="Calibri"/>
        <family val="2"/>
        <scheme val="minor"/>
      </rPr>
      <t>max</t>
    </r>
    <r>
      <rPr>
        <sz val="11"/>
        <color theme="1"/>
        <rFont val="Calibri"/>
        <family val="2"/>
        <scheme val="minor"/>
      </rPr>
      <t xml:space="preserve"> =</t>
    </r>
  </si>
  <si>
    <t xml:space="preserve"> δmax</t>
  </si>
  <si>
    <t>Déplacement Horizontal</t>
  </si>
  <si>
    <t xml:space="preserve"> δ =</t>
  </si>
  <si>
    <t>Ratio résistance</t>
  </si>
  <si>
    <t>Ratio déplacement</t>
  </si>
  <si>
    <t xml:space="preserve"> Première Version</t>
  </si>
  <si>
    <t>V0.0</t>
  </si>
  <si>
    <t>Modification / Correction</t>
  </si>
  <si>
    <t>Date</t>
  </si>
  <si>
    <t>Version</t>
  </si>
  <si>
    <t>Révisions :</t>
  </si>
  <si>
    <t>Informations</t>
  </si>
  <si>
    <t>Feuille 2</t>
  </si>
  <si>
    <t>Feuille 1</t>
  </si>
  <si>
    <t>Feuilles Principales de l'Utilitaire</t>
  </si>
  <si>
    <t>Onglets de la feuille de calcul :</t>
  </si>
  <si>
    <t>Cases contenant des Résultats :</t>
  </si>
  <si>
    <t>! ?</t>
  </si>
  <si>
    <t>Cases comportant des Alertes, des Commentaires ou des Schémas descriptifs :</t>
  </si>
  <si>
    <t>Cases des données à renseigner (Saisie manuelle ou menu déroulant) :</t>
  </si>
  <si>
    <t>Légende :</t>
  </si>
  <si>
    <t>Normes, Guides et Recommandations utilisées dans cette feuille :</t>
  </si>
  <si>
    <t>Objectifs :</t>
  </si>
  <si>
    <t>pour signaler toute erreur dans cette feuille.</t>
  </si>
  <si>
    <t>cours.constructionacier@gmail.com</t>
  </si>
  <si>
    <t xml:space="preserve">Merci de me contacter à </t>
  </si>
  <si>
    <t>CreativeCommon</t>
  </si>
  <si>
    <t>et est sous licence</t>
  </si>
  <si>
    <t>http://coursconstructionacier.fr</t>
  </si>
  <si>
    <t xml:space="preserve">La présente Feuille a été créée par 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</si>
  <si>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</si>
  <si>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Avertissement :</t>
  </si>
  <si>
    <t>NF EN 1993-1-1 (Octobre 2005) : Calcul des structures en Acier : Règles générales et Règles pour les Bâtiments</t>
  </si>
  <si>
    <t>NF E 85-015 (Avril 2008) : Eléments d'installations industrielles ; Moyens d'accès permanents ; Escaliers, échelles à marches et garde-corps</t>
  </si>
  <si>
    <t>NF P 06-111-2/A1 (Mars 2009) : Annexe Nationale à la NF EN 1991-1-1</t>
  </si>
  <si>
    <t>NF EN 1991-1-1 (Mars 2003) : Actions sur les structures</t>
  </si>
  <si>
    <r>
      <t>G</t>
    </r>
    <r>
      <rPr>
        <vertAlign val="subscript"/>
        <sz val="11"/>
        <color theme="1"/>
        <rFont val="Calibri"/>
        <family val="2"/>
        <scheme val="minor"/>
      </rPr>
      <t>ELU</t>
    </r>
    <r>
      <rPr>
        <sz val="11"/>
        <color theme="1"/>
        <rFont val="Calibri"/>
        <family val="2"/>
        <scheme val="minor"/>
      </rPr>
      <t xml:space="preserve"> = 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1.35 * h * L * g </t>
    </r>
  </si>
  <si>
    <r>
      <t>I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</si>
  <si>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ely</t>
    </r>
    <r>
      <rPr>
        <sz val="11"/>
        <color theme="1"/>
        <rFont val="Calibri"/>
        <family val="2"/>
        <scheme val="minor"/>
      </rPr>
      <t xml:space="preserve"> =</t>
    </r>
  </si>
  <si>
    <r>
      <t>Moment Résistant M</t>
    </r>
    <r>
      <rPr>
        <vertAlign val="subscript"/>
        <sz val="11"/>
        <color theme="1"/>
        <rFont val="Calibri"/>
        <family val="2"/>
        <scheme val="minor"/>
      </rPr>
      <t>el,Rd</t>
    </r>
    <r>
      <rPr>
        <sz val="11"/>
        <color theme="1"/>
        <rFont val="Calibri"/>
        <family val="2"/>
        <scheme val="minor"/>
      </rPr>
      <t xml:space="preserve"> = W</t>
    </r>
    <r>
      <rPr>
        <vertAlign val="subscript"/>
        <sz val="11"/>
        <color theme="1"/>
        <rFont val="Calibri"/>
        <family val="2"/>
        <scheme val="minor"/>
      </rPr>
      <t>ely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y</t>
    </r>
  </si>
  <si>
    <r>
      <t>F</t>
    </r>
    <r>
      <rPr>
        <vertAlign val="subscript"/>
        <sz val="11"/>
        <color theme="1"/>
        <rFont val="Calibri"/>
        <family val="2"/>
        <scheme val="minor"/>
      </rPr>
      <t>min,ser,m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</si>
  <si>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min,ser,m</t>
    </r>
    <r>
      <rPr>
        <sz val="11"/>
        <color theme="1"/>
        <rFont val="Calibri"/>
        <family val="2"/>
        <scheme val="minor"/>
      </rPr>
      <t xml:space="preserve"> = α * 30 * L</t>
    </r>
  </si>
  <si>
    <t>α est pris égal à 3 (valeur maximale selon NF E 85-015 Annexe A)</t>
  </si>
  <si>
    <t>NF EN 1991-1-1 et NF P 06-111-2/A1</t>
  </si>
  <si>
    <t>Type de profilé</t>
  </si>
  <si>
    <t>Masse</t>
  </si>
  <si>
    <t>Dimensions</t>
  </si>
  <si>
    <t>Aire</t>
  </si>
  <si>
    <t>Inertie</t>
  </si>
  <si>
    <t>Modules de flexion</t>
  </si>
  <si>
    <t>Rayon de giration</t>
  </si>
  <si>
    <t>Aire de cisaillement</t>
  </si>
  <si>
    <t>Inertie de Torsion</t>
  </si>
  <si>
    <t>Constante de Torsion</t>
  </si>
  <si>
    <t>G (kg/ml)</t>
  </si>
  <si>
    <t>h (mm)</t>
  </si>
  <si>
    <t>t (mm)</t>
  </si>
  <si>
    <t>ri (mm(</t>
  </si>
  <si>
    <t>ra (mm)</t>
  </si>
  <si>
    <t>A (cm2)</t>
  </si>
  <si>
    <t>I (cm4)</t>
  </si>
  <si>
    <t>Wel (cm3)</t>
  </si>
  <si>
    <t>Wpl (cm3)</t>
  </si>
  <si>
    <t>i (cm)</t>
  </si>
  <si>
    <t>Av (cm2)</t>
  </si>
  <si>
    <t>It (cm4)</t>
  </si>
  <si>
    <t>Ct (cm3)</t>
  </si>
  <si>
    <t>CARF</t>
  </si>
  <si>
    <t>1,64</t>
  </si>
  <si>
    <t>1,89</t>
  </si>
  <si>
    <t>1,68</t>
  </si>
  <si>
    <t>2,03</t>
  </si>
  <si>
    <t>2,36</t>
  </si>
  <si>
    <t>2,31</t>
  </si>
  <si>
    <t>2,82</t>
  </si>
  <si>
    <t>CARC</t>
  </si>
  <si>
    <t>b (mm)</t>
  </si>
  <si>
    <t>ri (mm)</t>
  </si>
  <si>
    <t>Iy (cm4)</t>
  </si>
  <si>
    <t>Wely (cm3)</t>
  </si>
  <si>
    <t>Wply (cm3)</t>
  </si>
  <si>
    <t>iy (cm)</t>
  </si>
  <si>
    <t>Ayz (cm2)</t>
  </si>
  <si>
    <t>Iz (cm4)</t>
  </si>
  <si>
    <t>Welz (cm3)</t>
  </si>
  <si>
    <t>Wplz (cm3)</t>
  </si>
  <si>
    <t>iz (cm)</t>
  </si>
  <si>
    <t>Azy (cm2)</t>
  </si>
  <si>
    <t>RECF</t>
  </si>
  <si>
    <t>RECC</t>
  </si>
  <si>
    <t>CIRF</t>
  </si>
  <si>
    <t>CIRC</t>
  </si>
  <si>
    <r>
      <t xml:space="preserve"> δ = F</t>
    </r>
    <r>
      <rPr>
        <vertAlign val="subscript"/>
        <sz val="11"/>
        <color theme="1"/>
        <rFont val="Calibri"/>
        <family val="2"/>
        <scheme val="minor"/>
      </rPr>
      <t>ELS</t>
    </r>
    <r>
      <rPr>
        <sz val="11"/>
        <color theme="1"/>
        <rFont val="Calibri"/>
        <family val="2"/>
        <scheme val="minor"/>
      </rPr>
      <t xml:space="preserve"> * h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/ (3 * E * I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)</t>
    </r>
  </si>
  <si>
    <t>Type de tube :</t>
  </si>
  <si>
    <t>Section :</t>
  </si>
  <si>
    <t>Finition :</t>
  </si>
  <si>
    <t>Type</t>
  </si>
  <si>
    <t>Finition</t>
  </si>
  <si>
    <t>Section</t>
  </si>
  <si>
    <t>Iy</t>
  </si>
  <si>
    <t>Wely</t>
  </si>
  <si>
    <t>Préfixe</t>
  </si>
  <si>
    <t>à Froid</t>
  </si>
  <si>
    <t>Rectangle</t>
  </si>
  <si>
    <t>=SI($AA$35="Laminé";Profilés!$A$3:$A$181;SI($AA$35="Cornière";Cornières!$B$5:$B$153;SI($AA$35="SHS";Tubes_SHS!$A$4:$A$252;SI($AA$35="RHS";Tubes_RHS!$A$4:$A$300;Tubes_CHS!$A$4:$A$197))))</t>
  </si>
  <si>
    <t>Feuilles de données à ne pas modifier !</t>
  </si>
  <si>
    <t>Tubes_SHS</t>
  </si>
  <si>
    <t>Tubes_RHS</t>
  </si>
  <si>
    <t>Tubes_CHS</t>
  </si>
  <si>
    <t>Feuille 3</t>
  </si>
  <si>
    <t>Feuille 4</t>
  </si>
  <si>
    <t>Feuille 5</t>
  </si>
  <si>
    <t>10/07/2021</t>
  </si>
  <si>
    <t>Type de Section :</t>
  </si>
  <si>
    <t>Tube</t>
  </si>
  <si>
    <t>largeur b =</t>
  </si>
  <si>
    <t>épaisseur t =</t>
  </si>
  <si>
    <t>V1.0</t>
  </si>
  <si>
    <t>13/10/2021</t>
  </si>
  <si>
    <t xml:space="preserve"> Base de données des profilées complétée</t>
  </si>
  <si>
    <t>Guide Conception et Mise en Œuvre des Garde-Corps : Programme PACTE : Mise à jour le 07/10/2020</t>
  </si>
  <si>
    <t>Vérification des Platines de Garde-Corps</t>
  </si>
  <si>
    <t>Vérification de la Main-Courante</t>
  </si>
  <si>
    <t>Q =</t>
  </si>
  <si>
    <t>Section de la Main-Courante</t>
  </si>
  <si>
    <t>Rond</t>
  </si>
  <si>
    <t>Iz</t>
  </si>
  <si>
    <t>Welz</t>
  </si>
  <si>
    <r>
      <t>I</t>
    </r>
    <r>
      <rPr>
        <vertAlign val="subscript"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</si>
  <si>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elz</t>
    </r>
    <r>
      <rPr>
        <sz val="11"/>
        <color theme="1"/>
        <rFont val="Calibri"/>
        <family val="2"/>
        <scheme val="minor"/>
      </rPr>
      <t xml:space="preserve"> =</t>
    </r>
  </si>
  <si>
    <t>Moments Résistants</t>
  </si>
  <si>
    <r>
      <t>M</t>
    </r>
    <r>
      <rPr>
        <vertAlign val="subscript"/>
        <sz val="11"/>
        <color theme="1"/>
        <rFont val="Calibri"/>
        <family val="2"/>
        <scheme val="minor"/>
      </rPr>
      <t>el,y,Rd</t>
    </r>
    <r>
      <rPr>
        <sz val="11"/>
        <color theme="1"/>
        <rFont val="Calibri"/>
        <family val="2"/>
        <scheme val="minor"/>
      </rPr>
      <t xml:space="preserve"> = W</t>
    </r>
    <r>
      <rPr>
        <vertAlign val="subscript"/>
        <sz val="11"/>
        <color theme="1"/>
        <rFont val="Calibri"/>
        <family val="2"/>
        <scheme val="minor"/>
      </rPr>
      <t>ely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y</t>
    </r>
  </si>
  <si>
    <t>Ajout de la vérification de la main-courante</t>
  </si>
  <si>
    <t>⚠ Cette feuille de calcul ne fait en aucun cas la vérification des fixations !</t>
  </si>
  <si>
    <r>
      <t>M</t>
    </r>
    <r>
      <rPr>
        <vertAlign val="subscript"/>
        <sz val="11"/>
        <color theme="1"/>
        <rFont val="Calibri"/>
        <family val="2"/>
        <scheme val="minor"/>
      </rPr>
      <t>y,Ed</t>
    </r>
    <r>
      <rPr>
        <sz val="11"/>
        <color theme="1"/>
        <rFont val="Calibri"/>
        <family val="2"/>
        <scheme val="minor"/>
      </rPr>
      <t xml:space="preserve"> = 1.5*q</t>
    </r>
    <r>
      <rPr>
        <vertAlign val="subscript"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>*L² / 8</t>
    </r>
  </si>
  <si>
    <r>
      <t>M</t>
    </r>
    <r>
      <rPr>
        <vertAlign val="subscript"/>
        <sz val="11"/>
        <color theme="1"/>
        <rFont val="Calibri"/>
        <family val="2"/>
        <scheme val="minor"/>
      </rPr>
      <t>z,Ed</t>
    </r>
    <r>
      <rPr>
        <sz val="11"/>
        <color theme="1"/>
        <rFont val="Calibri"/>
        <family val="2"/>
        <scheme val="minor"/>
      </rPr>
      <t xml:space="preserve"> = 1.5*Q*L / 4</t>
    </r>
  </si>
  <si>
    <t>Charge linéaire sur poteaux et main-courante</t>
  </si>
  <si>
    <t>Charge ponctuelle verticale sur main-courante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</si>
  <si>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el,y,Rd</t>
    </r>
    <r>
      <rPr>
        <b/>
        <sz val="11"/>
        <color theme="1"/>
        <rFont val="Calibri"/>
        <family val="2"/>
        <scheme val="minor"/>
      </rPr>
      <t xml:space="preserve"> =</t>
    </r>
  </si>
  <si>
    <r>
      <t>M</t>
    </r>
    <r>
      <rPr>
        <b/>
        <vertAlign val="subscript"/>
        <sz val="11"/>
        <color theme="1"/>
        <rFont val="Calibri"/>
        <family val="2"/>
        <scheme val="minor"/>
      </rPr>
      <t>el,z,Rd</t>
    </r>
    <r>
      <rPr>
        <b/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</si>
  <si>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el,y,Rd</t>
    </r>
  </si>
  <si>
    <r>
      <t>M</t>
    </r>
    <r>
      <rPr>
        <vertAlign val="subscript"/>
        <sz val="11"/>
        <color theme="1"/>
        <rFont val="Calibri"/>
        <family val="2"/>
        <scheme val="minor"/>
      </rPr>
      <t>el,z,Rd</t>
    </r>
  </si>
  <si>
    <t>Q</t>
  </si>
  <si>
    <t>Ratio flèche</t>
  </si>
  <si>
    <t>ω</t>
  </si>
  <si>
    <r>
      <t>Flèche admissible : ω</t>
    </r>
    <r>
      <rPr>
        <vertAlign val="subscript"/>
        <sz val="11"/>
        <color theme="1"/>
        <rFont val="Calibri"/>
        <family val="2"/>
        <scheme val="minor"/>
      </rPr>
      <t>lim</t>
    </r>
    <r>
      <rPr>
        <sz val="11"/>
        <color theme="1"/>
        <rFont val="Calibri"/>
        <family val="2"/>
        <scheme val="minor"/>
      </rPr>
      <t xml:space="preserve"> = L/300 =</t>
    </r>
  </si>
  <si>
    <r>
      <t>ω</t>
    </r>
    <r>
      <rPr>
        <vertAlign val="subscript"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 xml:space="preserve"> =</t>
    </r>
  </si>
  <si>
    <r>
      <t>ω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</si>
  <si>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ω</t>
    </r>
    <r>
      <rPr>
        <vertAlign val="subscript"/>
        <sz val="11"/>
        <color theme="1"/>
        <rFont val="Calibri"/>
        <family val="2"/>
        <scheme val="minor"/>
      </rPr>
      <t>lim</t>
    </r>
  </si>
  <si>
    <r>
      <t>ω</t>
    </r>
    <r>
      <rPr>
        <vertAlign val="subscript"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 xml:space="preserve"> = 5q</t>
    </r>
    <r>
      <rPr>
        <vertAlign val="subscript"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>L</t>
    </r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/384EI</t>
    </r>
  </si>
  <si>
    <r>
      <t>ω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 QL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/48EI</t>
    </r>
  </si>
  <si>
    <t>Vérifications horinzontales</t>
  </si>
  <si>
    <t>Vérifications verticales</t>
  </si>
  <si>
    <r>
      <t>M</t>
    </r>
    <r>
      <rPr>
        <vertAlign val="subscript"/>
        <sz val="11"/>
        <color theme="1"/>
        <rFont val="Calibri"/>
        <family val="2"/>
        <scheme val="minor"/>
      </rPr>
      <t>el,z,Rd</t>
    </r>
    <r>
      <rPr>
        <sz val="11"/>
        <color theme="1"/>
        <rFont val="Calibri"/>
        <family val="2"/>
        <scheme val="minor"/>
      </rPr>
      <t xml:space="preserve"> = W</t>
    </r>
    <r>
      <rPr>
        <vertAlign val="subscript"/>
        <sz val="11"/>
        <color theme="1"/>
        <rFont val="Calibri"/>
        <family val="2"/>
        <scheme val="minor"/>
      </rPr>
      <t>elz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y</t>
    </r>
  </si>
  <si>
    <t>Dimensions de la platine</t>
  </si>
  <si>
    <t>Type de platine :</t>
  </si>
  <si>
    <t>H =</t>
  </si>
  <si>
    <t>c =</t>
  </si>
  <si>
    <t>e =</t>
  </si>
  <si>
    <t>e' =</t>
  </si>
  <si>
    <t>m =</t>
  </si>
  <si>
    <t>Vérification de la rigidité de la platine</t>
  </si>
  <si>
    <r>
      <t>épaisseur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</si>
  <si>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</t>
    </r>
  </si>
  <si>
    <r>
      <t>h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</si>
  <si>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</si>
  <si>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2*t</t>
    </r>
    <r>
      <rPr>
        <vertAlign val="subscript"/>
        <sz val="11"/>
        <color theme="1"/>
        <rFont val="Calibri"/>
        <family val="2"/>
        <scheme val="minor"/>
      </rPr>
      <t>p</t>
    </r>
  </si>
  <si>
    <t>c</t>
  </si>
  <si>
    <t>Longueur du débord comprimé</t>
  </si>
  <si>
    <t>Bras de levier Z =</t>
  </si>
  <si>
    <r>
      <t>Moment Résistant M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 W</t>
    </r>
    <r>
      <rPr>
        <vertAlign val="subscript"/>
        <sz val="11"/>
        <color theme="1"/>
        <rFont val="Calibri"/>
        <family val="2"/>
        <scheme val="minor"/>
      </rPr>
      <t>ply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y</t>
    </r>
  </si>
  <si>
    <r>
      <t>M</t>
    </r>
    <r>
      <rPr>
        <b/>
        <vertAlign val="subscript"/>
        <sz val="11"/>
        <color theme="1"/>
        <rFont val="Calibri"/>
        <family val="2"/>
        <scheme val="minor"/>
      </rPr>
      <t>pl,Rd</t>
    </r>
    <r>
      <rPr>
        <b/>
        <sz val="11"/>
        <color theme="1"/>
        <rFont val="Calibri"/>
        <family val="2"/>
        <scheme val="minor"/>
      </rPr>
      <t xml:space="preserve"> =</t>
    </r>
  </si>
  <si>
    <r>
      <t>Largeur efficace L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</si>
  <si>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t>○</t>
  </si>
  <si>
    <t>Vérification de la Platine</t>
  </si>
  <si>
    <r>
      <t>Traction à l'axe des chevilles F = 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/ Z =</t>
    </r>
  </si>
  <si>
    <r>
      <t>Moment dans la platine M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 F * m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</si>
  <si>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</t>
    </r>
  </si>
  <si>
    <t>Distance entre une cheville et le montant m =</t>
  </si>
  <si>
    <t>Vérification des conditions de pas et pince</t>
  </si>
  <si>
    <t>Diamètre des chevilles d =</t>
  </si>
  <si>
    <t>p =</t>
  </si>
  <si>
    <t>1.5*d =</t>
  </si>
  <si>
    <t>3*d =</t>
  </si>
  <si>
    <t>Vérification des Montants de Garde-Corps</t>
  </si>
  <si>
    <t>2*d =</t>
  </si>
  <si>
    <t>Correction d'erreur de lecture de la base de donnée</t>
  </si>
  <si>
    <t>Vérif GC Complète</t>
  </si>
  <si>
    <t>⚠ Cette feuille ne vérifie pas les fixations !!!</t>
  </si>
  <si>
    <t>X</t>
  </si>
  <si>
    <t>Y</t>
  </si>
  <si>
    <t>C</t>
  </si>
  <si>
    <t>AC</t>
  </si>
  <si>
    <t>AD</t>
  </si>
  <si>
    <t>AB</t>
  </si>
  <si>
    <r>
      <t>L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réduit</t>
    </r>
  </si>
  <si>
    <t>O</t>
  </si>
  <si>
    <t>0.3 m =</t>
  </si>
  <si>
    <t>n</t>
  </si>
  <si>
    <t>E</t>
  </si>
  <si>
    <r>
      <t>W</t>
    </r>
    <r>
      <rPr>
        <vertAlign val="subscript"/>
        <sz val="11"/>
        <color theme="1"/>
        <rFont val="Calibri"/>
        <family val="2"/>
        <scheme val="minor"/>
      </rPr>
      <t>ply</t>
    </r>
    <r>
      <rPr>
        <sz val="11"/>
        <color theme="1"/>
        <rFont val="Calibri"/>
        <family val="2"/>
        <scheme val="minor"/>
      </rPr>
      <t xml:space="preserve"> = L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*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/4 =</t>
    </r>
  </si>
  <si>
    <r>
      <t>I = L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*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/12 =</t>
    </r>
  </si>
  <si>
    <t>n =</t>
  </si>
  <si>
    <t>1.25*m =</t>
  </si>
  <si>
    <t>Vérification des Eléments de Garde-Corps</t>
  </si>
  <si>
    <t>L'objectif de cette feuille est de vérifier la résistance et le déplacement des éléments de garde-corps.</t>
  </si>
  <si>
    <t xml:space="preserve"> Fusion des feuilles de vérification des poteaux de garde corps en plat et en tube</t>
  </si>
  <si>
    <t>V2.0</t>
  </si>
  <si>
    <t>⟋</t>
  </si>
  <si>
    <t>B'</t>
  </si>
  <si>
    <t>kN/mm</t>
  </si>
  <si>
    <r>
      <t xml:space="preserve"> Rigide si </t>
    </r>
    <r>
      <rPr>
        <b/>
        <i/>
        <sz val="11"/>
        <color rgb="FF0070C0"/>
        <rFont val="Calibri"/>
        <family val="2"/>
        <scheme val="minor"/>
      </rPr>
      <t>F/δ</t>
    </r>
    <r>
      <rPr>
        <b/>
        <i/>
        <vertAlign val="subscript"/>
        <sz val="11"/>
        <color rgb="FF0070C0"/>
        <rFont val="Calibri"/>
        <family val="2"/>
        <scheme val="minor"/>
      </rPr>
      <t>p</t>
    </r>
    <r>
      <rPr>
        <b/>
        <i/>
        <sz val="11"/>
        <color rgb="FF0070C0"/>
        <rFont val="Calibri"/>
        <family val="2"/>
        <scheme val="minor"/>
      </rPr>
      <t xml:space="preserve"> ≥ N/δₙ₀</t>
    </r>
    <r>
      <rPr>
        <i/>
        <sz val="11"/>
        <color rgb="FF0070C0"/>
        <rFont val="Calibri"/>
        <family val="2"/>
        <scheme val="minor"/>
      </rPr>
      <t xml:space="preserve"> (N et δₙ₀ disponibles dans l'ETE de la fixation choisie)</t>
    </r>
  </si>
  <si>
    <t>Raideur :</t>
  </si>
  <si>
    <t>Ajout de la raideur de platine au niveau de la cheville</t>
  </si>
  <si>
    <t>B =</t>
  </si>
  <si>
    <t>Coefficient de continuité :</t>
  </si>
  <si>
    <t>CIRF  42.4*2</t>
  </si>
  <si>
    <t>à Chaud</t>
  </si>
  <si>
    <t>RECC  50*30*5</t>
  </si>
  <si>
    <t>14/04/2024</t>
  </si>
  <si>
    <t>Ajout de la vérification des platines d'après le guide du programme PACTE</t>
  </si>
  <si>
    <t>Calcul des dimensions efficasse de la platine</t>
  </si>
  <si>
    <r>
      <rPr>
        <i/>
        <u/>
        <sz val="11"/>
        <color rgb="FF0070C0"/>
        <rFont val="Calibri"/>
        <family val="2"/>
        <scheme val="minor"/>
      </rPr>
      <t>/!\</t>
    </r>
    <r>
      <rPr>
        <i/>
        <sz val="11"/>
        <color rgb="FF0070C0"/>
        <rFont val="Calibri"/>
        <family val="2"/>
        <scheme val="minor"/>
      </rPr>
      <t xml:space="preserve"> Dans le doute, laisser le coefficient de continuité à 1.135</t>
    </r>
  </si>
  <si>
    <t>V2.1</t>
  </si>
  <si>
    <t>24/11/2025</t>
  </si>
  <si>
    <t>Correction de la flèche verticale de main courante</t>
  </si>
  <si>
    <t>Comment faire des garde-corps ? : Union des Métalliers : 2025</t>
  </si>
  <si>
    <t>NF P 01-012 (Novembre 2024) : Solutions techniques relatives aux éléments de protection visant à limiter le risque de chute accidentelle de hauteur des personnes dans le cadre d'un usage normal des bâtiments</t>
  </si>
  <si>
    <t>Espaces équipés de sièges fixes, par exemple : églises, théatre ou cinémas, salles de conférence, amphithéatres, salles de réunion, salles d'attente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</si>
</sst>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#,##0.0"/>
  </numFmts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vertAlign val="subscript"/>
      <sz val="11"/>
      <color rgb="FFC0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12"/>
      <color rgb="FFC00000"/>
      <name val="Calibri Light"/>
      <family val="2"/>
      <scheme val="maj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i/>
      <sz val="11"/>
      <color rgb="FF0070C0"/>
      <name val="Calibri"/>
      <family val="2"/>
      <scheme val="minor"/>
    </font>
    <font>
      <b/>
      <i/>
      <vertAlign val="subscript"/>
      <sz val="11"/>
      <color rgb="FF0070C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22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u/>
      <sz val="11"/>
      <color rgb="FF0070C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/>
      <bottom style="thin">
        <color rgb="FFFF000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345">
    <xf numFmtId="0" fontId="0" fillId="0" borderId="0" xfId="0"/>
    <xf numFmtId="0" fontId="0" fillId="3" borderId="0" xfId="0" applyFill="1" applyAlignment="1">
      <alignment vertical="center"/>
    </xf>
    <xf numFmtId="0" fontId="0" fillId="3" borderId="0" xfId="0" applyFill="1"/>
    <xf numFmtId="0" fontId="0" fillId="3" borderId="7" xfId="0" applyFill="1" applyBorder="1"/>
    <xf numFmtId="0" fontId="1" fillId="3" borderId="7" xfId="0" applyFont="1" applyFill="1" applyBorder="1"/>
    <xf numFmtId="0" fontId="17" fillId="3" borderId="0" xfId="1" applyFill="1" applyAlignment="1">
      <alignment vertical="center"/>
    </xf>
    <xf numFmtId="0" fontId="0" fillId="3" borderId="0" xfId="0" applyFill="1" applyAlignment="1">
      <alignment horizontal="left" vertical="center"/>
    </xf>
    <xf numFmtId="49" fontId="0" fillId="9" borderId="32" xfId="0" applyNumberForma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9" xfId="0" applyFill="1" applyBorder="1" applyAlignment="1">
      <alignment horizontal="center" vertical="center" wrapText="1"/>
    </xf>
    <xf numFmtId="0" fontId="0" fillId="9" borderId="37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 wrapText="1"/>
    </xf>
    <xf numFmtId="0" fontId="0" fillId="9" borderId="4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49" fontId="0" fillId="9" borderId="41" xfId="0" applyNumberFormat="1" applyFill="1" applyBorder="1" applyAlignment="1">
      <alignment horizontal="center"/>
    </xf>
    <xf numFmtId="0" fontId="0" fillId="9" borderId="41" xfId="0" applyFill="1" applyBorder="1" applyAlignment="1">
      <alignment horizontal="center"/>
    </xf>
    <xf numFmtId="0" fontId="0" fillId="9" borderId="42" xfId="0" applyFill="1" applyBorder="1" applyAlignment="1">
      <alignment horizontal="center"/>
    </xf>
    <xf numFmtId="0" fontId="0" fillId="9" borderId="43" xfId="0" applyFill="1" applyBorder="1" applyAlignment="1">
      <alignment horizontal="center"/>
    </xf>
    <xf numFmtId="0" fontId="0" fillId="9" borderId="44" xfId="0" applyFill="1" applyBorder="1" applyAlignment="1">
      <alignment horizontal="center"/>
    </xf>
    <xf numFmtId="0" fontId="0" fillId="9" borderId="45" xfId="0" applyFill="1" applyBorder="1" applyAlignment="1">
      <alignment horizontal="center"/>
    </xf>
    <xf numFmtId="0" fontId="0" fillId="9" borderId="46" xfId="0" applyFill="1" applyBorder="1" applyAlignment="1">
      <alignment horizontal="center"/>
    </xf>
    <xf numFmtId="0" fontId="0" fillId="9" borderId="47" xfId="0" applyFill="1" applyBorder="1" applyAlignment="1">
      <alignment horizontal="center"/>
    </xf>
    <xf numFmtId="0" fontId="0" fillId="9" borderId="48" xfId="0" applyFill="1" applyBorder="1" applyAlignment="1">
      <alignment horizontal="center"/>
    </xf>
    <xf numFmtId="49" fontId="16" fillId="10" borderId="49" xfId="0" applyNumberFormat="1" applyFont="1" applyFill="1" applyBorder="1" applyAlignment="1">
      <alignment horizontal="center"/>
    </xf>
    <xf numFmtId="0" fontId="16" fillId="10" borderId="18" xfId="0" applyFont="1" applyFill="1" applyBorder="1"/>
    <xf numFmtId="0" fontId="16" fillId="10" borderId="23" xfId="0" applyFont="1" applyFill="1" applyBorder="1"/>
    <xf numFmtId="0" fontId="16" fillId="10" borderId="19" xfId="0" applyFont="1" applyFill="1" applyBorder="1"/>
    <xf numFmtId="0" fontId="16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49" fontId="0" fillId="2" borderId="29" xfId="0" applyNumberForma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165" fontId="0" fillId="2" borderId="13" xfId="0" applyNumberFormat="1" applyFill="1" applyBorder="1" applyAlignment="1">
      <alignment horizontal="center"/>
    </xf>
    <xf numFmtId="166" fontId="0" fillId="2" borderId="13" xfId="0" applyNumberFormat="1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49" fontId="0" fillId="2" borderId="27" xfId="0" applyNumberFormat="1" applyFill="1" applyBorder="1" applyAlignment="1">
      <alignment horizontal="center"/>
    </xf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horizontal="center"/>
    </xf>
    <xf numFmtId="166" fontId="0" fillId="2" borderId="0" xfId="0" applyNumberFormat="1" applyFill="1" applyAlignment="1">
      <alignment horizontal="center"/>
    </xf>
    <xf numFmtId="0" fontId="0" fillId="2" borderId="28" xfId="0" applyFill="1" applyBorder="1" applyAlignment="1">
      <alignment horizontal="center"/>
    </xf>
    <xf numFmtId="49" fontId="0" fillId="2" borderId="26" xfId="0" applyNumberForma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0" fillId="2" borderId="10" xfId="0" applyNumberFormat="1" applyFill="1" applyBorder="1" applyAlignment="1">
      <alignment horizontal="center"/>
    </xf>
    <xf numFmtId="165" fontId="0" fillId="2" borderId="10" xfId="0" applyNumberFormat="1" applyFill="1" applyBorder="1" applyAlignment="1">
      <alignment horizontal="center"/>
    </xf>
    <xf numFmtId="166" fontId="0" fillId="2" borderId="10" xfId="0" applyNumberFormat="1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3" fontId="0" fillId="2" borderId="13" xfId="0" applyNumberFormat="1" applyFill="1" applyBorder="1" applyAlignment="1">
      <alignment horizontal="center"/>
    </xf>
    <xf numFmtId="3" fontId="0" fillId="2" borderId="0" xfId="0" applyNumberFormat="1" applyFill="1" applyAlignment="1">
      <alignment horizontal="center"/>
    </xf>
    <xf numFmtId="3" fontId="0" fillId="2" borderId="10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2" borderId="13" xfId="0" applyNumberForma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2" borderId="10" xfId="0" applyNumberFormat="1" applyFill="1" applyBorder="1" applyAlignment="1">
      <alignment horizontal="center"/>
    </xf>
    <xf numFmtId="0" fontId="0" fillId="9" borderId="15" xfId="0" applyFill="1" applyBorder="1" applyAlignment="1">
      <alignment horizontal="center" vertical="center" wrapText="1"/>
    </xf>
    <xf numFmtId="49" fontId="0" fillId="9" borderId="50" xfId="0" applyNumberFormat="1" applyFill="1" applyBorder="1" applyAlignment="1">
      <alignment horizontal="center"/>
    </xf>
    <xf numFmtId="0" fontId="0" fillId="9" borderId="50" xfId="0" applyFill="1" applyBorder="1" applyAlignment="1">
      <alignment horizontal="center"/>
    </xf>
    <xf numFmtId="0" fontId="0" fillId="9" borderId="51" xfId="0" applyFill="1" applyBorder="1" applyAlignment="1">
      <alignment horizontal="center"/>
    </xf>
    <xf numFmtId="0" fontId="0" fillId="9" borderId="52" xfId="0" applyFill="1" applyBorder="1" applyAlignment="1">
      <alignment horizontal="center"/>
    </xf>
    <xf numFmtId="0" fontId="0" fillId="9" borderId="53" xfId="0" applyFill="1" applyBorder="1" applyAlignment="1">
      <alignment horizontal="center"/>
    </xf>
    <xf numFmtId="0" fontId="0" fillId="9" borderId="54" xfId="0" applyFill="1" applyBorder="1" applyAlignment="1">
      <alignment horizontal="center"/>
    </xf>
    <xf numFmtId="49" fontId="16" fillId="10" borderId="32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9" fontId="0" fillId="2" borderId="29" xfId="0" applyNumberFormat="1" applyFill="1" applyBorder="1" applyAlignment="1">
      <alignment horizontal="center" vertical="center"/>
    </xf>
    <xf numFmtId="2" fontId="0" fillId="2" borderId="13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66" fontId="0" fillId="2" borderId="13" xfId="0" applyNumberForma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49" fontId="0" fillId="2" borderId="27" xfId="0" applyNumberFormat="1" applyFill="1" applyBorder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49" fontId="0" fillId="2" borderId="26" xfId="0" applyNumberFormat="1" applyFill="1" applyBorder="1" applyAlignment="1">
      <alignment horizontal="center" vertical="center"/>
    </xf>
    <xf numFmtId="2" fontId="0" fillId="2" borderId="10" xfId="0" applyNumberForma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166" fontId="0" fillId="2" borderId="10" xfId="0" applyNumberFormat="1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16" fillId="10" borderId="18" xfId="0" applyFont="1" applyFill="1" applyBorder="1" applyAlignment="1">
      <alignment horizontal="center"/>
    </xf>
    <xf numFmtId="0" fontId="16" fillId="10" borderId="23" xfId="0" applyFont="1" applyFill="1" applyBorder="1" applyAlignment="1">
      <alignment horizontal="center"/>
    </xf>
    <xf numFmtId="0" fontId="16" fillId="10" borderId="19" xfId="0" applyFont="1" applyFill="1" applyBorder="1" applyAlignment="1">
      <alignment horizontal="center"/>
    </xf>
    <xf numFmtId="49" fontId="0" fillId="0" borderId="0" xfId="0" applyNumberFormat="1"/>
    <xf numFmtId="0" fontId="0" fillId="9" borderId="32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/>
    </xf>
    <xf numFmtId="0" fontId="16" fillId="10" borderId="49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2" borderId="29" xfId="0" applyFill="1" applyBorder="1" applyAlignment="1">
      <alignment horizontal="center"/>
    </xf>
    <xf numFmtId="4" fontId="0" fillId="2" borderId="13" xfId="0" applyNumberFormat="1" applyFill="1" applyBorder="1" applyAlignment="1">
      <alignment horizontal="center"/>
    </xf>
    <xf numFmtId="0" fontId="0" fillId="2" borderId="30" xfId="0" applyFill="1" applyBorder="1"/>
    <xf numFmtId="0" fontId="0" fillId="2" borderId="27" xfId="0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0" fontId="0" fillId="2" borderId="28" xfId="0" applyFill="1" applyBorder="1"/>
    <xf numFmtId="0" fontId="0" fillId="2" borderId="26" xfId="0" applyFill="1" applyBorder="1" applyAlignment="1">
      <alignment horizontal="center"/>
    </xf>
    <xf numFmtId="4" fontId="0" fillId="2" borderId="10" xfId="0" applyNumberFormat="1" applyFill="1" applyBorder="1" applyAlignment="1">
      <alignment horizontal="center"/>
    </xf>
    <xf numFmtId="0" fontId="0" fillId="2" borderId="31" xfId="0" applyFill="1" applyBorder="1"/>
    <xf numFmtId="1" fontId="0" fillId="0" borderId="0" xfId="0" applyNumberFormat="1" applyAlignment="1">
      <alignment horizontal="center"/>
    </xf>
    <xf numFmtId="1" fontId="0" fillId="2" borderId="13" xfId="0" applyNumberFormat="1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10" xfId="0" applyNumberFormat="1" applyFill="1" applyBorder="1" applyAlignment="1">
      <alignment horizontal="center"/>
    </xf>
    <xf numFmtId="0" fontId="21" fillId="3" borderId="0" xfId="0" applyFont="1" applyFill="1"/>
    <xf numFmtId="0" fontId="8" fillId="3" borderId="0" xfId="0" applyFont="1" applyFill="1"/>
    <xf numFmtId="4" fontId="0" fillId="0" borderId="0" xfId="0" applyNumberFormat="1" applyAlignment="1">
      <alignment horizontal="center" vertical="center"/>
    </xf>
    <xf numFmtId="4" fontId="0" fillId="2" borderId="13" xfId="0" applyNumberForma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0" fillId="2" borderId="0" xfId="0" applyNumberFormat="1" applyFill="1" applyAlignment="1">
      <alignment horizontal="center" vertical="center"/>
    </xf>
    <xf numFmtId="4" fontId="0" fillId="2" borderId="28" xfId="0" applyNumberFormat="1" applyFill="1" applyBorder="1" applyAlignment="1">
      <alignment horizontal="center" vertical="center"/>
    </xf>
    <xf numFmtId="4" fontId="0" fillId="2" borderId="10" xfId="0" applyNumberFormat="1" applyFill="1" applyBorder="1" applyAlignment="1">
      <alignment horizontal="center" vertical="center"/>
    </xf>
    <xf numFmtId="4" fontId="0" fillId="2" borderId="31" xfId="0" applyNumberFormat="1" applyFill="1" applyBorder="1" applyAlignment="1">
      <alignment horizontal="center" vertical="center"/>
    </xf>
    <xf numFmtId="1" fontId="0" fillId="8" borderId="58" xfId="0" applyNumberFormat="1" applyFill="1" applyBorder="1" applyAlignment="1" applyProtection="1">
      <alignment vertical="center"/>
      <protection locked="0"/>
    </xf>
    <xf numFmtId="1" fontId="0" fillId="8" borderId="56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0" fillId="3" borderId="9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3" borderId="0" xfId="0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0" fillId="3" borderId="11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0" fillId="3" borderId="3" xfId="0" applyNumberFormat="1" applyFill="1" applyBorder="1" applyAlignment="1">
      <alignment horizontal="center" vertical="center"/>
    </xf>
    <xf numFmtId="164" fontId="0" fillId="3" borderId="0" xfId="0" applyNumberFormat="1" applyFill="1" applyAlignment="1">
      <alignment vertical="center"/>
    </xf>
    <xf numFmtId="0" fontId="0" fillId="3" borderId="0" xfId="0" applyFill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164" fontId="0" fillId="3" borderId="21" xfId="0" applyNumberFormat="1" applyFill="1" applyBorder="1" applyAlignment="1">
      <alignment horizontal="center" vertical="center"/>
    </xf>
    <xf numFmtId="1" fontId="0" fillId="3" borderId="0" xfId="0" applyNumberFormat="1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64" fontId="0" fillId="3" borderId="8" xfId="0" applyNumberForma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1" fontId="0" fillId="3" borderId="42" xfId="0" applyNumberFormat="1" applyFill="1" applyBorder="1" applyAlignment="1">
      <alignment horizontal="center" vertical="center"/>
    </xf>
    <xf numFmtId="1" fontId="0" fillId="3" borderId="44" xfId="0" applyNumberFormat="1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164" fontId="0" fillId="3" borderId="44" xfId="0" applyNumberFormat="1" applyFill="1" applyBorder="1" applyAlignment="1">
      <alignment horizontal="center" vertical="center"/>
    </xf>
    <xf numFmtId="164" fontId="0" fillId="3" borderId="46" xfId="0" applyNumberFormat="1" applyFill="1" applyBorder="1" applyAlignment="1">
      <alignment horizontal="center" vertical="center"/>
    </xf>
    <xf numFmtId="0" fontId="1" fillId="3" borderId="0" xfId="0" applyFont="1" applyFill="1" applyAlignment="1">
      <alignment horizontal="right" vertical="center"/>
    </xf>
    <xf numFmtId="0" fontId="1" fillId="3" borderId="23" xfId="0" applyFont="1" applyFill="1" applyBorder="1" applyAlignment="1">
      <alignment horizontal="center" vertical="center"/>
    </xf>
    <xf numFmtId="0" fontId="19" fillId="3" borderId="0" xfId="0" applyFont="1" applyFill="1" applyAlignment="1">
      <alignment horizontal="right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0" fillId="3" borderId="22" xfId="0" applyFill="1" applyBorder="1" applyAlignment="1">
      <alignment horizontal="center" vertical="center"/>
    </xf>
    <xf numFmtId="0" fontId="0" fillId="3" borderId="21" xfId="0" applyFill="1" applyBorder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5" xfId="0" applyFont="1" applyFill="1" applyBorder="1" applyAlignment="1">
      <alignment vertical="center"/>
    </xf>
    <xf numFmtId="0" fontId="10" fillId="3" borderId="0" xfId="0" applyFont="1" applyFill="1" applyAlignment="1">
      <alignment horizontal="right"/>
    </xf>
    <xf numFmtId="0" fontId="10" fillId="3" borderId="0" xfId="0" applyFont="1" applyFill="1" applyAlignment="1">
      <alignment horizontal="center" vertical="top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2" fontId="0" fillId="3" borderId="0" xfId="0" applyNumberFormat="1" applyFill="1" applyAlignment="1">
      <alignment horizontal="center" vertical="center"/>
    </xf>
    <xf numFmtId="0" fontId="14" fillId="3" borderId="0" xfId="0" applyFont="1" applyFill="1" applyAlignment="1">
      <alignment horizontal="center" vertical="top"/>
    </xf>
    <xf numFmtId="0" fontId="0" fillId="3" borderId="27" xfId="0" applyFill="1" applyBorder="1" applyAlignment="1">
      <alignment vertical="center"/>
    </xf>
    <xf numFmtId="0" fontId="0" fillId="3" borderId="26" xfId="0" applyFill="1" applyBorder="1" applyAlignment="1">
      <alignment vertical="center"/>
    </xf>
    <xf numFmtId="164" fontId="1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horizontal="right" vertical="center"/>
    </xf>
    <xf numFmtId="0" fontId="0" fillId="3" borderId="6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164" fontId="0" fillId="3" borderId="42" xfId="0" applyNumberFormat="1" applyFill="1" applyBorder="1" applyAlignment="1">
      <alignment horizontal="center" vertical="center"/>
    </xf>
    <xf numFmtId="0" fontId="1" fillId="3" borderId="0" xfId="0" applyFont="1" applyFill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3" xfId="0" applyFont="1" applyFill="1" applyBorder="1" applyAlignment="1">
      <alignment vertical="center"/>
    </xf>
    <xf numFmtId="0" fontId="13" fillId="3" borderId="2" xfId="0" applyFont="1" applyFill="1" applyBorder="1" applyAlignment="1">
      <alignment vertical="top"/>
    </xf>
    <xf numFmtId="0" fontId="23" fillId="3" borderId="0" xfId="0" applyFont="1" applyFill="1" applyAlignment="1">
      <alignment vertical="center"/>
    </xf>
    <xf numFmtId="0" fontId="0" fillId="3" borderId="56" xfId="0" applyFill="1" applyBorder="1" applyAlignment="1">
      <alignment vertical="center"/>
    </xf>
    <xf numFmtId="0" fontId="0" fillId="7" borderId="29" xfId="0" applyFill="1" applyBorder="1" applyAlignment="1">
      <alignment vertical="center"/>
    </xf>
    <xf numFmtId="0" fontId="0" fillId="7" borderId="30" xfId="0" applyFill="1" applyBorder="1" applyAlignment="1">
      <alignment vertical="center"/>
    </xf>
    <xf numFmtId="0" fontId="0" fillId="3" borderId="57" xfId="0" applyFill="1" applyBorder="1" applyAlignment="1">
      <alignment vertical="center"/>
    </xf>
    <xf numFmtId="0" fontId="0" fillId="7" borderId="27" xfId="0" applyFill="1" applyBorder="1" applyAlignment="1">
      <alignment vertical="center"/>
    </xf>
    <xf numFmtId="0" fontId="0" fillId="7" borderId="28" xfId="0" applyFill="1" applyBorder="1" applyAlignment="1">
      <alignment vertical="center"/>
    </xf>
    <xf numFmtId="0" fontId="0" fillId="7" borderId="26" xfId="0" applyFill="1" applyBorder="1" applyAlignment="1">
      <alignment vertical="center"/>
    </xf>
    <xf numFmtId="0" fontId="0" fillId="7" borderId="31" xfId="0" applyFill="1" applyBorder="1" applyAlignment="1">
      <alignment vertical="center"/>
    </xf>
    <xf numFmtId="0" fontId="0" fillId="3" borderId="0" xfId="0" applyFill="1" applyAlignment="1">
      <alignment horizontal="center" vertical="center" textRotation="45"/>
    </xf>
    <xf numFmtId="0" fontId="28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0" fillId="3" borderId="0" xfId="0" applyFill="1" applyAlignment="1">
      <alignment vertical="top"/>
    </xf>
    <xf numFmtId="0" fontId="0" fillId="3" borderId="57" xfId="0" applyFill="1" applyBorder="1" applyAlignment="1">
      <alignment textRotation="90"/>
    </xf>
    <xf numFmtId="1" fontId="0" fillId="3" borderId="0" xfId="0" applyNumberFormat="1" applyFill="1" applyAlignment="1">
      <alignment vertical="center"/>
    </xf>
    <xf numFmtId="0" fontId="28" fillId="3" borderId="7" xfId="0" applyFont="1" applyFill="1" applyBorder="1" applyAlignment="1">
      <alignment horizontal="center" vertical="center"/>
    </xf>
    <xf numFmtId="0" fontId="0" fillId="3" borderId="58" xfId="0" applyFill="1" applyBorder="1" applyAlignment="1">
      <alignment vertical="center"/>
    </xf>
    <xf numFmtId="1" fontId="0" fillId="3" borderId="59" xfId="0" applyNumberFormat="1" applyFill="1" applyBorder="1" applyAlignment="1">
      <alignment vertical="center"/>
    </xf>
    <xf numFmtId="0" fontId="0" fillId="3" borderId="59" xfId="0" applyFill="1" applyBorder="1" applyAlignment="1">
      <alignment horizontal="right" vertical="center"/>
    </xf>
    <xf numFmtId="0" fontId="0" fillId="3" borderId="55" xfId="0" applyFill="1" applyBorder="1" applyAlignment="1">
      <alignment vertical="center"/>
    </xf>
    <xf numFmtId="0" fontId="0" fillId="3" borderId="59" xfId="0" applyFill="1" applyBorder="1" applyAlignment="1">
      <alignment vertical="center"/>
    </xf>
    <xf numFmtId="0" fontId="0" fillId="3" borderId="55" xfId="0" applyFill="1" applyBorder="1" applyAlignment="1">
      <alignment horizontal="right" vertical="center"/>
    </xf>
    <xf numFmtId="0" fontId="0" fillId="3" borderId="58" xfId="0" applyFill="1" applyBorder="1" applyAlignment="1">
      <alignment horizontal="right" vertical="center"/>
    </xf>
    <xf numFmtId="0" fontId="1" fillId="3" borderId="0" xfId="0" applyFont="1" applyFill="1" applyAlignment="1">
      <alignment horizontal="left" vertical="center" indent="1"/>
    </xf>
    <xf numFmtId="0" fontId="21" fillId="3" borderId="0" xfId="0" applyFont="1" applyFill="1" applyAlignment="1">
      <alignment vertical="center"/>
    </xf>
    <xf numFmtId="0" fontId="23" fillId="3" borderId="0" xfId="0" applyFont="1" applyFill="1" applyAlignment="1">
      <alignment horizontal="left" vertical="center"/>
    </xf>
    <xf numFmtId="2" fontId="27" fillId="3" borderId="0" xfId="0" applyNumberFormat="1" applyFont="1" applyFill="1" applyAlignment="1">
      <alignment horizontal="left" vertical="center"/>
    </xf>
    <xf numFmtId="2" fontId="27" fillId="3" borderId="5" xfId="0" applyNumberFormat="1" applyFont="1" applyFill="1" applyBorder="1" applyAlignment="1">
      <alignment horizontal="left" vertical="center"/>
    </xf>
    <xf numFmtId="0" fontId="22" fillId="3" borderId="0" xfId="0" applyFont="1" applyFill="1" applyAlignment="1">
      <alignment vertical="center"/>
    </xf>
    <xf numFmtId="0" fontId="30" fillId="3" borderId="0" xfId="0" quotePrefix="1" applyFont="1" applyFill="1" applyAlignment="1">
      <alignment vertical="center"/>
    </xf>
    <xf numFmtId="0" fontId="0" fillId="3" borderId="4" xfId="0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164" fontId="0" fillId="3" borderId="7" xfId="0" applyNumberFormat="1" applyFill="1" applyBorder="1" applyAlignment="1">
      <alignment horizontal="center" vertical="center"/>
    </xf>
    <xf numFmtId="0" fontId="0" fillId="3" borderId="0" xfId="0" applyFill="1" applyAlignment="1">
      <alignment horizontal="left" wrapText="1"/>
    </xf>
    <xf numFmtId="0" fontId="0" fillId="3" borderId="0" xfId="0" applyFill="1" applyAlignment="1">
      <alignment horizontal="center"/>
    </xf>
    <xf numFmtId="0" fontId="0" fillId="3" borderId="28" xfId="0" applyFill="1" applyBorder="1" applyAlignment="1">
      <alignment horizontal="center"/>
    </xf>
    <xf numFmtId="14" fontId="0" fillId="3" borderId="27" xfId="0" quotePrefix="1" applyNumberFormat="1" applyFill="1" applyBorder="1" applyAlignment="1">
      <alignment horizontal="center"/>
    </xf>
    <xf numFmtId="14" fontId="0" fillId="3" borderId="0" xfId="0" quotePrefix="1" applyNumberFormat="1" applyFill="1" applyAlignment="1">
      <alignment horizontal="center"/>
    </xf>
    <xf numFmtId="14" fontId="0" fillId="3" borderId="28" xfId="0" quotePrefix="1" applyNumberFormat="1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7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29" xfId="0" applyFill="1" applyBorder="1" applyAlignment="1">
      <alignment horizontal="left"/>
    </xf>
    <xf numFmtId="0" fontId="0" fillId="3" borderId="13" xfId="0" applyFill="1" applyBorder="1" applyAlignment="1">
      <alignment horizontal="left"/>
    </xf>
    <xf numFmtId="0" fontId="0" fillId="3" borderId="13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14" fontId="0" fillId="3" borderId="29" xfId="0" quotePrefix="1" applyNumberFormat="1" applyFill="1" applyBorder="1" applyAlignment="1">
      <alignment horizontal="center"/>
    </xf>
    <xf numFmtId="14" fontId="0" fillId="3" borderId="13" xfId="0" quotePrefix="1" applyNumberFormat="1" applyFill="1" applyBorder="1" applyAlignment="1">
      <alignment horizontal="center"/>
    </xf>
    <xf numFmtId="14" fontId="0" fillId="3" borderId="30" xfId="0" quotePrefix="1" applyNumberFormat="1" applyFill="1" applyBorder="1" applyAlignment="1">
      <alignment horizontal="center"/>
    </xf>
    <xf numFmtId="0" fontId="0" fillId="3" borderId="2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17" fillId="3" borderId="0" xfId="1" applyFill="1" applyAlignment="1">
      <alignment horizontal="left" vertical="center"/>
    </xf>
    <xf numFmtId="0" fontId="17" fillId="3" borderId="0" xfId="1" applyFill="1" applyAlignment="1">
      <alignment horizontal="left"/>
    </xf>
    <xf numFmtId="0" fontId="15" fillId="3" borderId="0" xfId="0" applyFont="1" applyFill="1" applyAlignment="1">
      <alignment horizontal="center"/>
    </xf>
    <xf numFmtId="0" fontId="0" fillId="3" borderId="10" xfId="0" applyFill="1" applyBorder="1" applyAlignment="1">
      <alignment horizontal="center"/>
    </xf>
    <xf numFmtId="0" fontId="1" fillId="5" borderId="16" xfId="0" applyFont="1" applyFill="1" applyBorder="1" applyAlignment="1">
      <alignment horizontal="center"/>
    </xf>
    <xf numFmtId="0" fontId="1" fillId="5" borderId="22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22" xfId="0" applyFill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31" xfId="0" applyFont="1" applyFill="1" applyBorder="1" applyAlignment="1">
      <alignment horizontal="center"/>
    </xf>
    <xf numFmtId="0" fontId="12" fillId="3" borderId="29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14" fontId="1" fillId="3" borderId="26" xfId="0" applyNumberFormat="1" applyFont="1" applyFill="1" applyBorder="1" applyAlignment="1">
      <alignment horizontal="center" vertical="center"/>
    </xf>
    <xf numFmtId="14" fontId="1" fillId="3" borderId="10" xfId="0" applyNumberFormat="1" applyFont="1" applyFill="1" applyBorder="1" applyAlignment="1">
      <alignment horizontal="center" vertical="center"/>
    </xf>
    <xf numFmtId="14" fontId="1" fillId="3" borderId="31" xfId="0" applyNumberFormat="1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0" xfId="0" applyFill="1" applyAlignment="1">
      <alignment horizontal="left" wrapText="1"/>
    </xf>
    <xf numFmtId="0" fontId="15" fillId="11" borderId="16" xfId="0" applyFont="1" applyFill="1" applyBorder="1" applyAlignment="1">
      <alignment horizontal="center"/>
    </xf>
    <xf numFmtId="0" fontId="15" fillId="11" borderId="22" xfId="0" applyFont="1" applyFill="1" applyBorder="1" applyAlignment="1">
      <alignment horizontal="center"/>
    </xf>
    <xf numFmtId="0" fontId="15" fillId="11" borderId="17" xfId="0" applyFont="1" applyFill="1" applyBorder="1" applyAlignment="1">
      <alignment horizontal="center"/>
    </xf>
    <xf numFmtId="0" fontId="16" fillId="11" borderId="0" xfId="0" applyFont="1" applyFill="1" applyAlignment="1">
      <alignment horizontal="center"/>
    </xf>
    <xf numFmtId="0" fontId="0" fillId="8" borderId="16" xfId="0" applyFill="1" applyBorder="1" applyAlignment="1">
      <alignment horizontal="center"/>
    </xf>
    <xf numFmtId="0" fontId="0" fillId="8" borderId="22" xfId="0" applyFill="1" applyBorder="1" applyAlignment="1">
      <alignment horizontal="center"/>
    </xf>
    <xf numFmtId="0" fontId="0" fillId="8" borderId="17" xfId="0" applyFill="1" applyBorder="1" applyAlignment="1">
      <alignment horizontal="center"/>
    </xf>
    <xf numFmtId="0" fontId="1" fillId="7" borderId="16" xfId="0" applyFont="1" applyFill="1" applyBorder="1" applyAlignment="1">
      <alignment horizontal="center"/>
    </xf>
    <xf numFmtId="0" fontId="1" fillId="7" borderId="22" xfId="0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165" fontId="0" fillId="8" borderId="16" xfId="0" applyNumberFormat="1" applyFill="1" applyBorder="1" applyAlignment="1" applyProtection="1">
      <alignment horizontal="center" vertical="center"/>
      <protection locked="0"/>
    </xf>
    <xf numFmtId="165" fontId="0" fillId="8" borderId="17" xfId="0" applyNumberFormat="1" applyFill="1" applyBorder="1" applyAlignment="1" applyProtection="1">
      <alignment horizontal="center" vertical="center"/>
      <protection locked="0"/>
    </xf>
    <xf numFmtId="0" fontId="23" fillId="3" borderId="0" xfId="0" applyFont="1" applyFill="1" applyAlignment="1">
      <alignment horizontal="left" vertical="top" wrapText="1"/>
    </xf>
    <xf numFmtId="0" fontId="1" fillId="0" borderId="18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1" fontId="0" fillId="6" borderId="0" xfId="0" applyNumberForma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2" fontId="27" fillId="3" borderId="0" xfId="0" applyNumberFormat="1" applyFont="1" applyFill="1" applyAlignment="1">
      <alignment horizontal="center" vertical="center"/>
    </xf>
    <xf numFmtId="2" fontId="27" fillId="3" borderId="0" xfId="0" applyNumberFormat="1" applyFont="1" applyFill="1" applyAlignment="1">
      <alignment horizontal="left" vertical="center"/>
    </xf>
    <xf numFmtId="2" fontId="27" fillId="3" borderId="5" xfId="0" applyNumberFormat="1" applyFont="1" applyFill="1" applyBorder="1" applyAlignment="1">
      <alignment horizontal="left" vertical="center"/>
    </xf>
    <xf numFmtId="1" fontId="0" fillId="8" borderId="57" xfId="0" applyNumberFormat="1" applyFill="1" applyBorder="1" applyAlignment="1" applyProtection="1">
      <alignment horizontal="center" vertical="center" textRotation="90"/>
      <protection locked="0"/>
    </xf>
    <xf numFmtId="1" fontId="0" fillId="8" borderId="55" xfId="0" applyNumberFormat="1" applyFill="1" applyBorder="1" applyAlignment="1" applyProtection="1">
      <alignment horizontal="center" vertical="center"/>
      <protection locked="0"/>
    </xf>
    <xf numFmtId="1" fontId="0" fillId="8" borderId="16" xfId="0" applyNumberFormat="1" applyFill="1" applyBorder="1" applyAlignment="1" applyProtection="1">
      <alignment horizontal="center" vertical="center"/>
      <protection locked="0"/>
    </xf>
    <xf numFmtId="1" fontId="0" fillId="8" borderId="22" xfId="0" applyNumberFormat="1" applyFill="1" applyBorder="1" applyAlignment="1" applyProtection="1">
      <alignment horizontal="center" vertical="center"/>
      <protection locked="0"/>
    </xf>
    <xf numFmtId="1" fontId="0" fillId="8" borderId="17" xfId="0" applyNumberFormat="1" applyFill="1" applyBorder="1" applyAlignment="1" applyProtection="1">
      <alignment horizontal="center" vertical="center"/>
      <protection locked="0"/>
    </xf>
    <xf numFmtId="0" fontId="0" fillId="3" borderId="59" xfId="0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0" fillId="3" borderId="57" xfId="0" applyFill="1" applyBorder="1" applyAlignment="1">
      <alignment horizontal="center" vertical="center" textRotation="90"/>
    </xf>
    <xf numFmtId="0" fontId="0" fillId="3" borderId="58" xfId="0" applyFill="1" applyBorder="1" applyAlignment="1">
      <alignment horizontal="center" vertical="center" textRotation="90"/>
    </xf>
    <xf numFmtId="0" fontId="0" fillId="3" borderId="57" xfId="0" applyFill="1" applyBorder="1" applyAlignment="1">
      <alignment horizontal="center" vertical="top" textRotation="90"/>
    </xf>
    <xf numFmtId="0" fontId="0" fillId="3" borderId="58" xfId="0" applyFill="1" applyBorder="1" applyAlignment="1">
      <alignment horizontal="center" vertical="top" textRotation="90"/>
    </xf>
    <xf numFmtId="164" fontId="0" fillId="3" borderId="0" xfId="0" applyNumberForma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0" fillId="3" borderId="4" xfId="0" applyFill="1" applyBorder="1" applyAlignment="1">
      <alignment horizontal="left" textRotation="45"/>
    </xf>
    <xf numFmtId="0" fontId="0" fillId="3" borderId="6" xfId="0" applyFill="1" applyBorder="1" applyAlignment="1">
      <alignment horizontal="left" textRotation="45"/>
    </xf>
    <xf numFmtId="2" fontId="1" fillId="6" borderId="0" xfId="0" applyNumberFormat="1" applyFont="1" applyFill="1" applyAlignment="1">
      <alignment horizontal="center" vertical="center"/>
    </xf>
    <xf numFmtId="164" fontId="0" fillId="6" borderId="0" xfId="0" applyNumberFormat="1" applyFill="1" applyAlignment="1">
      <alignment horizontal="center" vertical="center"/>
    </xf>
    <xf numFmtId="164" fontId="1" fillId="6" borderId="0" xfId="0" applyNumberFormat="1" applyFont="1" applyFill="1" applyAlignment="1">
      <alignment horizontal="center" vertical="center"/>
    </xf>
    <xf numFmtId="2" fontId="0" fillId="6" borderId="0" xfId="0" applyNumberFormat="1" applyFill="1" applyAlignment="1">
      <alignment horizontal="center" vertical="center"/>
    </xf>
    <xf numFmtId="0" fontId="29" fillId="3" borderId="0" xfId="0" quotePrefix="1" applyFont="1" applyFill="1" applyAlignment="1">
      <alignment horizontal="center" vertical="center"/>
    </xf>
    <xf numFmtId="0" fontId="23" fillId="3" borderId="0" xfId="0" quotePrefix="1" applyFont="1" applyFill="1" applyAlignment="1">
      <alignment horizontal="left" vertical="center"/>
    </xf>
    <xf numFmtId="0" fontId="23" fillId="3" borderId="5" xfId="0" quotePrefix="1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2" fontId="0" fillId="8" borderId="15" xfId="0" applyNumberFormat="1" applyFill="1" applyBorder="1" applyAlignment="1" applyProtection="1">
      <alignment horizontal="center" vertical="center"/>
      <protection locked="0"/>
    </xf>
    <xf numFmtId="1" fontId="0" fillId="8" borderId="15" xfId="0" applyNumberFormat="1" applyFill="1" applyBorder="1" applyAlignment="1" applyProtection="1">
      <alignment horizontal="center" vertical="center"/>
      <protection locked="0"/>
    </xf>
    <xf numFmtId="2" fontId="0" fillId="3" borderId="0" xfId="0" applyNumberFormat="1" applyFill="1" applyAlignment="1">
      <alignment horizontal="center" vertical="center"/>
    </xf>
    <xf numFmtId="0" fontId="13" fillId="3" borderId="0" xfId="0" applyFont="1" applyFill="1" applyAlignment="1">
      <alignment horizontal="center" vertical="top"/>
    </xf>
    <xf numFmtId="0" fontId="1" fillId="3" borderId="24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2" fontId="20" fillId="3" borderId="16" xfId="0" applyNumberFormat="1" applyFont="1" applyFill="1" applyBorder="1" applyAlignment="1">
      <alignment horizontal="center" vertical="center"/>
    </xf>
    <xf numFmtId="2" fontId="20" fillId="3" borderId="17" xfId="0" applyNumberFormat="1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165" fontId="1" fillId="6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1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0" fillId="3" borderId="0" xfId="0" applyFill="1" applyAlignment="1">
      <alignment horizontal="center" vertical="top" wrapText="1"/>
    </xf>
    <xf numFmtId="0" fontId="0" fillId="8" borderId="15" xfId="0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>
      <alignment horizontal="center" vertical="center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9" borderId="35" xfId="0" applyFill="1" applyBorder="1" applyAlignment="1">
      <alignment horizontal="center" vertical="center"/>
    </xf>
    <xf numFmtId="0" fontId="0" fillId="9" borderId="37" xfId="0" applyFill="1" applyBorder="1" applyAlignment="1">
      <alignment horizontal="center" vertical="center" wrapText="1"/>
    </xf>
    <xf numFmtId="0" fontId="0" fillId="9" borderId="38" xfId="0" applyFill="1" applyBorder="1" applyAlignment="1">
      <alignment horizontal="center" vertical="center" wrapText="1"/>
    </xf>
    <xf numFmtId="0" fontId="0" fillId="9" borderId="37" xfId="0" applyFill="1" applyBorder="1" applyAlignment="1">
      <alignment horizontal="center" vertical="center"/>
    </xf>
    <xf numFmtId="0" fontId="0" fillId="9" borderId="38" xfId="0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52"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border>
        <right style="thin">
          <color rgb="FFFF0000"/>
        </right>
        <vertical/>
        <horizontal/>
      </border>
    </dxf>
    <dxf>
      <font>
        <color theme="0"/>
      </font>
    </dxf>
    <dxf>
      <border>
        <right/>
        <vertical/>
        <horizontal/>
      </border>
    </dxf>
    <dxf>
      <font>
        <b/>
        <i val="0"/>
        <color auto="1"/>
      </font>
    </dxf>
    <dxf>
      <font>
        <color theme="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color theme="0"/>
      </font>
    </dxf>
    <dxf>
      <font>
        <b/>
        <i val="0"/>
        <color rgb="FFFF0000"/>
      </font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b/>
        <i val="0"/>
        <color auto="1"/>
      </font>
    </dxf>
    <dxf>
      <border>
        <right/>
        <vertical/>
        <horizontal/>
      </border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color theme="0"/>
      </font>
      <fill>
        <patternFill>
          <bgColor theme="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00B050"/>
      </font>
    </dxf>
    <dxf>
      <font>
        <b val="0"/>
        <i val="0"/>
        <strike val="0"/>
        <color rgb="FF0070C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strike val="0"/>
        <color theme="0"/>
      </font>
      <fill>
        <patternFill>
          <bgColor theme="0"/>
        </patternFill>
      </fill>
    </dxf>
    <dxf>
      <font>
        <strike val="0"/>
        <color theme="0"/>
      </font>
      <fill>
        <patternFill>
          <bgColor theme="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  <fill>
        <patternFill patternType="solid">
          <bgColor theme="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  <fill>
        <patternFill patternType="solid">
          <bgColor theme="0"/>
        </patternFill>
      </fill>
    </dxf>
    <dxf>
      <font>
        <b/>
        <i val="0"/>
        <strike val="0"/>
        <color rgb="FF00B050"/>
      </font>
      <fill>
        <patternFill patternType="solid">
          <bgColor theme="0"/>
        </patternFill>
      </fill>
    </dxf>
    <dxf>
      <font>
        <b/>
        <i val="0"/>
        <strike val="0"/>
        <color rgb="FFFF0000"/>
      </font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0</xdr:colOff>
      <xdr:row>4</xdr:row>
      <xdr:rowOff>47625</xdr:rowOff>
    </xdr:from>
    <xdr:ext cx="849406" cy="295275"/>
    <xdr:pic>
      <xdr:nvPicPr>
        <xdr:cNvPr id="2" name="Ima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45E001-F949-4AA3-8A83-C41E92419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809625"/>
          <a:ext cx="849406" cy="2952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1602</xdr:rowOff>
    </xdr:from>
    <xdr:to>
      <xdr:col>20</xdr:col>
      <xdr:colOff>0</xdr:colOff>
      <xdr:row>11</xdr:row>
      <xdr:rowOff>4648</xdr:rowOff>
    </xdr:to>
    <xdr:cxnSp macro="">
      <xdr:nvCxnSpPr>
        <xdr:cNvPr id="8" name="Connecteur droit avec flèche 7">
          <a:extLst>
            <a:ext uri="{FF2B5EF4-FFF2-40B4-BE49-F238E27FC236}">
              <a16:creationId xmlns:a16="http://schemas.microsoft.com/office/drawing/2014/main" id="{9B8DED51-F094-4373-A1BA-22D6A71AD9DD}"/>
            </a:ext>
          </a:extLst>
        </xdr:cNvPr>
        <xdr:cNvCxnSpPr/>
      </xdr:nvCxnSpPr>
      <xdr:spPr>
        <a:xfrm flipV="1">
          <a:off x="4953000" y="1078341"/>
          <a:ext cx="0" cy="1079785"/>
        </a:xfrm>
        <a:prstGeom prst="straightConnector1">
          <a:avLst/>
        </a:prstGeom>
        <a:ln>
          <a:headEnd type="triangle" w="sm" len="med"/>
          <a:tailEnd type="triangle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212480</xdr:colOff>
      <xdr:row>9</xdr:row>
      <xdr:rowOff>2681</xdr:rowOff>
    </xdr:from>
    <xdr:to>
      <xdr:col>28</xdr:col>
      <xdr:colOff>9292</xdr:colOff>
      <xdr:row>9</xdr:row>
      <xdr:rowOff>2681</xdr:rowOff>
    </xdr:to>
    <xdr:cxnSp macro="">
      <xdr:nvCxnSpPr>
        <xdr:cNvPr id="9" name="Connecteur droit avec flèche 8">
          <a:extLst>
            <a:ext uri="{FF2B5EF4-FFF2-40B4-BE49-F238E27FC236}">
              <a16:creationId xmlns:a16="http://schemas.microsoft.com/office/drawing/2014/main" id="{144D8EAB-73E2-48C6-92D3-0C468384CBB9}"/>
            </a:ext>
          </a:extLst>
        </xdr:cNvPr>
        <xdr:cNvCxnSpPr/>
      </xdr:nvCxnSpPr>
      <xdr:spPr>
        <a:xfrm>
          <a:off x="5198325" y="1736888"/>
          <a:ext cx="1531019" cy="0"/>
        </a:xfrm>
        <a:prstGeom prst="straightConnector1">
          <a:avLst/>
        </a:prstGeom>
        <a:ln>
          <a:headEnd type="triangle" w="sm" len="med"/>
          <a:tailEnd type="triangle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215566</xdr:colOff>
      <xdr:row>32</xdr:row>
      <xdr:rowOff>215566</xdr:rowOff>
    </xdr:from>
    <xdr:to>
      <xdr:col>34</xdr:col>
      <xdr:colOff>8584</xdr:colOff>
      <xdr:row>40</xdr:row>
      <xdr:rowOff>123665</xdr:rowOff>
    </xdr:to>
    <xdr:grpSp>
      <xdr:nvGrpSpPr>
        <xdr:cNvPr id="10" name="Groupe 9">
          <a:extLst>
            <a:ext uri="{FF2B5EF4-FFF2-40B4-BE49-F238E27FC236}">
              <a16:creationId xmlns:a16="http://schemas.microsoft.com/office/drawing/2014/main" id="{C23F96A4-7114-9F6B-4B4E-0A360E0CFCD5}"/>
            </a:ext>
          </a:extLst>
        </xdr:cNvPr>
        <xdr:cNvGrpSpPr/>
      </xdr:nvGrpSpPr>
      <xdr:grpSpPr>
        <a:xfrm>
          <a:off x="7006891" y="7225966"/>
          <a:ext cx="450243" cy="1660699"/>
          <a:chOff x="7043800" y="7264066"/>
          <a:chExt cx="453815" cy="1670224"/>
        </a:xfrm>
      </xdr:grpSpPr>
      <xdr:cxnSp macro="">
        <xdr:nvCxnSpPr>
          <xdr:cNvPr id="12" name="Connecteur droit avec flèche 11">
            <a:extLst>
              <a:ext uri="{FF2B5EF4-FFF2-40B4-BE49-F238E27FC236}">
                <a16:creationId xmlns:a16="http://schemas.microsoft.com/office/drawing/2014/main" id="{8EAE63A7-203E-4640-B5CB-A6023609D17A}"/>
              </a:ext>
            </a:extLst>
          </xdr:cNvPr>
          <xdr:cNvCxnSpPr/>
        </xdr:nvCxnSpPr>
        <xdr:spPr>
          <a:xfrm>
            <a:off x="7043800" y="7488343"/>
            <a:ext cx="229307" cy="0"/>
          </a:xfrm>
          <a:prstGeom prst="straightConnector1">
            <a:avLst/>
          </a:prstGeom>
          <a:ln w="12700">
            <a:headEnd type="none" w="sm" len="med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Connecteur droit avec flèche 13">
            <a:extLst>
              <a:ext uri="{FF2B5EF4-FFF2-40B4-BE49-F238E27FC236}">
                <a16:creationId xmlns:a16="http://schemas.microsoft.com/office/drawing/2014/main" id="{135484F3-4EE9-4961-A6EF-BA9748533A4E}"/>
              </a:ext>
            </a:extLst>
          </xdr:cNvPr>
          <xdr:cNvCxnSpPr/>
        </xdr:nvCxnSpPr>
        <xdr:spPr>
          <a:xfrm flipV="1">
            <a:off x="7269078" y="7264066"/>
            <a:ext cx="0" cy="225279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Connecteur droit avec flèche 16">
            <a:extLst>
              <a:ext uri="{FF2B5EF4-FFF2-40B4-BE49-F238E27FC236}">
                <a16:creationId xmlns:a16="http://schemas.microsoft.com/office/drawing/2014/main" id="{3708C086-7A31-4AB7-9AC2-7827B599ED17}"/>
              </a:ext>
            </a:extLst>
          </xdr:cNvPr>
          <xdr:cNvCxnSpPr/>
        </xdr:nvCxnSpPr>
        <xdr:spPr>
          <a:xfrm flipV="1">
            <a:off x="7268766" y="8590359"/>
            <a:ext cx="0" cy="225279"/>
          </a:xfrm>
          <a:prstGeom prst="straightConnector1">
            <a:avLst/>
          </a:prstGeom>
          <a:ln w="12700">
            <a:solidFill>
              <a:srgbClr val="C00000"/>
            </a:solidFill>
            <a:headEnd type="none"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Connecteur droit avec flèche 18">
            <a:extLst>
              <a:ext uri="{FF2B5EF4-FFF2-40B4-BE49-F238E27FC236}">
                <a16:creationId xmlns:a16="http://schemas.microsoft.com/office/drawing/2014/main" id="{61E33B8E-1F80-49B4-A652-FCC254B21291}"/>
              </a:ext>
            </a:extLst>
          </xdr:cNvPr>
          <xdr:cNvCxnSpPr/>
        </xdr:nvCxnSpPr>
        <xdr:spPr>
          <a:xfrm>
            <a:off x="7268766" y="8590359"/>
            <a:ext cx="228849" cy="0"/>
          </a:xfrm>
          <a:prstGeom prst="straightConnector1">
            <a:avLst/>
          </a:prstGeom>
          <a:ln w="12700">
            <a:solidFill>
              <a:srgbClr val="C0000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0" name="Arc 19">
            <a:extLst>
              <a:ext uri="{FF2B5EF4-FFF2-40B4-BE49-F238E27FC236}">
                <a16:creationId xmlns:a16="http://schemas.microsoft.com/office/drawing/2014/main" id="{F8A9D856-2E58-475E-8522-F9D61CF6F41A}"/>
              </a:ext>
            </a:extLst>
          </xdr:cNvPr>
          <xdr:cNvSpPr>
            <a:spLocks noChangeAspect="1"/>
          </xdr:cNvSpPr>
        </xdr:nvSpPr>
        <xdr:spPr>
          <a:xfrm rot="6238824">
            <a:off x="7080616" y="8574319"/>
            <a:ext cx="360915" cy="359028"/>
          </a:xfrm>
          <a:prstGeom prst="arc">
            <a:avLst>
              <a:gd name="adj1" fmla="val 16200000"/>
              <a:gd name="adj2" fmla="val 2439721"/>
            </a:avLst>
          </a:prstGeom>
          <a:ln w="12700">
            <a:solidFill>
              <a:srgbClr val="C00000"/>
            </a:solidFill>
            <a:head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31</xdr:col>
      <xdr:colOff>215566</xdr:colOff>
      <xdr:row>46</xdr:row>
      <xdr:rowOff>190500</xdr:rowOff>
    </xdr:from>
    <xdr:to>
      <xdr:col>34</xdr:col>
      <xdr:colOff>198786</xdr:colOff>
      <xdr:row>56</xdr:row>
      <xdr:rowOff>209550</xdr:rowOff>
    </xdr:to>
    <xdr:grpSp>
      <xdr:nvGrpSpPr>
        <xdr:cNvPr id="11" name="Groupe 10">
          <a:extLst>
            <a:ext uri="{FF2B5EF4-FFF2-40B4-BE49-F238E27FC236}">
              <a16:creationId xmlns:a16="http://schemas.microsoft.com/office/drawing/2014/main" id="{FE0A0C0A-033D-06B3-D361-222292354003}"/>
            </a:ext>
          </a:extLst>
        </xdr:cNvPr>
        <xdr:cNvGrpSpPr/>
      </xdr:nvGrpSpPr>
      <xdr:grpSpPr>
        <a:xfrm>
          <a:off x="7006891" y="10267950"/>
          <a:ext cx="640445" cy="2209800"/>
          <a:chOff x="7043800" y="10322719"/>
          <a:chExt cx="644017" cy="2221706"/>
        </a:xfrm>
      </xdr:grpSpPr>
      <xdr:cxnSp macro="">
        <xdr:nvCxnSpPr>
          <xdr:cNvPr id="28" name="Connecteur droit avec flèche 27">
            <a:extLst>
              <a:ext uri="{FF2B5EF4-FFF2-40B4-BE49-F238E27FC236}">
                <a16:creationId xmlns:a16="http://schemas.microsoft.com/office/drawing/2014/main" id="{CF5F279E-41A5-437F-8846-EC218BBBDEF6}"/>
              </a:ext>
            </a:extLst>
          </xdr:cNvPr>
          <xdr:cNvCxnSpPr/>
        </xdr:nvCxnSpPr>
        <xdr:spPr>
          <a:xfrm>
            <a:off x="7043800" y="10351796"/>
            <a:ext cx="229307" cy="0"/>
          </a:xfrm>
          <a:prstGeom prst="straightConnector1">
            <a:avLst/>
          </a:prstGeom>
          <a:ln w="12700">
            <a:headEnd type="none" w="sm" len="med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4" name="Arc 33">
            <a:extLst>
              <a:ext uri="{FF2B5EF4-FFF2-40B4-BE49-F238E27FC236}">
                <a16:creationId xmlns:a16="http://schemas.microsoft.com/office/drawing/2014/main" id="{9FDD1FB6-141D-4648-A77E-C5E34BEAD1E1}"/>
              </a:ext>
            </a:extLst>
          </xdr:cNvPr>
          <xdr:cNvSpPr/>
        </xdr:nvSpPr>
        <xdr:spPr>
          <a:xfrm rot="16200000">
            <a:off x="6390606" y="11247213"/>
            <a:ext cx="2183656" cy="410767"/>
          </a:xfrm>
          <a:prstGeom prst="arc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37" name="Connecteur droit avec flèche 36">
            <a:extLst>
              <a:ext uri="{FF2B5EF4-FFF2-40B4-BE49-F238E27FC236}">
                <a16:creationId xmlns:a16="http://schemas.microsoft.com/office/drawing/2014/main" id="{A2363216-2C54-4176-9170-06C2587CC74B}"/>
              </a:ext>
            </a:extLst>
          </xdr:cNvPr>
          <xdr:cNvCxnSpPr/>
        </xdr:nvCxnSpPr>
        <xdr:spPr>
          <a:xfrm>
            <a:off x="7268766" y="10322719"/>
            <a:ext cx="224388" cy="0"/>
          </a:xfrm>
          <a:prstGeom prst="straightConnector1">
            <a:avLst/>
          </a:prstGeom>
          <a:ln w="12700"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29</xdr:col>
      <xdr:colOff>198783</xdr:colOff>
      <xdr:row>79</xdr:row>
      <xdr:rowOff>214935</xdr:rowOff>
    </xdr:from>
    <xdr:to>
      <xdr:col>37</xdr:col>
      <xdr:colOff>15887</xdr:colOff>
      <xdr:row>82</xdr:row>
      <xdr:rowOff>0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E59722DC-EAA7-40CD-6CBF-C78DB722E45C}"/>
            </a:ext>
          </a:extLst>
        </xdr:cNvPr>
        <xdr:cNvGrpSpPr/>
      </xdr:nvGrpSpPr>
      <xdr:grpSpPr>
        <a:xfrm>
          <a:off x="6551958" y="17521860"/>
          <a:ext cx="1569704" cy="442290"/>
          <a:chOff x="6586486" y="17615919"/>
          <a:chExt cx="1579229" cy="445862"/>
        </a:xfrm>
      </xdr:grpSpPr>
      <xdr:cxnSp macro="">
        <xdr:nvCxnSpPr>
          <xdr:cNvPr id="39" name="Connecteur droit avec flèche 38">
            <a:extLst>
              <a:ext uri="{FF2B5EF4-FFF2-40B4-BE49-F238E27FC236}">
                <a16:creationId xmlns:a16="http://schemas.microsoft.com/office/drawing/2014/main" id="{33E70965-D2DE-4F41-993F-2F73B7E2FD54}"/>
              </a:ext>
            </a:extLst>
          </xdr:cNvPr>
          <xdr:cNvCxnSpPr/>
        </xdr:nvCxnSpPr>
        <xdr:spPr>
          <a:xfrm>
            <a:off x="6607969" y="18061781"/>
            <a:ext cx="1557746" cy="0"/>
          </a:xfrm>
          <a:prstGeom prst="straightConnector1">
            <a:avLst/>
          </a:prstGeom>
          <a:ln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0" name="Connecteur droit avec flèche 39">
            <a:extLst>
              <a:ext uri="{FF2B5EF4-FFF2-40B4-BE49-F238E27FC236}">
                <a16:creationId xmlns:a16="http://schemas.microsoft.com/office/drawing/2014/main" id="{E4CB22BC-EB56-4732-824D-E59D5EC8E639}"/>
              </a:ext>
            </a:extLst>
          </xdr:cNvPr>
          <xdr:cNvCxnSpPr/>
        </xdr:nvCxnSpPr>
        <xdr:spPr>
          <a:xfrm flipV="1">
            <a:off x="6613923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Connecteur droit avec flèche 40">
            <a:extLst>
              <a:ext uri="{FF2B5EF4-FFF2-40B4-BE49-F238E27FC236}">
                <a16:creationId xmlns:a16="http://schemas.microsoft.com/office/drawing/2014/main" id="{9AEFFD46-EAE4-4582-92E0-BD0A71865D71}"/>
              </a:ext>
            </a:extLst>
          </xdr:cNvPr>
          <xdr:cNvCxnSpPr/>
        </xdr:nvCxnSpPr>
        <xdr:spPr>
          <a:xfrm>
            <a:off x="6607969" y="17615919"/>
            <a:ext cx="1557746" cy="0"/>
          </a:xfrm>
          <a:prstGeom prst="straightConnector1">
            <a:avLst/>
          </a:prstGeom>
          <a:ln>
            <a:headEnd type="none" w="sm" len="med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Connecteur droit avec flèche 41">
            <a:extLst>
              <a:ext uri="{FF2B5EF4-FFF2-40B4-BE49-F238E27FC236}">
                <a16:creationId xmlns:a16="http://schemas.microsoft.com/office/drawing/2014/main" id="{D3C7ED3F-B076-4276-BB94-087EFFAB0E74}"/>
              </a:ext>
            </a:extLst>
          </xdr:cNvPr>
          <xdr:cNvCxnSpPr/>
        </xdr:nvCxnSpPr>
        <xdr:spPr>
          <a:xfrm flipV="1">
            <a:off x="6834188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Connecteur droit avec flèche 42">
            <a:extLst>
              <a:ext uri="{FF2B5EF4-FFF2-40B4-BE49-F238E27FC236}">
                <a16:creationId xmlns:a16="http://schemas.microsoft.com/office/drawing/2014/main" id="{660C62E0-ACE4-4941-8943-79E437D31E1B}"/>
              </a:ext>
            </a:extLst>
          </xdr:cNvPr>
          <xdr:cNvCxnSpPr/>
        </xdr:nvCxnSpPr>
        <xdr:spPr>
          <a:xfrm flipV="1">
            <a:off x="7054454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Connecteur droit avec flèche 43">
            <a:extLst>
              <a:ext uri="{FF2B5EF4-FFF2-40B4-BE49-F238E27FC236}">
                <a16:creationId xmlns:a16="http://schemas.microsoft.com/office/drawing/2014/main" id="{E5047D56-C9EB-40C7-96C4-BCD1EC90E1A1}"/>
              </a:ext>
            </a:extLst>
          </xdr:cNvPr>
          <xdr:cNvCxnSpPr/>
        </xdr:nvCxnSpPr>
        <xdr:spPr>
          <a:xfrm flipV="1">
            <a:off x="7274720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5" name="Connecteur droit avec flèche 44">
            <a:extLst>
              <a:ext uri="{FF2B5EF4-FFF2-40B4-BE49-F238E27FC236}">
                <a16:creationId xmlns:a16="http://schemas.microsoft.com/office/drawing/2014/main" id="{0BE59BD4-889F-434E-A974-2B8B596E3901}"/>
              </a:ext>
            </a:extLst>
          </xdr:cNvPr>
          <xdr:cNvCxnSpPr/>
        </xdr:nvCxnSpPr>
        <xdr:spPr>
          <a:xfrm flipV="1">
            <a:off x="7494985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6" name="Connecteur droit avec flèche 45">
            <a:extLst>
              <a:ext uri="{FF2B5EF4-FFF2-40B4-BE49-F238E27FC236}">
                <a16:creationId xmlns:a16="http://schemas.microsoft.com/office/drawing/2014/main" id="{A8A4A33C-0715-4C33-A349-AD6CDE576BC0}"/>
              </a:ext>
            </a:extLst>
          </xdr:cNvPr>
          <xdr:cNvCxnSpPr/>
        </xdr:nvCxnSpPr>
        <xdr:spPr>
          <a:xfrm flipV="1">
            <a:off x="7715251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Connecteur droit avec flèche 46">
            <a:extLst>
              <a:ext uri="{FF2B5EF4-FFF2-40B4-BE49-F238E27FC236}">
                <a16:creationId xmlns:a16="http://schemas.microsoft.com/office/drawing/2014/main" id="{022696D3-45F4-4F2B-8358-7A397316FB03}"/>
              </a:ext>
            </a:extLst>
          </xdr:cNvPr>
          <xdr:cNvCxnSpPr/>
        </xdr:nvCxnSpPr>
        <xdr:spPr>
          <a:xfrm flipV="1">
            <a:off x="7935517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8" name="Connecteur droit avec flèche 47">
            <a:extLst>
              <a:ext uri="{FF2B5EF4-FFF2-40B4-BE49-F238E27FC236}">
                <a16:creationId xmlns:a16="http://schemas.microsoft.com/office/drawing/2014/main" id="{C8695511-2CF8-44C0-B770-87631C981DF7}"/>
              </a:ext>
            </a:extLst>
          </xdr:cNvPr>
          <xdr:cNvCxnSpPr/>
        </xdr:nvCxnSpPr>
        <xdr:spPr>
          <a:xfrm flipV="1">
            <a:off x="8155782" y="17621249"/>
            <a:ext cx="0" cy="225280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2" name="Connecteur droit avec flèche 51">
            <a:extLst>
              <a:ext uri="{FF2B5EF4-FFF2-40B4-BE49-F238E27FC236}">
                <a16:creationId xmlns:a16="http://schemas.microsoft.com/office/drawing/2014/main" id="{2A28817C-4072-44CB-8CEE-9045BD154644}"/>
              </a:ext>
            </a:extLst>
          </xdr:cNvPr>
          <xdr:cNvCxnSpPr/>
        </xdr:nvCxnSpPr>
        <xdr:spPr>
          <a:xfrm>
            <a:off x="6586486" y="17846874"/>
            <a:ext cx="0" cy="188771"/>
          </a:xfrm>
          <a:prstGeom prst="straightConnector1">
            <a:avLst/>
          </a:prstGeom>
          <a:ln w="12700"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Arc 53">
            <a:extLst>
              <a:ext uri="{FF2B5EF4-FFF2-40B4-BE49-F238E27FC236}">
                <a16:creationId xmlns:a16="http://schemas.microsoft.com/office/drawing/2014/main" id="{DCB0037D-F0B7-0F4B-2FC9-2FEE371995AA}"/>
              </a:ext>
            </a:extLst>
          </xdr:cNvPr>
          <xdr:cNvSpPr/>
        </xdr:nvSpPr>
        <xdr:spPr>
          <a:xfrm rot="10800000">
            <a:off x="6604487" y="17754791"/>
            <a:ext cx="1556322" cy="176148"/>
          </a:xfrm>
          <a:prstGeom prst="arc">
            <a:avLst>
              <a:gd name="adj1" fmla="val 10805717"/>
              <a:gd name="adj2" fmla="val 21583551"/>
            </a:avLst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29</xdr:col>
      <xdr:colOff>198783</xdr:colOff>
      <xdr:row>83</xdr:row>
      <xdr:rowOff>220265</xdr:rowOff>
    </xdr:from>
    <xdr:to>
      <xdr:col>37</xdr:col>
      <xdr:colOff>15887</xdr:colOff>
      <xdr:row>86</xdr:row>
      <xdr:rowOff>0</xdr:rowOff>
    </xdr:to>
    <xdr:grpSp>
      <xdr:nvGrpSpPr>
        <xdr:cNvPr id="6" name="Groupe 5">
          <a:extLst>
            <a:ext uri="{FF2B5EF4-FFF2-40B4-BE49-F238E27FC236}">
              <a16:creationId xmlns:a16="http://schemas.microsoft.com/office/drawing/2014/main" id="{DA433726-70E4-AD49-942D-9526B53F8713}"/>
            </a:ext>
          </a:extLst>
        </xdr:cNvPr>
        <xdr:cNvGrpSpPr/>
      </xdr:nvGrpSpPr>
      <xdr:grpSpPr>
        <a:xfrm>
          <a:off x="6551958" y="18403490"/>
          <a:ext cx="1569704" cy="436960"/>
          <a:chOff x="6586486" y="18502312"/>
          <a:chExt cx="1579229" cy="440532"/>
        </a:xfrm>
      </xdr:grpSpPr>
      <xdr:cxnSp macro="">
        <xdr:nvCxnSpPr>
          <xdr:cNvPr id="49" name="Connecteur droit avec flèche 48">
            <a:extLst>
              <a:ext uri="{FF2B5EF4-FFF2-40B4-BE49-F238E27FC236}">
                <a16:creationId xmlns:a16="http://schemas.microsoft.com/office/drawing/2014/main" id="{5DB1F59B-346A-4D5B-8433-706A235BB4A8}"/>
              </a:ext>
            </a:extLst>
          </xdr:cNvPr>
          <xdr:cNvCxnSpPr/>
        </xdr:nvCxnSpPr>
        <xdr:spPr>
          <a:xfrm flipV="1">
            <a:off x="7375921" y="18502312"/>
            <a:ext cx="0" cy="225279"/>
          </a:xfrm>
          <a:prstGeom prst="straightConnector1">
            <a:avLst/>
          </a:prstGeom>
          <a:ln w="12700">
            <a:headEnd type="triangle" w="med" len="lg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0" name="Connecteur droit avec flèche 49">
            <a:extLst>
              <a:ext uri="{FF2B5EF4-FFF2-40B4-BE49-F238E27FC236}">
                <a16:creationId xmlns:a16="http://schemas.microsoft.com/office/drawing/2014/main" id="{0BA2F7D4-F832-428F-AF9F-CBEFFD64FF95}"/>
              </a:ext>
            </a:extLst>
          </xdr:cNvPr>
          <xdr:cNvCxnSpPr/>
        </xdr:nvCxnSpPr>
        <xdr:spPr>
          <a:xfrm>
            <a:off x="6607969" y="18942844"/>
            <a:ext cx="1557746" cy="0"/>
          </a:xfrm>
          <a:prstGeom prst="straightConnector1">
            <a:avLst/>
          </a:prstGeom>
          <a:ln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3" name="Connecteur droit avec flèche 52">
            <a:extLst>
              <a:ext uri="{FF2B5EF4-FFF2-40B4-BE49-F238E27FC236}">
                <a16:creationId xmlns:a16="http://schemas.microsoft.com/office/drawing/2014/main" id="{D80BBE8B-00C8-4189-B30C-CC7072FC4900}"/>
              </a:ext>
            </a:extLst>
          </xdr:cNvPr>
          <xdr:cNvCxnSpPr/>
        </xdr:nvCxnSpPr>
        <xdr:spPr>
          <a:xfrm>
            <a:off x="6586486" y="18727937"/>
            <a:ext cx="0" cy="188770"/>
          </a:xfrm>
          <a:prstGeom prst="straightConnector1">
            <a:avLst/>
          </a:prstGeom>
          <a:ln w="12700"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5" name="Arc 54">
            <a:extLst>
              <a:ext uri="{FF2B5EF4-FFF2-40B4-BE49-F238E27FC236}">
                <a16:creationId xmlns:a16="http://schemas.microsoft.com/office/drawing/2014/main" id="{E3D967C0-6210-4204-8212-2AB1B26BCD05}"/>
              </a:ext>
            </a:extLst>
          </xdr:cNvPr>
          <xdr:cNvSpPr/>
        </xdr:nvSpPr>
        <xdr:spPr>
          <a:xfrm rot="10800000">
            <a:off x="6604873" y="18631853"/>
            <a:ext cx="1556322" cy="176147"/>
          </a:xfrm>
          <a:prstGeom prst="arc">
            <a:avLst>
              <a:gd name="adj1" fmla="val 10805717"/>
              <a:gd name="adj2" fmla="val 21583551"/>
            </a:avLst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51</xdr:col>
      <xdr:colOff>323850</xdr:colOff>
      <xdr:row>108</xdr:row>
      <xdr:rowOff>28575</xdr:rowOff>
    </xdr:from>
    <xdr:to>
      <xdr:col>55</xdr:col>
      <xdr:colOff>587502</xdr:colOff>
      <xdr:row>118</xdr:row>
      <xdr:rowOff>142113</xdr:rowOff>
    </xdr:to>
    <xdr:pic>
      <xdr:nvPicPr>
        <xdr:cNvPr id="5" name="Image 4" descr="07_04_2024 14_51 Microsoft Lens">
          <a:extLst>
            <a:ext uri="{FF2B5EF4-FFF2-40B4-BE49-F238E27FC236}">
              <a16:creationId xmlns:a16="http://schemas.microsoft.com/office/drawing/2014/main" id="{9D88E03D-EBE1-E585-CE8F-343BAD44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0" y="23688675"/>
          <a:ext cx="3921252" cy="2304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51</xdr:col>
      <xdr:colOff>323850</xdr:colOff>
      <xdr:row>97</xdr:row>
      <xdr:rowOff>200025</xdr:rowOff>
    </xdr:from>
    <xdr:to>
      <xdr:col>55</xdr:col>
      <xdr:colOff>587502</xdr:colOff>
      <xdr:row>108</xdr:row>
      <xdr:rowOff>50292</xdr:rowOff>
    </xdr:to>
    <xdr:pic>
      <xdr:nvPicPr>
        <xdr:cNvPr id="7" name="Image 6" descr="07_04_2024 14_26 Microsoft Lens">
          <a:extLst>
            <a:ext uri="{FF2B5EF4-FFF2-40B4-BE49-F238E27FC236}">
              <a16:creationId xmlns:a16="http://schemas.microsoft.com/office/drawing/2014/main" id="{A4C99CEA-B199-A20F-C780-9BCDDE8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0" y="21450300"/>
          <a:ext cx="3921252" cy="22600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88868</xdr:colOff>
      <xdr:row>111</xdr:row>
      <xdr:rowOff>3651</xdr:rowOff>
    </xdr:from>
    <xdr:ext cx="982128" cy="2109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598E9EC9-6011-DDB7-FD30-33E73B5D0829}"/>
                </a:ext>
              </a:extLst>
            </xdr:cNvPr>
            <xdr:cNvSpPr txBox="1"/>
          </xdr:nvSpPr>
          <xdr:spPr>
            <a:xfrm>
              <a:off x="1841468" y="24320976"/>
              <a:ext cx="982128" cy="2109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f>
                    <m:fPr>
                      <m:type m:val="skw"/>
                      <m:ctrlPr>
                        <a:rPr lang="fr-F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fr-FR" sz="1100" b="0" i="1">
                          <a:latin typeface="Cambria Math" panose="02040503050406030204" pitchFamily="18" charset="0"/>
                        </a:rPr>
                        <m:t>2</m:t>
                      </m:r>
                      <m:r>
                        <a:rPr lang="fr-FR" sz="1100" b="0" i="1">
                          <a:latin typeface="Cambria Math" panose="02040503050406030204" pitchFamily="18" charset="0"/>
                        </a:rPr>
                        <m:t>𝐸𝐼</m:t>
                      </m:r>
                    </m:num>
                    <m:den>
                      <m:sSup>
                        <m:sSupPr>
                          <m:ctrlPr>
                            <a:rPr lang="fr-FR" sz="11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pPr>
                        <m:e>
                          <m:r>
                            <a:rPr lang="fr-FR" sz="11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𝑚</m:t>
                          </m:r>
                        </m:e>
                        <m:sup>
                          <m:r>
                            <a:rPr lang="fr-FR" sz="11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2</m:t>
                          </m:r>
                        </m:sup>
                      </m:sSup>
                      <m:r>
                        <a:rPr lang="fr-FR" sz="11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𝑛</m:t>
                      </m:r>
                    </m:den>
                  </m:f>
                  <m:r>
                    <a:rPr lang="fr-FR" sz="11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type m:val="skw"/>
                      <m:ctrlPr>
                        <a:rPr lang="fr-F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fr-FR" sz="1100" b="0" i="1">
                          <a:latin typeface="Cambria Math" panose="02040503050406030204" pitchFamily="18" charset="0"/>
                        </a:rPr>
                        <m:t>𝐹</m:t>
                      </m:r>
                    </m:num>
                    <m:den>
                      <m:sSub>
                        <m:sSubPr>
                          <m:ctrlPr>
                            <a:rPr lang="fr-FR" sz="11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fr-FR" sz="11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𝛿</m:t>
                          </m:r>
                        </m:e>
                        <m:sub>
                          <m:r>
                            <a:rPr lang="fr-FR" sz="11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𝑝</m:t>
                          </m:r>
                        </m:sub>
                      </m:sSub>
                      <m:r>
                        <a:rPr lang="fr-FR" sz="1100" b="0" i="1">
                          <a:latin typeface="Cambria Math" panose="02040503050406030204" pitchFamily="18" charset="0"/>
                        </a:rPr>
                        <m:t>=</m:t>
                      </m:r>
                    </m:den>
                  </m:f>
                </m:oMath>
              </a14:m>
              <a:r>
                <a:rPr lang="fr-FR" sz="1100"/>
                <a:t> </a:t>
              </a:r>
            </a:p>
          </xdr:txBody>
        </xdr:sp>
      </mc:Choice>
      <mc:Fallback xmlns=""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598E9EC9-6011-DDB7-FD30-33E73B5D0829}"/>
                </a:ext>
              </a:extLst>
            </xdr:cNvPr>
            <xdr:cNvSpPr txBox="1"/>
          </xdr:nvSpPr>
          <xdr:spPr>
            <a:xfrm>
              <a:off x="1841468" y="24320976"/>
              <a:ext cx="982128" cy="2109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1100" b="0" i="0">
                  <a:latin typeface="Cambria Math" panose="02040503050406030204" pitchFamily="18" charset="0"/>
                </a:rPr>
                <a:t>2𝐸𝐼⁄(</a:t>
              </a:r>
              <a:r>
                <a:rPr lang="fr-F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𝑚^2 𝑛)</a:t>
              </a:r>
              <a:r>
                <a:rPr lang="fr-FR" sz="1100" b="0" i="0">
                  <a:latin typeface="Cambria Math" panose="02040503050406030204" pitchFamily="18" charset="0"/>
                </a:rPr>
                <a:t>=𝐹⁄(</a:t>
              </a:r>
              <a:r>
                <a:rPr lang="fr-F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𝛿_𝑝</a:t>
              </a:r>
              <a:r>
                <a:rPr lang="fr-FR" sz="1100" b="0" i="0">
                  <a:latin typeface="Cambria Math" panose="02040503050406030204" pitchFamily="18" charset="0"/>
                </a:rPr>
                <a:t>=)</a:t>
              </a:r>
              <a:r>
                <a:rPr lang="fr-FR" sz="1100"/>
                <a:t> </a:t>
              </a:r>
            </a:p>
          </xdr:txBody>
        </xdr:sp>
      </mc:Fallback>
    </mc:AlternateContent>
    <xdr:clientData/>
  </xdr:oneCellAnchor>
  <xdr:twoCellAnchor>
    <xdr:from>
      <xdr:col>51</xdr:col>
      <xdr:colOff>323850</xdr:colOff>
      <xdr:row>118</xdr:row>
      <xdr:rowOff>123824</xdr:rowOff>
    </xdr:from>
    <xdr:to>
      <xdr:col>55</xdr:col>
      <xdr:colOff>342424</xdr:colOff>
      <xdr:row>123</xdr:row>
      <xdr:rowOff>218122</xdr:rowOff>
    </xdr:to>
    <xdr:pic>
      <xdr:nvPicPr>
        <xdr:cNvPr id="4" name="Image 3" descr="09_04_2024 07_03 Microsoft Lens">
          <a:extLst>
            <a:ext uri="{FF2B5EF4-FFF2-40B4-BE49-F238E27FC236}">
              <a16:creationId xmlns:a16="http://schemas.microsoft.com/office/drawing/2014/main" id="{973280C2-B352-732C-3410-40E50ED28B6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9"/>
        <a:stretch/>
      </xdr:blipFill>
      <xdr:spPr bwMode="auto">
        <a:xfrm>
          <a:off x="19145250" y="25974674"/>
          <a:ext cx="3676174" cy="1189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.rique/Documents/00%20-%20Outils%20Caclcul/EN1993_Corniere%20tendue-ds02-07-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rniere"/>
      <sheetName val="Cornières"/>
    </sheetNames>
    <sheetDataSet>
      <sheetData sheetId="0" refreshError="1">
        <row r="7">
          <cell r="Q7">
            <v>1</v>
          </cell>
        </row>
        <row r="9">
          <cell r="Q9">
            <v>1.25</v>
          </cell>
        </row>
        <row r="10">
          <cell r="Q10">
            <v>1.1000000000000001</v>
          </cell>
        </row>
        <row r="11">
          <cell r="Q11">
            <v>1</v>
          </cell>
        </row>
        <row r="15">
          <cell r="J15">
            <v>15</v>
          </cell>
        </row>
        <row r="16">
          <cell r="G16">
            <v>26</v>
          </cell>
        </row>
        <row r="18">
          <cell r="Q18">
            <v>1</v>
          </cell>
        </row>
        <row r="22">
          <cell r="R22">
            <v>8.8000000000000007</v>
          </cell>
          <cell r="S22">
            <v>800</v>
          </cell>
        </row>
        <row r="24">
          <cell r="G24">
            <v>120</v>
          </cell>
        </row>
        <row r="25">
          <cell r="T25">
            <v>12</v>
          </cell>
          <cell r="X25">
            <v>27.54</v>
          </cell>
          <cell r="Y25">
            <v>65</v>
          </cell>
          <cell r="AC25">
            <v>34</v>
          </cell>
        </row>
        <row r="26">
          <cell r="S26">
            <v>275</v>
          </cell>
          <cell r="U26">
            <v>430</v>
          </cell>
        </row>
        <row r="27">
          <cell r="S27">
            <v>355</v>
          </cell>
          <cell r="U27">
            <v>490</v>
          </cell>
        </row>
        <row r="28">
          <cell r="Q28">
            <v>1</v>
          </cell>
        </row>
        <row r="33">
          <cell r="G33">
            <v>5</v>
          </cell>
        </row>
        <row r="39">
          <cell r="N39">
            <v>45</v>
          </cell>
        </row>
        <row r="41">
          <cell r="I41">
            <v>52000</v>
          </cell>
        </row>
        <row r="49">
          <cell r="Q49">
            <v>24</v>
          </cell>
          <cell r="T49">
            <v>352</v>
          </cell>
        </row>
        <row r="101">
          <cell r="U101">
            <v>0.48461538461538467</v>
          </cell>
        </row>
        <row r="102">
          <cell r="U102">
            <v>0.6692307692307693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CB42F-4A0C-4645-B217-5AFBB18BD19E}">
  <sheetPr>
    <tabColor rgb="FF92D050"/>
  </sheetPr>
  <dimension ref="D3:AA63"/>
  <sheetViews>
    <sheetView tabSelected="1" view="pageBreakPreview" zoomScaleNormal="100" zoomScaleSheetLayoutView="100" workbookViewId="0">
      <selection activeCell="D3" sqref="D3:X4"/>
    </sheetView>
  </sheetViews>
  <sheetFormatPr baseColWidth="10" defaultColWidth="4.28515625" defaultRowHeight="15" x14ac:dyDescent="0.25"/>
  <cols>
    <col min="1" max="1" width="4.28515625" style="2"/>
    <col min="2" max="2" width="1.7109375" style="2" customWidth="1"/>
    <col min="3" max="28" width="4.28515625" style="2"/>
    <col min="29" max="29" width="1.7109375" style="2" customWidth="1"/>
    <col min="30" max="16384" width="4.28515625" style="2"/>
  </cols>
  <sheetData>
    <row r="3" spans="4:27" ht="15" customHeight="1" x14ac:dyDescent="0.25">
      <c r="D3" s="256" t="s">
        <v>290</v>
      </c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63" t="s">
        <v>309</v>
      </c>
      <c r="Z3" s="264"/>
      <c r="AA3" s="265"/>
    </row>
    <row r="4" spans="4:27" ht="15" customHeight="1" x14ac:dyDescent="0.25">
      <c r="D4" s="258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60">
        <v>45985</v>
      </c>
      <c r="Z4" s="261"/>
      <c r="AA4" s="262"/>
    </row>
    <row r="6" spans="4:27" ht="15.75" thickBot="1" x14ac:dyDescent="0.3">
      <c r="D6" s="4" t="s">
        <v>117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4:27" ht="15" customHeight="1" x14ac:dyDescent="0.25">
      <c r="D7" s="236" t="s">
        <v>116</v>
      </c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</row>
    <row r="8" spans="4:27" x14ac:dyDescent="0.25"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7"/>
      <c r="U8" s="237"/>
      <c r="V8" s="237"/>
      <c r="W8" s="237"/>
      <c r="X8" s="237"/>
      <c r="Y8" s="237"/>
      <c r="Z8" s="237"/>
      <c r="AA8" s="237"/>
    </row>
    <row r="9" spans="4:27" x14ac:dyDescent="0.25"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237"/>
      <c r="T9" s="237"/>
      <c r="U9" s="237"/>
      <c r="V9" s="237"/>
      <c r="W9" s="237"/>
      <c r="X9" s="237"/>
      <c r="Y9" s="237"/>
      <c r="Z9" s="237"/>
      <c r="AA9" s="237"/>
    </row>
    <row r="10" spans="4:27" x14ac:dyDescent="0.25">
      <c r="D10" s="1" t="s">
        <v>115</v>
      </c>
      <c r="E10" s="1"/>
      <c r="F10" s="1"/>
      <c r="G10" s="1"/>
      <c r="H10" s="1"/>
      <c r="I10" s="1"/>
      <c r="J10" s="1"/>
      <c r="K10" s="1"/>
      <c r="L10" s="238" t="s">
        <v>114</v>
      </c>
      <c r="M10" s="238"/>
      <c r="N10" s="238"/>
      <c r="O10" s="238"/>
      <c r="P10" s="238"/>
      <c r="Q10" s="238"/>
      <c r="R10" s="238"/>
      <c r="S10" s="6" t="s">
        <v>113</v>
      </c>
      <c r="T10" s="1"/>
      <c r="U10" s="1"/>
      <c r="V10" s="1"/>
      <c r="W10" s="239" t="s">
        <v>112</v>
      </c>
      <c r="X10" s="239"/>
      <c r="Y10" s="239"/>
      <c r="Z10" s="239"/>
      <c r="AA10" s="239"/>
    </row>
    <row r="11" spans="4:27" x14ac:dyDescent="0.25">
      <c r="D11" s="1" t="s">
        <v>111</v>
      </c>
      <c r="E11" s="1"/>
      <c r="F11" s="1"/>
      <c r="G11" s="1"/>
      <c r="H11" s="1"/>
      <c r="I11" s="1"/>
      <c r="J11" s="5" t="s">
        <v>110</v>
      </c>
      <c r="K11" s="1"/>
      <c r="L11" s="1"/>
      <c r="M11" s="1"/>
      <c r="N11" s="1"/>
      <c r="O11" s="1"/>
      <c r="P11" s="1"/>
      <c r="Q11" s="1"/>
      <c r="R11" s="1" t="s">
        <v>109</v>
      </c>
      <c r="S11" s="1"/>
      <c r="T11" s="1"/>
      <c r="U11" s="1"/>
      <c r="V11" s="1"/>
      <c r="W11" s="1"/>
      <c r="X11" s="1"/>
      <c r="Y11" s="1"/>
      <c r="Z11" s="1"/>
      <c r="AA11" s="1"/>
    </row>
    <row r="13" spans="4:27" ht="15.75" thickBot="1" x14ac:dyDescent="0.3">
      <c r="D13" s="4" t="s">
        <v>108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4:27" x14ac:dyDescent="0.25">
      <c r="D14" s="2" t="s">
        <v>291</v>
      </c>
    </row>
    <row r="16" spans="4:27" x14ac:dyDescent="0.25">
      <c r="D16" s="111" t="s">
        <v>219</v>
      </c>
    </row>
    <row r="18" spans="4:27" ht="15.75" thickBot="1" x14ac:dyDescent="0.3">
      <c r="D18" s="4" t="s">
        <v>107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4:27" x14ac:dyDescent="0.25">
      <c r="D19" s="2" t="s">
        <v>118</v>
      </c>
    </row>
    <row r="20" spans="4:27" x14ac:dyDescent="0.25">
      <c r="D20" s="2" t="s">
        <v>121</v>
      </c>
    </row>
    <row r="21" spans="4:27" x14ac:dyDescent="0.25">
      <c r="D21" s="2" t="s">
        <v>120</v>
      </c>
    </row>
    <row r="22" spans="4:27" x14ac:dyDescent="0.25">
      <c r="D22" s="266" t="s">
        <v>119</v>
      </c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</row>
    <row r="23" spans="4:27" x14ac:dyDescent="0.25"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</row>
    <row r="24" spans="4:27" x14ac:dyDescent="0.25">
      <c r="D24" s="2" t="s">
        <v>206</v>
      </c>
    </row>
    <row r="25" spans="4:27" x14ac:dyDescent="0.25">
      <c r="D25" s="2" t="s">
        <v>312</v>
      </c>
    </row>
    <row r="26" spans="4:27" ht="30" customHeight="1" x14ac:dyDescent="0.25">
      <c r="D26" s="266" t="s">
        <v>313</v>
      </c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</row>
    <row r="27" spans="4:27" x14ac:dyDescent="0.25"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20"/>
      <c r="Z27" s="220"/>
      <c r="AA27" s="220"/>
    </row>
    <row r="28" spans="4:27" ht="15.75" thickBot="1" x14ac:dyDescent="0.3">
      <c r="D28" s="4" t="s">
        <v>106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30" spans="4:27" x14ac:dyDescent="0.25">
      <c r="E30" s="2" t="s">
        <v>105</v>
      </c>
      <c r="X30" s="271"/>
      <c r="Y30" s="272"/>
      <c r="Z30" s="273"/>
    </row>
    <row r="32" spans="4:27" x14ac:dyDescent="0.25">
      <c r="E32" s="2" t="s">
        <v>104</v>
      </c>
      <c r="X32" s="274" t="s">
        <v>103</v>
      </c>
      <c r="Y32" s="275"/>
      <c r="Z32" s="276"/>
    </row>
    <row r="34" spans="4:27" x14ac:dyDescent="0.25">
      <c r="E34" s="2" t="s">
        <v>102</v>
      </c>
      <c r="X34" s="277"/>
      <c r="Y34" s="278"/>
      <c r="Z34" s="279"/>
    </row>
    <row r="36" spans="4:27" ht="15.75" thickBot="1" x14ac:dyDescent="0.3">
      <c r="D36" s="4" t="s">
        <v>101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8" spans="4:27" ht="15.75" x14ac:dyDescent="0.25">
      <c r="E38" s="250" t="s">
        <v>100</v>
      </c>
      <c r="F38" s="251"/>
      <c r="G38" s="251"/>
      <c r="H38" s="251"/>
      <c r="I38" s="251"/>
      <c r="J38" s="251"/>
      <c r="K38" s="251"/>
      <c r="L38" s="251"/>
      <c r="M38" s="251"/>
      <c r="N38" s="251"/>
      <c r="O38" s="251"/>
      <c r="P38" s="251"/>
      <c r="Q38" s="251"/>
      <c r="R38" s="251"/>
      <c r="S38" s="251"/>
      <c r="T38" s="251"/>
      <c r="U38" s="251"/>
      <c r="V38" s="251"/>
      <c r="W38" s="251"/>
      <c r="X38" s="251"/>
      <c r="Y38" s="251"/>
      <c r="Z38" s="252"/>
    </row>
    <row r="39" spans="4:27" x14ac:dyDescent="0.25">
      <c r="E39" s="249" t="s">
        <v>99</v>
      </c>
      <c r="F39" s="249"/>
      <c r="G39" s="249"/>
      <c r="I39" s="249" t="s">
        <v>98</v>
      </c>
      <c r="J39" s="249"/>
      <c r="K39" s="249"/>
      <c r="L39" s="249"/>
      <c r="M39" s="249"/>
      <c r="O39" s="231"/>
      <c r="P39" s="231"/>
      <c r="Q39" s="231"/>
      <c r="R39" s="231"/>
      <c r="T39" s="231"/>
      <c r="U39" s="231"/>
      <c r="V39" s="231"/>
      <c r="W39" s="231"/>
      <c r="Y39" s="231"/>
      <c r="Z39" s="231"/>
    </row>
    <row r="40" spans="4:27" x14ac:dyDescent="0.25">
      <c r="E40" s="242" t="s">
        <v>97</v>
      </c>
      <c r="F40" s="243"/>
      <c r="G40" s="244"/>
      <c r="I40" s="245" t="s">
        <v>273</v>
      </c>
      <c r="J40" s="246"/>
      <c r="K40" s="246"/>
      <c r="L40" s="246"/>
      <c r="M40" s="247"/>
      <c r="O40" s="248"/>
      <c r="P40" s="248"/>
      <c r="Q40" s="248"/>
      <c r="R40" s="248"/>
      <c r="T40" s="248"/>
      <c r="U40" s="248"/>
      <c r="V40" s="248"/>
      <c r="W40" s="248"/>
      <c r="Y40" s="221"/>
      <c r="Z40" s="221"/>
    </row>
    <row r="42" spans="4:27" ht="15.75" x14ac:dyDescent="0.25">
      <c r="E42" s="270" t="s">
        <v>191</v>
      </c>
      <c r="F42" s="270"/>
      <c r="G42" s="270"/>
      <c r="H42" s="270"/>
      <c r="I42" s="270"/>
      <c r="J42" s="270"/>
      <c r="K42" s="270"/>
      <c r="L42" s="270"/>
      <c r="M42" s="270"/>
      <c r="N42" s="270"/>
      <c r="O42" s="270"/>
      <c r="P42" s="270"/>
      <c r="Q42" s="270"/>
      <c r="R42" s="270"/>
      <c r="S42" s="270"/>
      <c r="T42" s="270"/>
      <c r="U42" s="270"/>
      <c r="V42" s="270"/>
      <c r="W42" s="270"/>
      <c r="X42" s="270"/>
      <c r="Y42" s="270"/>
    </row>
    <row r="43" spans="4:27" x14ac:dyDescent="0.25">
      <c r="E43" s="221"/>
      <c r="F43" s="221"/>
      <c r="H43" s="221"/>
      <c r="I43" s="221"/>
      <c r="K43" s="221"/>
      <c r="L43" s="221"/>
      <c r="M43" s="221"/>
      <c r="O43" s="241" t="s">
        <v>195</v>
      </c>
      <c r="P43" s="241"/>
      <c r="Q43" s="241"/>
      <c r="S43" s="241" t="s">
        <v>196</v>
      </c>
      <c r="T43" s="241"/>
      <c r="U43" s="241"/>
      <c r="W43" s="241" t="s">
        <v>197</v>
      </c>
      <c r="X43" s="241"/>
      <c r="Y43" s="241"/>
    </row>
    <row r="44" spans="4:27" x14ac:dyDescent="0.25">
      <c r="E44" s="240"/>
      <c r="F44" s="240"/>
      <c r="G44" s="110"/>
      <c r="H44" s="240"/>
      <c r="I44" s="240"/>
      <c r="J44" s="110"/>
      <c r="K44" s="240"/>
      <c r="L44" s="240"/>
      <c r="M44" s="240"/>
      <c r="O44" s="267" t="s">
        <v>192</v>
      </c>
      <c r="P44" s="268"/>
      <c r="Q44" s="269"/>
      <c r="S44" s="267" t="s">
        <v>193</v>
      </c>
      <c r="T44" s="268"/>
      <c r="U44" s="269"/>
      <c r="W44" s="267" t="s">
        <v>194</v>
      </c>
      <c r="X44" s="268"/>
      <c r="Y44" s="269"/>
    </row>
    <row r="46" spans="4:27" ht="15.75" thickBot="1" x14ac:dyDescent="0.3">
      <c r="D46" s="4" t="s">
        <v>96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8" spans="4:27" x14ac:dyDescent="0.25">
      <c r="D48" s="254" t="s">
        <v>95</v>
      </c>
      <c r="E48" s="254"/>
      <c r="F48" s="255"/>
      <c r="G48" s="253" t="s">
        <v>94</v>
      </c>
      <c r="H48" s="254"/>
      <c r="I48" s="255"/>
      <c r="J48" s="253" t="s">
        <v>93</v>
      </c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</row>
    <row r="49" spans="4:27" x14ac:dyDescent="0.25">
      <c r="D49" s="231" t="s">
        <v>92</v>
      </c>
      <c r="E49" s="231"/>
      <c r="F49" s="232"/>
      <c r="G49" s="233" t="s">
        <v>198</v>
      </c>
      <c r="H49" s="234"/>
      <c r="I49" s="235"/>
      <c r="J49" s="229" t="s">
        <v>91</v>
      </c>
      <c r="K49" s="230"/>
      <c r="L49" s="230"/>
      <c r="M49" s="230"/>
      <c r="N49" s="230"/>
      <c r="O49" s="230"/>
      <c r="P49" s="230"/>
      <c r="Q49" s="230"/>
      <c r="R49" s="230"/>
      <c r="S49" s="230"/>
      <c r="T49" s="230"/>
      <c r="U49" s="230"/>
      <c r="V49" s="230"/>
      <c r="W49" s="230"/>
      <c r="X49" s="230"/>
      <c r="Y49" s="230"/>
      <c r="Z49" s="230"/>
      <c r="AA49" s="230"/>
    </row>
    <row r="50" spans="4:27" x14ac:dyDescent="0.25">
      <c r="D50" s="221" t="s">
        <v>203</v>
      </c>
      <c r="E50" s="221"/>
      <c r="F50" s="222"/>
      <c r="G50" s="223" t="s">
        <v>204</v>
      </c>
      <c r="H50" s="224"/>
      <c r="I50" s="225"/>
      <c r="J50" s="227" t="s">
        <v>292</v>
      </c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</row>
    <row r="51" spans="4:27" x14ac:dyDescent="0.25">
      <c r="D51" s="221"/>
      <c r="E51" s="221"/>
      <c r="F51" s="222"/>
      <c r="G51" s="223"/>
      <c r="H51" s="224"/>
      <c r="I51" s="225"/>
      <c r="J51" s="227" t="s">
        <v>205</v>
      </c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</row>
    <row r="52" spans="4:27" x14ac:dyDescent="0.25">
      <c r="D52" s="221" t="s">
        <v>293</v>
      </c>
      <c r="E52" s="221"/>
      <c r="F52" s="222"/>
      <c r="G52" s="223" t="s">
        <v>305</v>
      </c>
      <c r="H52" s="224"/>
      <c r="I52" s="225"/>
      <c r="J52" s="227" t="s">
        <v>272</v>
      </c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</row>
    <row r="53" spans="4:27" x14ac:dyDescent="0.25">
      <c r="D53" s="221"/>
      <c r="E53" s="221"/>
      <c r="F53" s="222"/>
      <c r="G53" s="223"/>
      <c r="H53" s="224"/>
      <c r="I53" s="225"/>
      <c r="J53" s="227" t="s">
        <v>218</v>
      </c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</row>
    <row r="54" spans="4:27" x14ac:dyDescent="0.25">
      <c r="D54" s="221"/>
      <c r="E54" s="221"/>
      <c r="F54" s="222"/>
      <c r="G54" s="223"/>
      <c r="H54" s="224"/>
      <c r="I54" s="225"/>
      <c r="J54" s="227" t="s">
        <v>306</v>
      </c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</row>
    <row r="55" spans="4:27" x14ac:dyDescent="0.25">
      <c r="D55" s="221"/>
      <c r="E55" s="221"/>
      <c r="F55" s="222"/>
      <c r="G55" s="223"/>
      <c r="H55" s="224"/>
      <c r="I55" s="225"/>
      <c r="J55" s="227" t="s">
        <v>299</v>
      </c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</row>
    <row r="56" spans="4:27" x14ac:dyDescent="0.25">
      <c r="D56" s="221" t="s">
        <v>309</v>
      </c>
      <c r="E56" s="221"/>
      <c r="F56" s="222"/>
      <c r="G56" s="223" t="s">
        <v>310</v>
      </c>
      <c r="H56" s="224"/>
      <c r="I56" s="225"/>
      <c r="J56" s="227" t="s">
        <v>311</v>
      </c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</row>
    <row r="57" spans="4:27" x14ac:dyDescent="0.25">
      <c r="D57" s="221"/>
      <c r="E57" s="221"/>
      <c r="F57" s="222"/>
      <c r="G57" s="223"/>
      <c r="H57" s="224"/>
      <c r="I57" s="225"/>
      <c r="J57" s="226"/>
      <c r="K57" s="221"/>
      <c r="L57" s="221"/>
      <c r="M57" s="221"/>
      <c r="N57" s="221"/>
      <c r="O57" s="221"/>
      <c r="P57" s="221"/>
      <c r="Q57" s="221"/>
      <c r="R57" s="221"/>
      <c r="S57" s="221"/>
      <c r="T57" s="221"/>
      <c r="U57" s="221"/>
      <c r="V57" s="221"/>
      <c r="W57" s="221"/>
      <c r="X57" s="221"/>
      <c r="Y57" s="221"/>
      <c r="Z57" s="221"/>
      <c r="AA57" s="221"/>
    </row>
    <row r="58" spans="4:27" x14ac:dyDescent="0.25">
      <c r="D58" s="221"/>
      <c r="E58" s="221"/>
      <c r="F58" s="222"/>
      <c r="G58" s="223"/>
      <c r="H58" s="224"/>
      <c r="I58" s="225"/>
      <c r="J58" s="226"/>
      <c r="K58" s="221"/>
      <c r="L58" s="221"/>
      <c r="M58" s="221"/>
      <c r="N58" s="221"/>
      <c r="O58" s="221"/>
      <c r="P58" s="221"/>
      <c r="Q58" s="221"/>
      <c r="R58" s="221"/>
      <c r="S58" s="221"/>
      <c r="T58" s="221"/>
      <c r="U58" s="221"/>
      <c r="V58" s="221"/>
      <c r="W58" s="221"/>
      <c r="X58" s="221"/>
      <c r="Y58" s="221"/>
      <c r="Z58" s="221"/>
      <c r="AA58" s="221"/>
    </row>
    <row r="59" spans="4:27" x14ac:dyDescent="0.25">
      <c r="D59" s="221"/>
      <c r="E59" s="221"/>
      <c r="F59" s="222"/>
      <c r="G59" s="223"/>
      <c r="H59" s="224"/>
      <c r="I59" s="225"/>
      <c r="J59" s="226"/>
      <c r="K59" s="221"/>
      <c r="L59" s="221"/>
      <c r="M59" s="221"/>
      <c r="N59" s="221"/>
      <c r="O59" s="221"/>
      <c r="P59" s="221"/>
      <c r="Q59" s="221"/>
      <c r="R59" s="221"/>
      <c r="S59" s="221"/>
      <c r="T59" s="221"/>
      <c r="U59" s="221"/>
      <c r="V59" s="221"/>
      <c r="W59" s="221"/>
      <c r="X59" s="221"/>
      <c r="Y59" s="221"/>
      <c r="Z59" s="221"/>
      <c r="AA59" s="221"/>
    </row>
    <row r="60" spans="4:27" x14ac:dyDescent="0.25">
      <c r="D60" s="221"/>
      <c r="E60" s="221"/>
      <c r="F60" s="222"/>
      <c r="G60" s="223"/>
      <c r="H60" s="224"/>
      <c r="I60" s="225"/>
      <c r="J60" s="226"/>
      <c r="K60" s="221"/>
      <c r="L60" s="221"/>
      <c r="M60" s="221"/>
      <c r="N60" s="221"/>
      <c r="O60" s="221"/>
      <c r="P60" s="221"/>
      <c r="Q60" s="221"/>
      <c r="R60" s="221"/>
      <c r="S60" s="221"/>
      <c r="T60" s="221"/>
      <c r="U60" s="221"/>
      <c r="V60" s="221"/>
      <c r="W60" s="221"/>
      <c r="X60" s="221"/>
      <c r="Y60" s="221"/>
      <c r="Z60" s="221"/>
      <c r="AA60" s="221"/>
    </row>
    <row r="61" spans="4:27" x14ac:dyDescent="0.25">
      <c r="D61" s="221"/>
      <c r="E61" s="221"/>
      <c r="F61" s="222"/>
      <c r="G61" s="223"/>
      <c r="H61" s="224"/>
      <c r="I61" s="225"/>
      <c r="J61" s="226"/>
      <c r="K61" s="221"/>
      <c r="L61" s="221"/>
      <c r="M61" s="221"/>
      <c r="N61" s="221"/>
      <c r="O61" s="221"/>
      <c r="P61" s="221"/>
      <c r="Q61" s="221"/>
      <c r="R61" s="221"/>
      <c r="S61" s="221"/>
      <c r="T61" s="221"/>
      <c r="U61" s="221"/>
      <c r="V61" s="221"/>
      <c r="W61" s="221"/>
      <c r="X61" s="221"/>
      <c r="Y61" s="221"/>
      <c r="Z61" s="221"/>
      <c r="AA61" s="221"/>
    </row>
    <row r="62" spans="4:27" x14ac:dyDescent="0.25">
      <c r="D62" s="221"/>
      <c r="E62" s="221"/>
      <c r="F62" s="222"/>
      <c r="G62" s="223"/>
      <c r="H62" s="224"/>
      <c r="I62" s="225"/>
      <c r="J62" s="226"/>
      <c r="K62" s="221"/>
      <c r="L62" s="221"/>
      <c r="M62" s="221"/>
      <c r="N62" s="221"/>
      <c r="O62" s="221"/>
      <c r="P62" s="221"/>
      <c r="Q62" s="221"/>
      <c r="R62" s="221"/>
      <c r="S62" s="221"/>
      <c r="T62" s="221"/>
      <c r="U62" s="221"/>
      <c r="V62" s="221"/>
      <c r="W62" s="221"/>
      <c r="X62" s="221"/>
      <c r="Y62" s="221"/>
      <c r="Z62" s="221"/>
      <c r="AA62" s="221"/>
    </row>
    <row r="63" spans="4:27" x14ac:dyDescent="0.25">
      <c r="D63" s="221"/>
      <c r="E63" s="221"/>
      <c r="F63" s="222"/>
      <c r="G63" s="223"/>
      <c r="H63" s="224"/>
      <c r="I63" s="225"/>
      <c r="J63" s="226"/>
      <c r="K63" s="221"/>
      <c r="L63" s="221"/>
      <c r="M63" s="221"/>
      <c r="N63" s="221"/>
      <c r="O63" s="221"/>
      <c r="P63" s="221"/>
      <c r="Q63" s="221"/>
      <c r="R63" s="221"/>
      <c r="S63" s="221"/>
      <c r="T63" s="221"/>
      <c r="U63" s="221"/>
      <c r="V63" s="221"/>
      <c r="W63" s="221"/>
      <c r="X63" s="221"/>
      <c r="Y63" s="221"/>
      <c r="Z63" s="221"/>
      <c r="AA63" s="221"/>
    </row>
  </sheetData>
  <sheetProtection algorithmName="SHA-512" hashValue="tBXUzu3vt33cHHEmtWwMx6SFShVIWzZ6GWzPEJKGatxo3rB3gkTmgvQHr/AMnLs+LFMSJdGyDSGUhEPF870Pmw==" saltValue="Tkv/UQw7Dis9eNBwvHLgmQ==" spinCount="100000" sheet="1" objects="1" scenarios="1"/>
  <mergeCells count="83">
    <mergeCell ref="D26:AA26"/>
    <mergeCell ref="D3:X4"/>
    <mergeCell ref="Y4:AA4"/>
    <mergeCell ref="Y3:AA3"/>
    <mergeCell ref="D22:AA23"/>
    <mergeCell ref="O44:Q44"/>
    <mergeCell ref="E42:Y42"/>
    <mergeCell ref="S44:U44"/>
    <mergeCell ref="W44:Y44"/>
    <mergeCell ref="E43:F43"/>
    <mergeCell ref="H43:I43"/>
    <mergeCell ref="K43:M43"/>
    <mergeCell ref="O43:Q43"/>
    <mergeCell ref="S43:U43"/>
    <mergeCell ref="X30:Z30"/>
    <mergeCell ref="X32:Z32"/>
    <mergeCell ref="X34:Z34"/>
    <mergeCell ref="O39:R39"/>
    <mergeCell ref="T39:W39"/>
    <mergeCell ref="G48:I48"/>
    <mergeCell ref="D48:F48"/>
    <mergeCell ref="J48:AA48"/>
    <mergeCell ref="D7:AA9"/>
    <mergeCell ref="L10:R10"/>
    <mergeCell ref="W10:AA10"/>
    <mergeCell ref="E44:F44"/>
    <mergeCell ref="H44:I44"/>
    <mergeCell ref="K44:M44"/>
    <mergeCell ref="W43:Y43"/>
    <mergeCell ref="E40:G40"/>
    <mergeCell ref="I40:M40"/>
    <mergeCell ref="O40:R40"/>
    <mergeCell ref="T40:W40"/>
    <mergeCell ref="Y40:Z40"/>
    <mergeCell ref="Y39:Z39"/>
    <mergeCell ref="E39:G39"/>
    <mergeCell ref="I39:M39"/>
    <mergeCell ref="E38:Z38"/>
    <mergeCell ref="J49:AA49"/>
    <mergeCell ref="D49:F49"/>
    <mergeCell ref="G49:I49"/>
    <mergeCell ref="D52:F52"/>
    <mergeCell ref="G52:I52"/>
    <mergeCell ref="J52:AA52"/>
    <mergeCell ref="D50:F50"/>
    <mergeCell ref="G50:I50"/>
    <mergeCell ref="J50:AA50"/>
    <mergeCell ref="D51:F51"/>
    <mergeCell ref="G51:I51"/>
    <mergeCell ref="J51:AA51"/>
    <mergeCell ref="G53:I53"/>
    <mergeCell ref="J53:AA53"/>
    <mergeCell ref="D54:F54"/>
    <mergeCell ref="G54:I54"/>
    <mergeCell ref="J54:AA54"/>
    <mergeCell ref="D53:F53"/>
    <mergeCell ref="D63:F63"/>
    <mergeCell ref="G63:I63"/>
    <mergeCell ref="J63:AA63"/>
    <mergeCell ref="D59:F59"/>
    <mergeCell ref="G59:I59"/>
    <mergeCell ref="J59:AA59"/>
    <mergeCell ref="D61:F61"/>
    <mergeCell ref="G61:I61"/>
    <mergeCell ref="J61:AA61"/>
    <mergeCell ref="D62:F62"/>
    <mergeCell ref="G62:I62"/>
    <mergeCell ref="J62:AA62"/>
    <mergeCell ref="D60:F60"/>
    <mergeCell ref="G60:I60"/>
    <mergeCell ref="J60:AA60"/>
    <mergeCell ref="D58:F58"/>
    <mergeCell ref="G58:I58"/>
    <mergeCell ref="J58:AA58"/>
    <mergeCell ref="D55:F55"/>
    <mergeCell ref="G55:I55"/>
    <mergeCell ref="J55:AA55"/>
    <mergeCell ref="J56:AA56"/>
    <mergeCell ref="D57:F57"/>
    <mergeCell ref="G57:I57"/>
    <mergeCell ref="J57:AA57"/>
    <mergeCell ref="D56:F56"/>
    <mergeCell ref="G56:I56"/>
  </mergeCells>
  <hyperlinks>
    <hyperlink ref="J11" r:id="rId1" xr:uid="{DE885CDB-FE77-4AD9-8E0E-F708481E4E27}"/>
    <hyperlink ref="L10:Q10" r:id="rId2" display="http://coursconstructionacier.fr" xr:uid="{865E77AF-F659-424C-9AA7-2992F493B4FF}"/>
    <hyperlink ref="W10:AA10" r:id="rId3" display="CreativeCommon" xr:uid="{8F529CDD-84D8-4ECD-8ABF-AF7BD745ECED}"/>
  </hyperlinks>
  <pageMargins left="0.7" right="0.7" top="0.75" bottom="0.75" header="0.3" footer="0.3"/>
  <pageSetup paperSize="9" scale="76" orientation="portrait" horizontalDpi="4294967292" verticalDpi="1200" r:id="rId4"/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3B23F-BED6-47F7-A638-1EFE38CE2CEB}">
  <sheetPr>
    <tabColor rgb="FF0070C0"/>
    <pageSetUpPr fitToPage="1"/>
  </sheetPr>
  <dimension ref="B1:BD126"/>
  <sheetViews>
    <sheetView view="pageBreakPreview" zoomScaleNormal="115" zoomScaleSheetLayoutView="100" workbookViewId="0">
      <selection activeCell="J8" sqref="J8:L8"/>
    </sheetView>
  </sheetViews>
  <sheetFormatPr baseColWidth="10" defaultColWidth="13.7109375" defaultRowHeight="17.25" customHeight="1" x14ac:dyDescent="0.25"/>
  <cols>
    <col min="1" max="40" width="3.28515625" style="1" customWidth="1"/>
    <col min="41" max="51" width="13.7109375" style="1" customWidth="1"/>
    <col min="52" max="56" width="13.7109375" style="1" hidden="1" customWidth="1"/>
    <col min="57" max="57" width="13.7109375" style="1" customWidth="1"/>
    <col min="58" max="16384" width="13.7109375" style="1"/>
  </cols>
  <sheetData>
    <row r="1" spans="2:45" ht="17.25" customHeight="1" thickBot="1" x14ac:dyDescent="0.3"/>
    <row r="2" spans="2:45" ht="17.25" customHeight="1" x14ac:dyDescent="0.25">
      <c r="B2" s="121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3"/>
    </row>
    <row r="3" spans="2:45" ht="17.25" customHeight="1" x14ac:dyDescent="0.25">
      <c r="B3" s="124"/>
      <c r="C3" s="320" t="s">
        <v>270</v>
      </c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125"/>
    </row>
    <row r="4" spans="2:45" ht="17.25" customHeight="1" x14ac:dyDescent="0.25">
      <c r="B4" s="124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  <c r="AC4" s="320"/>
      <c r="AD4" s="320"/>
      <c r="AE4" s="320"/>
      <c r="AF4" s="320"/>
      <c r="AG4" s="320"/>
      <c r="AH4" s="320"/>
      <c r="AI4" s="320"/>
      <c r="AJ4" s="320"/>
      <c r="AK4" s="320"/>
      <c r="AL4" s="320"/>
      <c r="AM4" s="125"/>
    </row>
    <row r="5" spans="2:45" ht="17.25" customHeight="1" x14ac:dyDescent="0.25">
      <c r="B5" s="124"/>
      <c r="C5" s="320"/>
      <c r="D5" s="320"/>
      <c r="E5" s="320"/>
      <c r="F5" s="320"/>
      <c r="G5" s="320"/>
      <c r="H5" s="320"/>
      <c r="I5" s="320"/>
      <c r="J5" s="320"/>
      <c r="K5" s="320"/>
      <c r="L5" s="320"/>
      <c r="M5" s="320"/>
      <c r="N5" s="320"/>
      <c r="O5" s="320"/>
      <c r="P5" s="320"/>
      <c r="Q5" s="320"/>
      <c r="R5" s="320"/>
      <c r="S5" s="320"/>
      <c r="T5" s="320"/>
      <c r="U5" s="320"/>
      <c r="V5" s="320"/>
      <c r="W5" s="320"/>
      <c r="X5" s="320"/>
      <c r="Y5" s="320"/>
      <c r="Z5" s="320"/>
      <c r="AA5" s="320"/>
      <c r="AB5" s="320"/>
      <c r="AC5" s="320"/>
      <c r="AD5" s="320"/>
      <c r="AE5" s="320"/>
      <c r="AF5" s="320"/>
      <c r="AG5" s="320"/>
      <c r="AH5" s="320"/>
      <c r="AI5" s="320"/>
      <c r="AJ5" s="320"/>
      <c r="AK5" s="320"/>
      <c r="AL5" s="320"/>
      <c r="AM5" s="125"/>
    </row>
    <row r="6" spans="2:45" ht="17.25" customHeight="1" x14ac:dyDescent="0.25">
      <c r="B6" s="124"/>
      <c r="C6" s="126" t="s">
        <v>5</v>
      </c>
      <c r="AM6" s="125"/>
    </row>
    <row r="7" spans="2:45" ht="17.25" customHeight="1" x14ac:dyDescent="0.25">
      <c r="B7" s="124"/>
      <c r="U7" s="127"/>
      <c r="V7" s="128"/>
      <c r="W7" s="129"/>
      <c r="X7" s="129"/>
      <c r="Y7" s="129"/>
      <c r="Z7" s="129"/>
      <c r="AA7" s="129"/>
      <c r="AB7" s="130"/>
      <c r="AC7" s="129"/>
      <c r="AD7" s="129"/>
      <c r="AE7" s="129"/>
      <c r="AF7" s="129"/>
      <c r="AG7" s="129"/>
      <c r="AH7" s="129"/>
      <c r="AI7" s="130"/>
      <c r="AM7" s="125"/>
    </row>
    <row r="8" spans="2:45" ht="17.25" customHeight="1" x14ac:dyDescent="0.25">
      <c r="B8" s="124"/>
      <c r="I8" s="131" t="s">
        <v>8</v>
      </c>
      <c r="J8" s="317">
        <v>1</v>
      </c>
      <c r="K8" s="317"/>
      <c r="L8" s="317"/>
      <c r="M8" s="1" t="s">
        <v>10</v>
      </c>
      <c r="U8" s="127"/>
      <c r="AB8" s="127"/>
      <c r="AI8" s="127"/>
      <c r="AM8" s="125"/>
    </row>
    <row r="9" spans="2:45" ht="17.25" customHeight="1" x14ac:dyDescent="0.25">
      <c r="B9" s="124"/>
      <c r="T9" s="132" t="s">
        <v>7</v>
      </c>
      <c r="U9" s="127"/>
      <c r="Y9" s="132" t="s">
        <v>6</v>
      </c>
      <c r="AB9" s="127"/>
      <c r="AI9" s="127"/>
      <c r="AM9" s="125"/>
      <c r="AQ9" s="215" t="s">
        <v>190</v>
      </c>
    </row>
    <row r="10" spans="2:45" ht="17.25" customHeight="1" x14ac:dyDescent="0.25">
      <c r="B10" s="124"/>
      <c r="U10" s="127"/>
      <c r="AB10" s="127"/>
      <c r="AI10" s="127"/>
      <c r="AM10" s="125"/>
      <c r="AQ10" s="215" cm="1">
        <f t="array" ref="AQ10">_xlfn.SWITCH($AT$20,"CIRF",1,"CIRC",2,"CARF",3,"CARC",4,"RECF",5,"RECC",6)</f>
        <v>6</v>
      </c>
    </row>
    <row r="11" spans="2:45" ht="17.25" customHeight="1" x14ac:dyDescent="0.25">
      <c r="B11" s="124"/>
      <c r="I11" s="131" t="s">
        <v>9</v>
      </c>
      <c r="J11" s="317">
        <v>1.4</v>
      </c>
      <c r="K11" s="317"/>
      <c r="L11" s="317"/>
      <c r="M11" s="1" t="s">
        <v>10</v>
      </c>
      <c r="U11" s="133"/>
      <c r="V11" s="134"/>
      <c r="AB11" s="133"/>
      <c r="AC11" s="134"/>
      <c r="AI11" s="133"/>
      <c r="AJ11" s="134"/>
      <c r="AM11" s="125"/>
    </row>
    <row r="12" spans="2:45" ht="17.25" customHeight="1" thickBot="1" x14ac:dyDescent="0.3">
      <c r="B12" s="124"/>
      <c r="AM12" s="125"/>
    </row>
    <row r="13" spans="2:45" ht="17.25" customHeight="1" thickBot="1" x14ac:dyDescent="0.3">
      <c r="B13" s="124"/>
      <c r="U13" s="333" t="str" cm="1">
        <f t="array" ref="U13">IF(J16="Plat","I",_xlfn.SWITCH(J18,"Rond","○","Carré","□","Rectangle","▯"))</f>
        <v>▯</v>
      </c>
      <c r="V13" s="333"/>
      <c r="AB13" s="333" t="str" cm="1">
        <f t="array" ref="AB13">IF(J16="Plat","I",_xlfn.SWITCH(J18,"Rond","○","Carré","□","Rectangle","▯"))</f>
        <v>▯</v>
      </c>
      <c r="AC13" s="333"/>
      <c r="AI13" s="333" t="str" cm="1">
        <f t="array" ref="AI13">IF(J16="Plat","I",_xlfn.SWITCH(J18,"Rond","○","Carré","□","Rectangle","▯"))</f>
        <v>▯</v>
      </c>
      <c r="AJ13" s="333"/>
      <c r="AM13" s="125"/>
      <c r="AQ13" s="328" t="s">
        <v>19</v>
      </c>
      <c r="AR13" s="329"/>
    </row>
    <row r="14" spans="2:45" ht="17.25" customHeight="1" x14ac:dyDescent="0.25">
      <c r="B14" s="124"/>
      <c r="C14" s="126" t="s">
        <v>11</v>
      </c>
      <c r="AM14" s="125"/>
      <c r="AQ14" s="137" t="s">
        <v>0</v>
      </c>
      <c r="AR14" s="138">
        <v>23.5</v>
      </c>
      <c r="AS14" s="139"/>
    </row>
    <row r="15" spans="2:45" ht="17.25" customHeight="1" x14ac:dyDescent="0.25">
      <c r="B15" s="124"/>
      <c r="I15" s="131" t="s">
        <v>12</v>
      </c>
      <c r="J15" s="317" t="s">
        <v>0</v>
      </c>
      <c r="K15" s="317"/>
      <c r="L15" s="317"/>
      <c r="P15" s="131" t="s">
        <v>201</v>
      </c>
      <c r="Q15" s="318">
        <v>50</v>
      </c>
      <c r="R15" s="318"/>
      <c r="S15" s="318"/>
      <c r="T15" s="1" t="s">
        <v>14</v>
      </c>
      <c r="W15" s="131" t="s">
        <v>16</v>
      </c>
      <c r="X15" s="288">
        <f>VLOOKUP(J15,AQ14:AR17,2,FALSE)</f>
        <v>23.5</v>
      </c>
      <c r="Y15" s="288"/>
      <c r="Z15" s="1" t="s">
        <v>13</v>
      </c>
      <c r="AM15" s="125"/>
      <c r="AQ15" s="141" t="s">
        <v>1</v>
      </c>
      <c r="AR15" s="142">
        <v>27.5</v>
      </c>
      <c r="AS15" s="139"/>
    </row>
    <row r="16" spans="2:45" ht="17.25" customHeight="1" x14ac:dyDescent="0.25">
      <c r="B16" s="124"/>
      <c r="I16" s="131" t="s">
        <v>199</v>
      </c>
      <c r="J16" s="317" t="s">
        <v>200</v>
      </c>
      <c r="K16" s="317"/>
      <c r="L16" s="317"/>
      <c r="P16" s="131" t="s">
        <v>202</v>
      </c>
      <c r="Q16" s="318">
        <v>15</v>
      </c>
      <c r="R16" s="318"/>
      <c r="S16" s="318"/>
      <c r="T16" s="1" t="s">
        <v>14</v>
      </c>
      <c r="W16" s="131" t="s">
        <v>62</v>
      </c>
      <c r="X16" s="331">
        <f>AU20</f>
        <v>635.61944901923448</v>
      </c>
      <c r="Y16" s="331"/>
      <c r="Z16" s="331"/>
      <c r="AA16" s="1" t="s">
        <v>63</v>
      </c>
      <c r="AF16" s="132"/>
      <c r="AJ16" s="131" t="s">
        <v>301</v>
      </c>
      <c r="AK16" s="280">
        <v>1.135</v>
      </c>
      <c r="AL16" s="281"/>
      <c r="AM16" s="125"/>
      <c r="AQ16" s="141" t="s">
        <v>2</v>
      </c>
      <c r="AR16" s="142">
        <v>35.5</v>
      </c>
      <c r="AS16" s="139"/>
    </row>
    <row r="17" spans="2:50" ht="17.25" customHeight="1" thickBot="1" x14ac:dyDescent="0.3">
      <c r="B17" s="124"/>
      <c r="W17" s="131" t="s">
        <v>123</v>
      </c>
      <c r="X17" s="304">
        <f>AV20</f>
        <v>18.7</v>
      </c>
      <c r="Y17" s="304"/>
      <c r="Z17" s="304"/>
      <c r="AA17" s="1" t="s">
        <v>66</v>
      </c>
      <c r="AD17" s="282" t="s">
        <v>308</v>
      </c>
      <c r="AE17" s="282"/>
      <c r="AF17" s="282"/>
      <c r="AG17" s="282"/>
      <c r="AH17" s="282"/>
      <c r="AI17" s="282"/>
      <c r="AJ17" s="282"/>
      <c r="AK17" s="282"/>
      <c r="AL17" s="282"/>
      <c r="AM17" s="125"/>
      <c r="AQ17" s="145" t="s">
        <v>3</v>
      </c>
      <c r="AR17" s="146">
        <v>46</v>
      </c>
      <c r="AS17" s="139"/>
    </row>
    <row r="18" spans="2:50" ht="17.25" customHeight="1" thickBot="1" x14ac:dyDescent="0.3">
      <c r="B18" s="124"/>
      <c r="I18" s="131" t="s">
        <v>179</v>
      </c>
      <c r="J18" s="318" t="s">
        <v>189</v>
      </c>
      <c r="K18" s="318"/>
      <c r="L18" s="318"/>
      <c r="P18" s="131" t="s">
        <v>181</v>
      </c>
      <c r="Q18" s="295" t="s">
        <v>303</v>
      </c>
      <c r="R18" s="296"/>
      <c r="S18" s="297"/>
      <c r="W18" s="131" t="s">
        <v>124</v>
      </c>
      <c r="X18" s="304">
        <f>AW20</f>
        <v>7.4799999999999995</v>
      </c>
      <c r="Y18" s="304"/>
      <c r="Z18" s="304"/>
      <c r="AA18" s="1" t="s">
        <v>15</v>
      </c>
      <c r="AD18" s="282"/>
      <c r="AE18" s="282"/>
      <c r="AF18" s="282"/>
      <c r="AG18" s="282"/>
      <c r="AH18" s="282"/>
      <c r="AI18" s="282"/>
      <c r="AJ18" s="282"/>
      <c r="AK18" s="282"/>
      <c r="AL18" s="282"/>
      <c r="AM18" s="125"/>
    </row>
    <row r="19" spans="2:50" ht="17.25" customHeight="1" x14ac:dyDescent="0.25">
      <c r="B19" s="124"/>
      <c r="I19" s="131" t="s">
        <v>180</v>
      </c>
      <c r="J19" s="295" t="s">
        <v>304</v>
      </c>
      <c r="K19" s="296"/>
      <c r="L19" s="296"/>
      <c r="M19" s="296"/>
      <c r="N19" s="297"/>
      <c r="Z19" s="131"/>
      <c r="AL19" s="147"/>
      <c r="AM19" s="125"/>
      <c r="AQ19" s="148" t="s">
        <v>182</v>
      </c>
      <c r="AR19" s="149" t="s">
        <v>183</v>
      </c>
      <c r="AS19" s="149" t="s">
        <v>184</v>
      </c>
      <c r="AT19" s="149" t="s">
        <v>187</v>
      </c>
      <c r="AU19" s="149" t="s">
        <v>23</v>
      </c>
      <c r="AV19" s="149" t="s">
        <v>185</v>
      </c>
      <c r="AW19" s="150" t="s">
        <v>186</v>
      </c>
    </row>
    <row r="20" spans="2:50" ht="17.25" customHeight="1" thickBot="1" x14ac:dyDescent="0.3">
      <c r="B20" s="124"/>
      <c r="AM20" s="125"/>
      <c r="AQ20" s="151" t="str">
        <f>IF(J16="Plat",J16,J18)</f>
        <v>Rectangle</v>
      </c>
      <c r="AR20" s="152" t="str">
        <f>IF(J16="Plat","--",Q18)</f>
        <v>à Chaud</v>
      </c>
      <c r="AS20" s="152" t="str">
        <f>IF(J16="Plat","--",J19)</f>
        <v>RECC  50*30*5</v>
      </c>
      <c r="AT20" s="153" t="str" cm="1">
        <f t="array" ref="AT20">IF(J16="Plat","--",_xlfn.IFS(AND(AQ20="Rond",AR20="à Froid"),"CIRF",AND(AQ20="Rond",AR20="à Chaud"),"CIRC",AND(AQ20="Carré",AR20="à Froid"),"CARF",AND(AQ20="Carré",AR20="à Chaud"),"CARC",AND(AQ20="Rectangle",AR20="à Froid"),"RECF",AND(AQ20="Rectangle",AR20="à Chaud"),"RECC"))</f>
        <v>RECC</v>
      </c>
      <c r="AU20" s="152" cm="1">
        <f t="array" ref="AU20">IF(J16="Plat",Q15*Q16,
100*_xlfn.IFS(OR($AT$20="CIRF",$AT$20="CIRC"),INDEX(Tubes_CHS!H3:H439,AX20),
OR($AT$20="CARF",$AT$20="CARC"),INDEX(Tubes_SHS!H3:H252,AX20),
OR($AT$20="RECF",$AT$20="RECC"),INDEX(Tubes_RHS!H3:H281,AX20)))</f>
        <v>635.61944901923448</v>
      </c>
      <c r="AV20" s="154" cm="1">
        <f t="array" ref="AV20">IF(J16="Plat",0.0001*Q16*Q15^3/12,
_xlfn.IFS(OR($AT$20="CIRF",$AT$20="CIRC"),INDEX(Tubes_CHS!I3:I439,AX20),
OR($AT$20="CARF",$AT$20="CARC"),INDEX(Tubes_SHS!I3:I252,AX20),
OR($AT$20="RECF",$AT$20="RECC"),INDEX(Tubes_RHS!I3:I281,AX20)))</f>
        <v>18.7</v>
      </c>
      <c r="AW20" s="155" cm="1">
        <f t="array" ref="AW20">IF(J16="Plat",0.001*Q16*Q15^2/6,
_xlfn.IFS(OR($AT$20="CIRF",$AT$20="CIRC"),INDEX(Tubes_CHS!J3:J439,AX20),
OR($AT$20="CARF",$AT$20="CARC"),INDEX(Tubes_SHS!J3:J252,AX20),
OR($AT$20="RECF",$AT$20="RECC"),INDEX(Tubes_RHS!J3:J281,AX20)))</f>
        <v>7.4799999999999995</v>
      </c>
      <c r="AX20" s="1" cm="1">
        <f t="array" ref="AX20">_xlfn.IFS(AQ20="Plat","",
AQ20="Rond",MATCH(TRUE,INDEX(EXACT(AS20,Tubes_CHS!A3:A439),0),0),
AQ20="Carré",MATCH(TRUE,INDEX(EXACT(AS20,Tubes_SHS!A3:A252),0),0),
AQ20="Rectangle",MATCH(TRUE,INDEX(EXACT(AS20,Tubes_RHS!A3:A281),0),0))</f>
        <v>171</v>
      </c>
    </row>
    <row r="21" spans="2:50" ht="17.25" customHeight="1" x14ac:dyDescent="0.25">
      <c r="B21" s="124"/>
      <c r="N21" s="131" t="s">
        <v>125</v>
      </c>
      <c r="Q21" s="156" t="s">
        <v>80</v>
      </c>
      <c r="R21" s="311">
        <f>X18*X15</f>
        <v>175.78</v>
      </c>
      <c r="S21" s="311"/>
      <c r="T21" s="311"/>
      <c r="U21" s="132" t="s">
        <v>17</v>
      </c>
      <c r="V21" s="132"/>
      <c r="AM21" s="125"/>
    </row>
    <row r="22" spans="2:50" ht="17.25" customHeight="1" x14ac:dyDescent="0.25">
      <c r="B22" s="124"/>
      <c r="N22" s="131" t="s">
        <v>61</v>
      </c>
      <c r="Q22" s="156" t="s">
        <v>81</v>
      </c>
      <c r="R22" s="311">
        <f>X16*X15</f>
        <v>14937.05705195201</v>
      </c>
      <c r="S22" s="311"/>
      <c r="T22" s="311"/>
      <c r="U22" s="132" t="s">
        <v>60</v>
      </c>
      <c r="V22" s="132"/>
      <c r="AM22" s="125"/>
    </row>
    <row r="23" spans="2:50" ht="17.25" customHeight="1" thickBot="1" x14ac:dyDescent="0.3">
      <c r="B23" s="124"/>
      <c r="AM23" s="125"/>
    </row>
    <row r="24" spans="2:50" ht="17.25" customHeight="1" thickBot="1" x14ac:dyDescent="0.3">
      <c r="B24" s="124"/>
      <c r="AM24" s="125"/>
      <c r="AQ24" s="328" t="s">
        <v>21</v>
      </c>
      <c r="AR24" s="330"/>
      <c r="AS24" s="329"/>
      <c r="AT24" s="321" t="s">
        <v>43</v>
      </c>
      <c r="AU24" s="1" t="s">
        <v>41</v>
      </c>
    </row>
    <row r="25" spans="2:50" ht="17.25" customHeight="1" thickBot="1" x14ac:dyDescent="0.3">
      <c r="B25" s="124"/>
      <c r="C25" s="126" t="s">
        <v>18</v>
      </c>
      <c r="AL25" s="158" t="s">
        <v>129</v>
      </c>
      <c r="AM25" s="125"/>
      <c r="AQ25" s="135" t="s">
        <v>22</v>
      </c>
      <c r="AR25" s="157" t="s">
        <v>29</v>
      </c>
      <c r="AS25" s="136" t="s">
        <v>27</v>
      </c>
      <c r="AT25" s="322"/>
      <c r="AU25" s="1" t="s">
        <v>42</v>
      </c>
    </row>
    <row r="26" spans="2:50" ht="17.25" customHeight="1" x14ac:dyDescent="0.25">
      <c r="B26" s="124"/>
      <c r="M26" s="131" t="s">
        <v>30</v>
      </c>
      <c r="O26" s="237" t="str">
        <f>VLOOKUP(J28,AQ26:AS35,3,FALSE)</f>
        <v>Bureaux</v>
      </c>
      <c r="P26" s="237"/>
      <c r="Q26" s="237"/>
      <c r="R26" s="237"/>
      <c r="S26" s="237"/>
      <c r="T26" s="237"/>
      <c r="U26" s="237"/>
      <c r="V26" s="237"/>
      <c r="W26" s="237"/>
      <c r="X26" s="237"/>
      <c r="Y26" s="237"/>
      <c r="Z26" s="237"/>
      <c r="AA26" s="237"/>
      <c r="AB26" s="237"/>
      <c r="AC26" s="237"/>
      <c r="AD26" s="237"/>
      <c r="AE26" s="237"/>
      <c r="AF26" s="237"/>
      <c r="AG26" s="237"/>
      <c r="AH26" s="237"/>
      <c r="AI26" s="237"/>
      <c r="AJ26" s="237"/>
      <c r="AK26" s="237"/>
      <c r="AL26" s="237"/>
      <c r="AM26" s="125"/>
      <c r="AQ26" s="137" t="s">
        <v>23</v>
      </c>
      <c r="AR26" s="159">
        <v>60</v>
      </c>
      <c r="AS26" s="160" t="s">
        <v>32</v>
      </c>
    </row>
    <row r="27" spans="2:50" ht="17.25" customHeight="1" x14ac:dyDescent="0.25">
      <c r="B27" s="124"/>
      <c r="O27" s="237"/>
      <c r="P27" s="237"/>
      <c r="Q27" s="237"/>
      <c r="R27" s="237"/>
      <c r="S27" s="237"/>
      <c r="T27" s="237"/>
      <c r="U27" s="237"/>
      <c r="V27" s="237"/>
      <c r="W27" s="237"/>
      <c r="X27" s="237"/>
      <c r="Y27" s="237"/>
      <c r="Z27" s="237"/>
      <c r="AA27" s="237"/>
      <c r="AB27" s="237"/>
      <c r="AC27" s="237"/>
      <c r="AD27" s="237"/>
      <c r="AE27" s="237"/>
      <c r="AF27" s="237"/>
      <c r="AG27" s="237"/>
      <c r="AH27" s="237"/>
      <c r="AI27" s="237"/>
      <c r="AJ27" s="237"/>
      <c r="AK27" s="237"/>
      <c r="AL27" s="237"/>
      <c r="AM27" s="125"/>
      <c r="AQ27" s="141" t="s">
        <v>24</v>
      </c>
      <c r="AR27" s="161">
        <v>60</v>
      </c>
      <c r="AS27" s="162" t="s">
        <v>28</v>
      </c>
    </row>
    <row r="28" spans="2:50" ht="17.25" customHeight="1" x14ac:dyDescent="0.25">
      <c r="B28" s="124"/>
      <c r="I28" s="131" t="s">
        <v>20</v>
      </c>
      <c r="J28" s="317" t="s">
        <v>24</v>
      </c>
      <c r="K28" s="317"/>
      <c r="L28" s="317"/>
      <c r="O28" s="237"/>
      <c r="P28" s="237"/>
      <c r="Q28" s="237"/>
      <c r="R28" s="237"/>
      <c r="S28" s="237"/>
      <c r="T28" s="237"/>
      <c r="U28" s="237"/>
      <c r="V28" s="237"/>
      <c r="W28" s="237"/>
      <c r="X28" s="237"/>
      <c r="Y28" s="237"/>
      <c r="Z28" s="237"/>
      <c r="AA28" s="237"/>
      <c r="AB28" s="237"/>
      <c r="AC28" s="237"/>
      <c r="AD28" s="237"/>
      <c r="AE28" s="237"/>
      <c r="AF28" s="237"/>
      <c r="AG28" s="237"/>
      <c r="AH28" s="237"/>
      <c r="AI28" s="237"/>
      <c r="AJ28" s="237"/>
      <c r="AK28" s="237"/>
      <c r="AL28" s="237"/>
      <c r="AM28" s="125"/>
      <c r="AQ28" s="141" t="s">
        <v>37</v>
      </c>
      <c r="AR28" s="161">
        <v>100</v>
      </c>
      <c r="AS28" s="162" t="s">
        <v>40</v>
      </c>
    </row>
    <row r="29" spans="2:50" ht="17.25" customHeight="1" x14ac:dyDescent="0.25">
      <c r="B29" s="124"/>
      <c r="E29" s="6" t="s">
        <v>222</v>
      </c>
      <c r="Q29" s="163"/>
      <c r="R29" s="163"/>
      <c r="AM29" s="164"/>
      <c r="AQ29" s="141" t="s">
        <v>34</v>
      </c>
      <c r="AR29" s="161">
        <v>100</v>
      </c>
      <c r="AS29" s="162" t="s">
        <v>314</v>
      </c>
    </row>
    <row r="30" spans="2:50" ht="17.25" customHeight="1" x14ac:dyDescent="0.25">
      <c r="B30" s="124"/>
      <c r="I30" s="156" t="s">
        <v>79</v>
      </c>
      <c r="J30" s="305">
        <f>VLOOKUP(J28,AQ26:AS35,2,FALSE)</f>
        <v>60</v>
      </c>
      <c r="K30" s="305"/>
      <c r="L30" s="132" t="s">
        <v>31</v>
      </c>
      <c r="U30" s="332" t="str">
        <f>IF(OR(J28="C5",J28="E2"),"⚠ uniquement pour les usages autres que ceux relevants de la","")</f>
        <v/>
      </c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125"/>
      <c r="AQ30" s="141" t="s">
        <v>35</v>
      </c>
      <c r="AR30" s="161">
        <v>100</v>
      </c>
      <c r="AS30" s="162" t="s">
        <v>44</v>
      </c>
    </row>
    <row r="31" spans="2:50" ht="17.25" customHeight="1" x14ac:dyDescent="0.25">
      <c r="B31" s="124"/>
      <c r="E31" s="6" t="s">
        <v>223</v>
      </c>
      <c r="U31" s="327" t="str">
        <f>IF(J28="C5",AU24,IF(J28="E2",AU25,""))</f>
        <v/>
      </c>
      <c r="V31" s="327"/>
      <c r="W31" s="327"/>
      <c r="X31" s="327"/>
      <c r="Y31" s="327"/>
      <c r="Z31" s="327"/>
      <c r="AA31" s="327"/>
      <c r="AB31" s="327"/>
      <c r="AC31" s="327"/>
      <c r="AD31" s="327"/>
      <c r="AE31" s="327"/>
      <c r="AF31" s="327"/>
      <c r="AG31" s="327"/>
      <c r="AH31" s="327"/>
      <c r="AI31" s="327"/>
      <c r="AJ31" s="327"/>
      <c r="AK31" s="327"/>
      <c r="AL31" s="327"/>
      <c r="AM31" s="125"/>
      <c r="AQ31" s="141" t="s">
        <v>36</v>
      </c>
      <c r="AR31" s="161">
        <v>100</v>
      </c>
      <c r="AS31" s="162" t="s">
        <v>45</v>
      </c>
    </row>
    <row r="32" spans="2:50" ht="17.25" customHeight="1" x14ac:dyDescent="0.25">
      <c r="B32" s="124"/>
      <c r="I32" s="156" t="s">
        <v>209</v>
      </c>
      <c r="J32" s="305">
        <v>67</v>
      </c>
      <c r="K32" s="305"/>
      <c r="L32" s="132" t="s">
        <v>60</v>
      </c>
      <c r="U32" s="327"/>
      <c r="V32" s="327"/>
      <c r="W32" s="327"/>
      <c r="X32" s="327"/>
      <c r="Y32" s="327"/>
      <c r="Z32" s="327"/>
      <c r="AA32" s="327"/>
      <c r="AB32" s="327"/>
      <c r="AC32" s="327"/>
      <c r="AD32" s="327"/>
      <c r="AE32" s="327"/>
      <c r="AF32" s="327"/>
      <c r="AG32" s="327"/>
      <c r="AH32" s="327"/>
      <c r="AI32" s="327"/>
      <c r="AJ32" s="327"/>
      <c r="AK32" s="327"/>
      <c r="AL32" s="327"/>
      <c r="AM32" s="125"/>
      <c r="AQ32" s="141" t="s">
        <v>38</v>
      </c>
      <c r="AR32" s="161">
        <v>300</v>
      </c>
      <c r="AS32" s="162" t="s">
        <v>46</v>
      </c>
    </row>
    <row r="33" spans="2:45" ht="17.25" customHeight="1" x14ac:dyDescent="0.25">
      <c r="B33" s="124"/>
      <c r="H33" s="131" t="s">
        <v>49</v>
      </c>
      <c r="J33" s="1" t="s">
        <v>53</v>
      </c>
      <c r="K33" s="295">
        <v>50</v>
      </c>
      <c r="L33" s="297"/>
      <c r="M33" s="1" t="s">
        <v>50</v>
      </c>
      <c r="AM33" s="125"/>
      <c r="AQ33" s="141" t="s">
        <v>25</v>
      </c>
      <c r="AR33" s="161">
        <v>100</v>
      </c>
      <c r="AS33" s="162" t="s">
        <v>33</v>
      </c>
    </row>
    <row r="34" spans="2:45" ht="17.25" customHeight="1" x14ac:dyDescent="0.25">
      <c r="B34" s="124"/>
      <c r="AF34" s="165" t="s">
        <v>52</v>
      </c>
      <c r="AH34" s="166" t="s">
        <v>51</v>
      </c>
      <c r="AM34" s="125"/>
      <c r="AQ34" s="141" t="s">
        <v>26</v>
      </c>
      <c r="AR34" s="161">
        <v>80</v>
      </c>
      <c r="AS34" s="162" t="s">
        <v>48</v>
      </c>
    </row>
    <row r="35" spans="2:45" ht="17.25" customHeight="1" thickBot="1" x14ac:dyDescent="0.3">
      <c r="B35" s="124"/>
      <c r="C35" s="126" t="s">
        <v>58</v>
      </c>
      <c r="AG35" s="127"/>
      <c r="AM35" s="125"/>
      <c r="AQ35" s="145" t="s">
        <v>39</v>
      </c>
      <c r="AR35" s="167">
        <v>30</v>
      </c>
      <c r="AS35" s="168" t="s">
        <v>47</v>
      </c>
    </row>
    <row r="36" spans="2:45" ht="17.25" customHeight="1" x14ac:dyDescent="0.25">
      <c r="B36" s="124"/>
      <c r="J36" s="131" t="str">
        <f>"F_ELU = 1.5 * "&amp;IF(AK16=1,"",AK16&amp;" * ")&amp;"L * qk"</f>
        <v>F_ELU = 1.5 * 1.135 * L * qk</v>
      </c>
      <c r="M36" s="131" t="s">
        <v>59</v>
      </c>
      <c r="N36" s="310">
        <f>1.5*AK16*J11*J30</f>
        <v>143.01000000000002</v>
      </c>
      <c r="O36" s="310"/>
      <c r="P36" s="310"/>
      <c r="Q36" s="1" t="s">
        <v>60</v>
      </c>
      <c r="W36" s="131" t="s">
        <v>68</v>
      </c>
      <c r="X36" s="304">
        <f>-N36</f>
        <v>-143.01000000000002</v>
      </c>
      <c r="Y36" s="304"/>
      <c r="Z36" s="304"/>
      <c r="AA36" s="1" t="s">
        <v>60</v>
      </c>
      <c r="AG36" s="127"/>
      <c r="AM36" s="125"/>
    </row>
    <row r="37" spans="2:45" ht="17.25" customHeight="1" x14ac:dyDescent="0.25">
      <c r="B37" s="124"/>
      <c r="J37" s="131" t="s">
        <v>122</v>
      </c>
      <c r="M37" s="131" t="s">
        <v>72</v>
      </c>
      <c r="N37" s="310">
        <f>1.35*J8*J11*K33</f>
        <v>94.5</v>
      </c>
      <c r="O37" s="310"/>
      <c r="P37" s="310"/>
      <c r="Q37" s="1" t="s">
        <v>60</v>
      </c>
      <c r="W37" s="131" t="s">
        <v>67</v>
      </c>
      <c r="X37" s="304">
        <f>-N37</f>
        <v>-94.5</v>
      </c>
      <c r="Y37" s="288"/>
      <c r="Z37" s="288"/>
      <c r="AA37" s="1" t="s">
        <v>60</v>
      </c>
      <c r="AG37" s="127"/>
      <c r="AM37" s="125"/>
    </row>
    <row r="38" spans="2:45" ht="17.25" customHeight="1" x14ac:dyDescent="0.25">
      <c r="B38" s="124"/>
      <c r="AG38" s="127"/>
      <c r="AM38" s="125"/>
    </row>
    <row r="39" spans="2:45" ht="17.25" customHeight="1" x14ac:dyDescent="0.25">
      <c r="B39" s="124"/>
      <c r="J39" s="131" t="s">
        <v>65</v>
      </c>
      <c r="M39" s="131" t="s">
        <v>64</v>
      </c>
      <c r="N39" s="310">
        <f>N36*J8</f>
        <v>143.01000000000002</v>
      </c>
      <c r="O39" s="310"/>
      <c r="P39" s="310"/>
      <c r="Q39" s="1" t="s">
        <v>17</v>
      </c>
      <c r="AG39" s="133"/>
      <c r="AH39" s="134"/>
      <c r="AI39" s="169" t="s">
        <v>57</v>
      </c>
      <c r="AM39" s="125"/>
    </row>
    <row r="40" spans="2:45" ht="17.25" customHeight="1" x14ac:dyDescent="0.25">
      <c r="B40" s="124"/>
      <c r="AG40" s="169" t="s">
        <v>56</v>
      </c>
      <c r="AM40" s="125"/>
    </row>
    <row r="41" spans="2:45" ht="17.25" customHeight="1" x14ac:dyDescent="0.25">
      <c r="B41" s="124"/>
      <c r="AI41" s="169" t="s">
        <v>55</v>
      </c>
      <c r="AM41" s="125"/>
    </row>
    <row r="42" spans="2:45" ht="17.25" customHeight="1" x14ac:dyDescent="0.25">
      <c r="B42" s="124"/>
      <c r="D42" s="288" t="s">
        <v>69</v>
      </c>
      <c r="E42" s="288"/>
      <c r="F42" s="288"/>
      <c r="G42" s="288"/>
      <c r="H42" s="288"/>
      <c r="I42" s="288"/>
      <c r="K42" s="325" t="s">
        <v>54</v>
      </c>
      <c r="L42" s="325"/>
      <c r="M42" s="288" t="s">
        <v>70</v>
      </c>
      <c r="N42" s="325" t="s">
        <v>73</v>
      </c>
      <c r="O42" s="325"/>
      <c r="P42" s="288" t="s">
        <v>71</v>
      </c>
      <c r="S42" s="326">
        <f>(N39/R21)+(N37/R22)</f>
        <v>0.81990033285002628</v>
      </c>
      <c r="T42" s="326"/>
      <c r="Y42" s="288" t="str">
        <f>IF(S42&lt;=1,"≤","&gt;")</f>
        <v>≤</v>
      </c>
      <c r="AB42" s="319">
        <v>1</v>
      </c>
      <c r="AC42" s="319"/>
      <c r="AF42" s="305" t="str">
        <f>IF(S42&lt;=1,"OK !!!","Non OK !!!")</f>
        <v>OK !!!</v>
      </c>
      <c r="AG42" s="305"/>
      <c r="AH42" s="305"/>
      <c r="AI42" s="305"/>
      <c r="AJ42" s="305"/>
      <c r="AM42" s="125"/>
    </row>
    <row r="43" spans="2:45" ht="17.25" customHeight="1" x14ac:dyDescent="0.25">
      <c r="B43" s="124"/>
      <c r="D43" s="288"/>
      <c r="E43" s="288"/>
      <c r="F43" s="288"/>
      <c r="G43" s="288"/>
      <c r="H43" s="288"/>
      <c r="I43" s="288"/>
      <c r="K43" s="288" t="s">
        <v>74</v>
      </c>
      <c r="L43" s="288"/>
      <c r="M43" s="288"/>
      <c r="N43" s="288" t="s">
        <v>75</v>
      </c>
      <c r="O43" s="288"/>
      <c r="P43" s="288"/>
      <c r="S43" s="326"/>
      <c r="T43" s="326"/>
      <c r="Y43" s="288"/>
      <c r="AB43" s="319"/>
      <c r="AC43" s="319"/>
      <c r="AF43" s="305"/>
      <c r="AG43" s="305"/>
      <c r="AH43" s="305"/>
      <c r="AI43" s="305"/>
      <c r="AJ43" s="305"/>
      <c r="AM43" s="125"/>
      <c r="AQ43" s="140">
        <f>IF(S42&lt;=1,1,0)</f>
        <v>1</v>
      </c>
    </row>
    <row r="44" spans="2:45" ht="17.25" customHeight="1" x14ac:dyDescent="0.25">
      <c r="B44" s="124"/>
      <c r="AM44" s="125"/>
    </row>
    <row r="45" spans="2:45" ht="17.25" customHeight="1" x14ac:dyDescent="0.25">
      <c r="B45" s="124"/>
      <c r="AM45" s="125"/>
    </row>
    <row r="46" spans="2:45" ht="17.25" customHeight="1" x14ac:dyDescent="0.25">
      <c r="B46" s="124"/>
      <c r="C46" s="126" t="s">
        <v>76</v>
      </c>
      <c r="AL46" s="158" t="str">
        <f>IF(N47=100,"Guide 'Comment faire des Gardes-Corps'","NF E 85-015")</f>
        <v>Guide 'Comment faire des Gardes-Corps'</v>
      </c>
      <c r="AM46" s="125"/>
    </row>
    <row r="47" spans="2:45" ht="17.25" customHeight="1" x14ac:dyDescent="0.25">
      <c r="B47" s="124"/>
      <c r="K47" s="131" t="s">
        <v>83</v>
      </c>
      <c r="M47" s="1" t="s">
        <v>84</v>
      </c>
      <c r="N47" s="336">
        <v>100</v>
      </c>
      <c r="O47" s="336"/>
      <c r="P47" s="336"/>
      <c r="R47" s="335" t="str">
        <f>IF(N47=100,"Guide de l'Union des Métalliers 'Comment faire des Gardes-Corps' Partie V - Tableau 8",IF(N47="NF E 85-015","Déplacement max aux essais statiques selon NF E 85-015 §7.3.2.1  δmax = 30mm",IF((1000*J8/N47)&gt;=30,"Déplacement max aux essais statiques selon NF E 85-015  δmax = 30mm","")))</f>
        <v>Guide de l'Union des Métalliers 'Comment faire des Gardes-Corps' Partie V - Tableau 8</v>
      </c>
      <c r="S47" s="335"/>
      <c r="T47" s="335"/>
      <c r="U47" s="335"/>
      <c r="V47" s="335"/>
      <c r="W47" s="335"/>
      <c r="X47" s="335"/>
      <c r="Y47" s="335"/>
      <c r="Z47" s="335"/>
      <c r="AA47" s="335"/>
      <c r="AB47" s="335"/>
      <c r="AC47" s="335"/>
      <c r="AD47" s="335"/>
      <c r="AF47" s="165" t="s">
        <v>52</v>
      </c>
      <c r="AH47" s="171" t="s">
        <v>82</v>
      </c>
      <c r="AM47" s="125"/>
    </row>
    <row r="48" spans="2:45" ht="17.25" customHeight="1" x14ac:dyDescent="0.25">
      <c r="B48" s="124"/>
      <c r="R48" s="335"/>
      <c r="S48" s="335"/>
      <c r="T48" s="335"/>
      <c r="U48" s="335"/>
      <c r="V48" s="335"/>
      <c r="W48" s="335"/>
      <c r="X48" s="335"/>
      <c r="Y48" s="335"/>
      <c r="Z48" s="335"/>
      <c r="AA48" s="335"/>
      <c r="AB48" s="335"/>
      <c r="AC48" s="335"/>
      <c r="AD48" s="335"/>
      <c r="AH48" s="172"/>
      <c r="AM48" s="125"/>
    </row>
    <row r="49" spans="2:43" ht="17.25" customHeight="1" x14ac:dyDescent="0.25">
      <c r="B49" s="124"/>
      <c r="U49" s="131" t="s">
        <v>85</v>
      </c>
      <c r="V49" s="310">
        <f>IF(N47="NF E 85-015",30,MIN(30,1000*J8/N47))</f>
        <v>10</v>
      </c>
      <c r="W49" s="310"/>
      <c r="X49" s="310"/>
      <c r="Y49" s="1" t="s">
        <v>14</v>
      </c>
      <c r="AH49" s="172"/>
      <c r="AM49" s="125"/>
    </row>
    <row r="50" spans="2:43" ht="17.25" customHeight="1" x14ac:dyDescent="0.25">
      <c r="B50" s="124"/>
      <c r="I50" s="131" t="s">
        <v>127</v>
      </c>
      <c r="M50" s="131" t="s">
        <v>126</v>
      </c>
      <c r="N50" s="310">
        <f>3*30*J11</f>
        <v>125.99999999999999</v>
      </c>
      <c r="O50" s="310"/>
      <c r="P50" s="310"/>
      <c r="Q50" s="1" t="s">
        <v>60</v>
      </c>
      <c r="AH50" s="172"/>
      <c r="AM50" s="125"/>
    </row>
    <row r="51" spans="2:43" ht="17.25" customHeight="1" x14ac:dyDescent="0.25">
      <c r="B51" s="124"/>
      <c r="G51" s="1" t="s">
        <v>128</v>
      </c>
      <c r="AH51" s="172"/>
      <c r="AM51" s="125"/>
    </row>
    <row r="52" spans="2:43" ht="17.25" customHeight="1" x14ac:dyDescent="0.25">
      <c r="B52" s="124"/>
      <c r="I52" s="131" t="s">
        <v>77</v>
      </c>
      <c r="M52" s="131" t="s">
        <v>78</v>
      </c>
      <c r="N52" s="310">
        <f>J11*J30</f>
        <v>84</v>
      </c>
      <c r="O52" s="310"/>
      <c r="P52" s="310"/>
      <c r="Q52" s="1" t="s">
        <v>60</v>
      </c>
      <c r="AG52" s="134"/>
      <c r="AH52" s="173"/>
      <c r="AI52" s="169"/>
      <c r="AM52" s="125"/>
    </row>
    <row r="53" spans="2:43" ht="17.25" customHeight="1" x14ac:dyDescent="0.25">
      <c r="B53" s="124"/>
      <c r="AG53" s="169"/>
      <c r="AM53" s="125"/>
    </row>
    <row r="54" spans="2:43" ht="17.25" customHeight="1" x14ac:dyDescent="0.25">
      <c r="B54" s="124"/>
      <c r="I54" s="131" t="s">
        <v>87</v>
      </c>
      <c r="P54" s="131" t="s">
        <v>178</v>
      </c>
      <c r="S54" s="156" t="s">
        <v>88</v>
      </c>
      <c r="T54" s="311">
        <f>1000*(IF(N47="NF E 85-015",N50,N52)*J8^3)/(3*210*X17)</f>
        <v>7.1301247771836005</v>
      </c>
      <c r="U54" s="311"/>
      <c r="V54" s="132" t="s">
        <v>14</v>
      </c>
      <c r="Y54" s="140" t="str">
        <f>IF(T54&lt;=V49,"≤","&gt;")</f>
        <v>≤</v>
      </c>
      <c r="AB54" s="319" t="s">
        <v>86</v>
      </c>
      <c r="AC54" s="319"/>
      <c r="AF54" s="305" t="str">
        <f>IF(T54&lt;=V49,"OK !!!","Non OK !!!")</f>
        <v>OK !!!</v>
      </c>
      <c r="AG54" s="305"/>
      <c r="AH54" s="305"/>
      <c r="AI54" s="305"/>
      <c r="AJ54" s="305"/>
      <c r="AM54" s="125"/>
      <c r="AQ54" s="140">
        <f>IF(T54&lt;=V49,1,0)</f>
        <v>1</v>
      </c>
    </row>
    <row r="55" spans="2:43" ht="17.25" customHeight="1" x14ac:dyDescent="0.25">
      <c r="B55" s="124"/>
      <c r="P55" s="131"/>
      <c r="S55" s="156"/>
      <c r="T55" s="174"/>
      <c r="U55" s="174"/>
      <c r="V55" s="132"/>
      <c r="Y55" s="140"/>
      <c r="AB55" s="170"/>
      <c r="AC55" s="170"/>
      <c r="AF55" s="147"/>
      <c r="AG55" s="147"/>
      <c r="AH55" s="147"/>
      <c r="AI55" s="147"/>
      <c r="AJ55" s="147"/>
      <c r="AM55" s="125"/>
      <c r="AQ55" s="140"/>
    </row>
    <row r="56" spans="2:43" ht="17.25" customHeight="1" x14ac:dyDescent="0.25">
      <c r="B56" s="124"/>
      <c r="P56" s="131"/>
      <c r="S56" s="156"/>
      <c r="T56" s="174"/>
      <c r="U56" s="174"/>
      <c r="V56" s="132"/>
      <c r="Y56" s="140"/>
      <c r="AB56" s="170"/>
      <c r="AC56" s="170"/>
      <c r="AF56" s="147"/>
      <c r="AG56" s="147"/>
      <c r="AH56" s="147"/>
      <c r="AI56" s="147"/>
      <c r="AJ56" s="147"/>
      <c r="AM56" s="125"/>
      <c r="AQ56" s="140"/>
    </row>
    <row r="57" spans="2:43" ht="17.25" customHeight="1" x14ac:dyDescent="0.25">
      <c r="B57" s="124"/>
      <c r="P57" s="131"/>
      <c r="S57" s="156"/>
      <c r="T57" s="174"/>
      <c r="U57" s="174"/>
      <c r="V57" s="132"/>
      <c r="Y57" s="140"/>
      <c r="AB57" s="170"/>
      <c r="AC57" s="170"/>
      <c r="AF57" s="147"/>
      <c r="AG57" s="147"/>
      <c r="AH57" s="147"/>
      <c r="AI57" s="147"/>
      <c r="AJ57" s="147"/>
      <c r="AM57" s="125"/>
      <c r="AQ57" s="140"/>
    </row>
    <row r="58" spans="2:43" ht="17.25" customHeight="1" x14ac:dyDescent="0.25">
      <c r="B58" s="124"/>
      <c r="P58" s="131"/>
      <c r="S58" s="156"/>
      <c r="T58" s="174"/>
      <c r="U58" s="174"/>
      <c r="V58" s="132"/>
      <c r="Y58" s="140"/>
      <c r="AB58" s="170"/>
      <c r="AC58" s="170"/>
      <c r="AF58" s="147"/>
      <c r="AG58" s="147"/>
      <c r="AH58" s="147"/>
      <c r="AI58" s="147"/>
      <c r="AJ58" s="147"/>
      <c r="AM58" s="125"/>
      <c r="AQ58" s="140"/>
    </row>
    <row r="59" spans="2:43" ht="17.25" customHeight="1" x14ac:dyDescent="0.25">
      <c r="B59" s="124"/>
      <c r="AB59" s="175"/>
      <c r="AC59" s="175"/>
      <c r="AF59" s="132"/>
      <c r="AG59" s="132"/>
      <c r="AH59" s="132"/>
      <c r="AI59" s="132"/>
      <c r="AJ59" s="132"/>
      <c r="AM59" s="125"/>
    </row>
    <row r="60" spans="2:43" ht="17.25" customHeight="1" x14ac:dyDescent="0.25">
      <c r="B60" s="124"/>
      <c r="C60" s="129"/>
      <c r="D60" s="129"/>
      <c r="E60" s="129"/>
      <c r="F60" s="129"/>
      <c r="G60" s="129"/>
      <c r="H60" s="129"/>
      <c r="I60" s="129"/>
      <c r="J60" s="129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  <c r="AD60" s="129"/>
      <c r="AE60" s="129"/>
      <c r="AF60" s="129"/>
      <c r="AG60" s="129"/>
      <c r="AH60" s="129"/>
      <c r="AI60" s="129"/>
      <c r="AJ60" s="129"/>
      <c r="AK60" s="129"/>
      <c r="AL60" s="129"/>
      <c r="AM60" s="125"/>
    </row>
    <row r="61" spans="2:43" ht="17.25" customHeight="1" x14ac:dyDescent="0.25">
      <c r="B61" s="124"/>
      <c r="C61" s="334" t="str">
        <f>IF(AQ61=1,"Le Montant est Vérifié !!!","Le Montant n'est PAS Vérifié !!!")</f>
        <v>Le Montant est Vérifié !!!</v>
      </c>
      <c r="D61" s="334"/>
      <c r="E61" s="334"/>
      <c r="F61" s="334"/>
      <c r="G61" s="334"/>
      <c r="H61" s="334"/>
      <c r="I61" s="334"/>
      <c r="J61" s="334"/>
      <c r="K61" s="334"/>
      <c r="L61" s="334"/>
      <c r="M61" s="334"/>
      <c r="N61" s="334"/>
      <c r="O61" s="334"/>
      <c r="R61" s="176"/>
      <c r="T61" s="176"/>
      <c r="V61" s="176"/>
      <c r="Y61" s="177" t="s">
        <v>89</v>
      </c>
      <c r="Z61" s="323">
        <f>S42</f>
        <v>0.81990033285002628</v>
      </c>
      <c r="AA61" s="324"/>
      <c r="AD61" s="176"/>
      <c r="AE61" s="176"/>
      <c r="AF61" s="176"/>
      <c r="AG61" s="176"/>
      <c r="AH61" s="176"/>
      <c r="AI61" s="176"/>
      <c r="AJ61" s="177" t="s">
        <v>90</v>
      </c>
      <c r="AK61" s="323">
        <f>T54/V49</f>
        <v>0.71301247771836007</v>
      </c>
      <c r="AL61" s="324"/>
      <c r="AM61" s="125"/>
      <c r="AQ61" s="140">
        <f>IF(AND(AQ43=1,AQ54=1),1,0)</f>
        <v>1</v>
      </c>
    </row>
    <row r="62" spans="2:43" ht="17.25" customHeight="1" thickBot="1" x14ac:dyDescent="0.3">
      <c r="B62" s="178"/>
      <c r="C62" s="179"/>
      <c r="D62" s="179"/>
      <c r="E62" s="179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R62" s="179"/>
      <c r="S62" s="179"/>
      <c r="T62" s="179"/>
      <c r="U62" s="179"/>
      <c r="V62" s="179"/>
      <c r="W62" s="179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J62" s="179"/>
      <c r="AK62" s="179"/>
      <c r="AL62" s="179"/>
      <c r="AM62" s="180"/>
    </row>
    <row r="64" spans="2:43" ht="17.25" customHeight="1" thickBot="1" x14ac:dyDescent="0.3"/>
    <row r="65" spans="2:50" ht="17.25" customHeight="1" x14ac:dyDescent="0.25">
      <c r="B65" s="121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3"/>
    </row>
    <row r="66" spans="2:50" ht="17.25" customHeight="1" x14ac:dyDescent="0.25">
      <c r="B66" s="124"/>
      <c r="C66" s="320" t="s">
        <v>208</v>
      </c>
      <c r="D66" s="320"/>
      <c r="E66" s="320"/>
      <c r="F66" s="320"/>
      <c r="G66" s="320"/>
      <c r="H66" s="320"/>
      <c r="I66" s="320"/>
      <c r="J66" s="320"/>
      <c r="K66" s="320"/>
      <c r="L66" s="320"/>
      <c r="M66" s="320"/>
      <c r="N66" s="320"/>
      <c r="O66" s="320"/>
      <c r="P66" s="320"/>
      <c r="Q66" s="320"/>
      <c r="R66" s="320"/>
      <c r="S66" s="320"/>
      <c r="T66" s="320"/>
      <c r="U66" s="320"/>
      <c r="V66" s="320"/>
      <c r="W66" s="320"/>
      <c r="X66" s="320"/>
      <c r="Y66" s="320"/>
      <c r="Z66" s="320"/>
      <c r="AA66" s="320"/>
      <c r="AB66" s="320"/>
      <c r="AC66" s="320"/>
      <c r="AD66" s="320"/>
      <c r="AE66" s="320"/>
      <c r="AF66" s="320"/>
      <c r="AG66" s="320"/>
      <c r="AH66" s="320"/>
      <c r="AI66" s="320"/>
      <c r="AJ66" s="320"/>
      <c r="AK66" s="320"/>
      <c r="AL66" s="320"/>
      <c r="AM66" s="125"/>
    </row>
    <row r="67" spans="2:50" ht="17.25" customHeight="1" x14ac:dyDescent="0.25">
      <c r="B67" s="124"/>
      <c r="C67" s="320"/>
      <c r="D67" s="320"/>
      <c r="E67" s="320"/>
      <c r="F67" s="320"/>
      <c r="G67" s="320"/>
      <c r="H67" s="320"/>
      <c r="I67" s="320"/>
      <c r="J67" s="320"/>
      <c r="K67" s="320"/>
      <c r="L67" s="320"/>
      <c r="M67" s="320"/>
      <c r="N67" s="320"/>
      <c r="O67" s="320"/>
      <c r="P67" s="320"/>
      <c r="Q67" s="320"/>
      <c r="R67" s="320"/>
      <c r="S67" s="320"/>
      <c r="T67" s="320"/>
      <c r="U67" s="320"/>
      <c r="V67" s="320"/>
      <c r="W67" s="320"/>
      <c r="X67" s="320"/>
      <c r="Y67" s="320"/>
      <c r="Z67" s="320"/>
      <c r="AA67" s="320"/>
      <c r="AB67" s="320"/>
      <c r="AC67" s="320"/>
      <c r="AD67" s="320"/>
      <c r="AE67" s="320"/>
      <c r="AF67" s="320"/>
      <c r="AG67" s="320"/>
      <c r="AH67" s="320"/>
      <c r="AI67" s="320"/>
      <c r="AJ67" s="320"/>
      <c r="AK67" s="320"/>
      <c r="AL67" s="320"/>
      <c r="AM67" s="125"/>
    </row>
    <row r="68" spans="2:50" ht="17.25" customHeight="1" x14ac:dyDescent="0.25">
      <c r="B68" s="124"/>
      <c r="C68" s="320"/>
      <c r="D68" s="320"/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320"/>
      <c r="P68" s="320"/>
      <c r="Q68" s="320"/>
      <c r="R68" s="320"/>
      <c r="S68" s="320"/>
      <c r="T68" s="320"/>
      <c r="U68" s="320"/>
      <c r="V68" s="320"/>
      <c r="W68" s="320"/>
      <c r="X68" s="320"/>
      <c r="Y68" s="320"/>
      <c r="Z68" s="320"/>
      <c r="AA68" s="320"/>
      <c r="AB68" s="320"/>
      <c r="AC68" s="320"/>
      <c r="AD68" s="320"/>
      <c r="AE68" s="320"/>
      <c r="AF68" s="320"/>
      <c r="AG68" s="320"/>
      <c r="AH68" s="320"/>
      <c r="AI68" s="320"/>
      <c r="AJ68" s="320"/>
      <c r="AK68" s="320"/>
      <c r="AL68" s="320"/>
      <c r="AM68" s="125"/>
    </row>
    <row r="69" spans="2:50" ht="17.25" customHeight="1" x14ac:dyDescent="0.25">
      <c r="B69" s="124"/>
      <c r="C69" s="126" t="s">
        <v>210</v>
      </c>
      <c r="AM69" s="125"/>
    </row>
    <row r="70" spans="2:50" ht="17.25" customHeight="1" x14ac:dyDescent="0.25">
      <c r="B70" s="124"/>
      <c r="I70" s="131" t="s">
        <v>12</v>
      </c>
      <c r="J70" s="317" t="s">
        <v>0</v>
      </c>
      <c r="K70" s="317"/>
      <c r="L70" s="317"/>
      <c r="P70" s="131" t="s">
        <v>201</v>
      </c>
      <c r="Q70" s="318">
        <v>60</v>
      </c>
      <c r="R70" s="318"/>
      <c r="S70" s="318"/>
      <c r="T70" s="1" t="s">
        <v>14</v>
      </c>
      <c r="W70" s="131" t="s">
        <v>16</v>
      </c>
      <c r="X70" s="288">
        <f>VLOOKUP(J70,AQ14:AR17,2,FALSE)</f>
        <v>23.5</v>
      </c>
      <c r="Y70" s="288"/>
      <c r="Z70" s="1" t="s">
        <v>13</v>
      </c>
      <c r="AM70" s="125"/>
    </row>
    <row r="71" spans="2:50" ht="17.25" customHeight="1" x14ac:dyDescent="0.25">
      <c r="B71" s="124"/>
      <c r="I71" s="131" t="s">
        <v>199</v>
      </c>
      <c r="J71" s="317" t="s">
        <v>200</v>
      </c>
      <c r="K71" s="317"/>
      <c r="L71" s="317"/>
      <c r="P71" s="131" t="s">
        <v>202</v>
      </c>
      <c r="Q71" s="318">
        <v>20</v>
      </c>
      <c r="R71" s="318"/>
      <c r="S71" s="318"/>
      <c r="T71" s="1" t="s">
        <v>14</v>
      </c>
      <c r="W71" s="131" t="s">
        <v>62</v>
      </c>
      <c r="X71" s="331">
        <f>AU75</f>
        <v>253.84068641005535</v>
      </c>
      <c r="Y71" s="331"/>
      <c r="Z71" s="331"/>
      <c r="AA71" s="1" t="s">
        <v>63</v>
      </c>
      <c r="AF71" s="132"/>
      <c r="AM71" s="125"/>
    </row>
    <row r="72" spans="2:50" ht="17.25" customHeight="1" x14ac:dyDescent="0.25">
      <c r="B72" s="124"/>
      <c r="W72" s="131" t="s">
        <v>123</v>
      </c>
      <c r="X72" s="304">
        <f>AV75</f>
        <v>5.1915497184584511</v>
      </c>
      <c r="Y72" s="304"/>
      <c r="Z72" s="304"/>
      <c r="AA72" s="1" t="s">
        <v>66</v>
      </c>
      <c r="AE72" s="131" t="s">
        <v>214</v>
      </c>
      <c r="AF72" s="304">
        <f>AV77</f>
        <v>5.1915497184584511</v>
      </c>
      <c r="AG72" s="304"/>
      <c r="AH72" s="304"/>
      <c r="AI72" s="1" t="s">
        <v>66</v>
      </c>
      <c r="AM72" s="125"/>
    </row>
    <row r="73" spans="2:50" ht="17.25" customHeight="1" thickBot="1" x14ac:dyDescent="0.3">
      <c r="B73" s="124"/>
      <c r="I73" s="131" t="s">
        <v>179</v>
      </c>
      <c r="J73" s="318" t="s">
        <v>211</v>
      </c>
      <c r="K73" s="318"/>
      <c r="L73" s="318"/>
      <c r="P73" s="131" t="s">
        <v>181</v>
      </c>
      <c r="Q73" s="295" t="s">
        <v>188</v>
      </c>
      <c r="R73" s="296"/>
      <c r="S73" s="297"/>
      <c r="W73" s="131" t="s">
        <v>124</v>
      </c>
      <c r="X73" s="304">
        <f>AW75</f>
        <v>2.448844206820024</v>
      </c>
      <c r="Y73" s="304"/>
      <c r="Z73" s="304"/>
      <c r="AA73" s="1" t="s">
        <v>15</v>
      </c>
      <c r="AE73" s="131" t="s">
        <v>215</v>
      </c>
      <c r="AF73" s="304">
        <f>AW77</f>
        <v>2.448844206820024</v>
      </c>
      <c r="AG73" s="304"/>
      <c r="AH73" s="304"/>
      <c r="AI73" s="1" t="s">
        <v>15</v>
      </c>
      <c r="AM73" s="125"/>
    </row>
    <row r="74" spans="2:50" ht="17.25" customHeight="1" x14ac:dyDescent="0.25">
      <c r="B74" s="124"/>
      <c r="I74" s="131" t="s">
        <v>180</v>
      </c>
      <c r="J74" s="295" t="s">
        <v>302</v>
      </c>
      <c r="K74" s="296"/>
      <c r="L74" s="296"/>
      <c r="M74" s="296"/>
      <c r="N74" s="297"/>
      <c r="Z74" s="131"/>
      <c r="AL74" s="147"/>
      <c r="AM74" s="125"/>
      <c r="AQ74" s="148" t="s">
        <v>182</v>
      </c>
      <c r="AR74" s="149" t="s">
        <v>183</v>
      </c>
      <c r="AS74" s="149" t="s">
        <v>184</v>
      </c>
      <c r="AT74" s="149" t="s">
        <v>187</v>
      </c>
      <c r="AU74" s="149" t="s">
        <v>23</v>
      </c>
      <c r="AV74" s="149" t="s">
        <v>185</v>
      </c>
      <c r="AW74" s="150" t="s">
        <v>186</v>
      </c>
    </row>
    <row r="75" spans="2:50" ht="17.25" customHeight="1" thickBot="1" x14ac:dyDescent="0.3">
      <c r="B75" s="124"/>
      <c r="AM75" s="125"/>
      <c r="AQ75" s="151" t="str">
        <f>IF(J71="Plat",J71,J73)</f>
        <v>Rond</v>
      </c>
      <c r="AR75" s="152" t="str">
        <f>IF(J71="Plat","--",Q73)</f>
        <v>à Froid</v>
      </c>
      <c r="AS75" s="152" t="str">
        <f>IF(J71="Plat","--",J74)</f>
        <v>CIRF  42.4*2</v>
      </c>
      <c r="AT75" s="153" t="str" cm="1">
        <f t="array" ref="AT75">IF(J71="Plat","--",_xlfn.IFS(AND(AQ75="Rond",AR75="à Froid"),"CIRF",AND(AQ75="Rond",AR75="à Chaud"),"CIRC",AND(AQ75="Carré",AR75="à Froid"),"CARF",AND(AQ75="Carré",AR75="à Chaud"),"CARC",AND(AQ75="Rectangle",AR75="à Froid"),"RECF",AND(AQ75="Rectangle",AR75="à Chaud"),"RECC"))</f>
        <v>CIRF</v>
      </c>
      <c r="AU75" s="152" cm="1">
        <f t="array" ref="AU75">IF(J71="Plat",Q70*Q71,
100*_xlfn.IFS(OR(AT75="CIRF",AT75="CIRC"),INDEX(Tubes_CHS!H3:H439,AX75),
OR(AT75="CARF",AT75="CARC"),INDEX(Tubes_SHS!H3:H252,AX75),
OR(AT75="RECF",AT75="RECC"),INDEX(Tubes_RHS!H3:H281,AX75)))</f>
        <v>253.84068641005535</v>
      </c>
      <c r="AV75" s="154" cm="1">
        <f t="array" ref="AV75">IF(J71="Plat",0.0001*Q71*Q70^3/12,
_xlfn.IFS(OR($AT$75="CIRF",$AT$75="CIRC"),INDEX(Tubes_CHS!I3:I439,AX75),
OR($AT$75="CARF",$AT$75="CARC"),INDEX(Tubes_SHS!I3:I252,AX75),
OR($AT$75="RECF",$AT$75="RECC"),INDEX(Tubes_RHS!I3:I281,AX75)))</f>
        <v>5.1915497184584511</v>
      </c>
      <c r="AW75" s="155" cm="1">
        <f t="array" ref="AW75">IF(J71="Plat",0.001*Q71*Q70^2/6,
_xlfn.IFS(OR($AT$75="CIRF",$AT$75="CIRC"),INDEX(Tubes_CHS!J3:J439,AX75),
OR($AT$75="CARF",$AT$75="CARC"),INDEX(Tubes_SHS!J3:J252,AX75),
OR($AT$75="RECF",$AT$75="RECC"),INDEX(Tubes_RHS!J3:J281,AX75)))</f>
        <v>2.448844206820024</v>
      </c>
      <c r="AX75" s="1" cm="1">
        <f t="array" ref="AX75">_xlfn.IFS(AQ75="Plat","",
AQ75="Rond",MATCH(TRUE,INDEX(EXACT(AS75,Tubes_CHS!A3:A439),0),0),
AQ75="Carré",MATCH(TRUE,INDEX(EXACT(AS75,Tubes_SHS!A3:A252),0),0),
AQ75="Rectangle",MATCH(TRUE,INDEX(EXACT(AS75,Tubes_RHS!A3:A281),0),0))</f>
        <v>11</v>
      </c>
    </row>
    <row r="76" spans="2:50" ht="17.25" customHeight="1" x14ac:dyDescent="0.25">
      <c r="B76" s="124"/>
      <c r="I76" s="131" t="s">
        <v>216</v>
      </c>
      <c r="N76" s="131" t="s">
        <v>217</v>
      </c>
      <c r="Q76" s="156" t="s">
        <v>224</v>
      </c>
      <c r="R76" s="311">
        <f>X73*X70</f>
        <v>57.547838860270566</v>
      </c>
      <c r="S76" s="311"/>
      <c r="T76" s="311"/>
      <c r="U76" s="132" t="s">
        <v>17</v>
      </c>
      <c r="V76" s="132"/>
      <c r="AM76" s="125"/>
      <c r="AV76" s="148" t="s">
        <v>212</v>
      </c>
      <c r="AW76" s="150" t="s">
        <v>213</v>
      </c>
    </row>
    <row r="77" spans="2:50" ht="17.25" customHeight="1" thickBot="1" x14ac:dyDescent="0.3">
      <c r="B77" s="124"/>
      <c r="N77" s="131" t="s">
        <v>239</v>
      </c>
      <c r="Q77" s="156" t="s">
        <v>225</v>
      </c>
      <c r="R77" s="311">
        <f>AF73*X70</f>
        <v>57.547838860270566</v>
      </c>
      <c r="S77" s="311"/>
      <c r="T77" s="311"/>
      <c r="U77" s="132" t="s">
        <v>17</v>
      </c>
      <c r="V77" s="132"/>
      <c r="AM77" s="125"/>
      <c r="AV77" s="181" cm="1">
        <f t="array" ref="AV77">IF(J71="Plat",0.0001*Q70*Q71^3/12,
_xlfn.IFS(OR($AT$75="CIRF",$AT$75="CIRC"),INDEX(Tubes_CHS!I3:I439,AX75),
OR($AT$75="CARF",$AT$75="CARC"),INDEX(Tubes_SHS!I3:I252,AX75),
OR($AT$75="RECF",$AT$75="RECC"),INDEX(Tubes_RHS!N3:N281,AX75)))</f>
        <v>5.1915497184584511</v>
      </c>
      <c r="AW77" s="155" cm="1">
        <f t="array" ref="AW77">IF(J71="Plat",0.001*Q70*Q71^2/6,
_xlfn.IFS(OR($AT$75="CIRF",$AT$75="CIRC"),INDEX(Tubes_CHS!J3:J439,AX75),
OR($AT$75="CARF",$AT$75="CARC"),INDEX(Tubes_SHS!J3:J252,AX75),
OR($AT$75="RECF",$AT$75="RECC"),INDEX(Tubes_RHS!O3:O281,AX75)))</f>
        <v>2.448844206820024</v>
      </c>
    </row>
    <row r="78" spans="2:50" ht="17.25" customHeight="1" x14ac:dyDescent="0.25">
      <c r="B78" s="124"/>
      <c r="Q78" s="131" t="s">
        <v>231</v>
      </c>
      <c r="R78" s="311">
        <f>1000*J11/300</f>
        <v>4.666666666666667</v>
      </c>
      <c r="S78" s="311"/>
      <c r="T78" s="311"/>
      <c r="U78" s="132" t="s">
        <v>14</v>
      </c>
      <c r="AM78" s="125"/>
    </row>
    <row r="79" spans="2:50" ht="17.25" customHeight="1" x14ac:dyDescent="0.25">
      <c r="B79" s="124"/>
      <c r="AM79" s="125"/>
    </row>
    <row r="80" spans="2:50" ht="17.25" customHeight="1" x14ac:dyDescent="0.25">
      <c r="B80" s="124"/>
      <c r="C80" s="126" t="s">
        <v>237</v>
      </c>
      <c r="AM80" s="125"/>
    </row>
    <row r="81" spans="2:48" ht="17.25" customHeight="1" x14ac:dyDescent="0.25">
      <c r="B81" s="124"/>
      <c r="J81" s="131" t="s">
        <v>220</v>
      </c>
      <c r="M81" s="131" t="s">
        <v>64</v>
      </c>
      <c r="N81" s="310">
        <f>1.5*J30*J11^2/8</f>
        <v>22.049999999999997</v>
      </c>
      <c r="O81" s="310"/>
      <c r="P81" s="310"/>
      <c r="Q81" s="1" t="s">
        <v>17</v>
      </c>
      <c r="S81" s="288" t="str">
        <f>IF(N81&lt;=R76,"≤","&gt;")</f>
        <v>≤</v>
      </c>
      <c r="T81" s="288"/>
      <c r="U81" s="319" t="s">
        <v>226</v>
      </c>
      <c r="V81" s="319"/>
      <c r="W81" s="319"/>
      <c r="X81" s="305" t="str">
        <f>IF(N81&lt;=R76,"OK !!!","Non OK !!!")</f>
        <v>OK !!!</v>
      </c>
      <c r="Y81" s="305"/>
      <c r="Z81" s="305"/>
      <c r="AA81" s="309">
        <f>N81/R76</f>
        <v>0.38315947977714077</v>
      </c>
      <c r="AB81" s="309"/>
      <c r="AL81" s="156" t="s">
        <v>29</v>
      </c>
      <c r="AM81" s="125"/>
      <c r="AQ81" s="140">
        <f>IF(AA81&lt;=1,1,0)</f>
        <v>1</v>
      </c>
    </row>
    <row r="82" spans="2:48" ht="17.25" customHeight="1" x14ac:dyDescent="0.25">
      <c r="B82" s="124"/>
      <c r="J82" s="131" t="s">
        <v>235</v>
      </c>
      <c r="M82" s="131" t="s">
        <v>232</v>
      </c>
      <c r="N82" s="310">
        <f>(5*J30*J11^4)/(384*0.21*X72)</f>
        <v>2.7528710003205643</v>
      </c>
      <c r="O82" s="310"/>
      <c r="P82" s="310"/>
      <c r="Q82" s="1" t="s">
        <v>14</v>
      </c>
      <c r="S82" s="288" t="str">
        <f>IF(N82&lt;=R78,"≤","&gt;")</f>
        <v>≤</v>
      </c>
      <c r="T82" s="288"/>
      <c r="U82" s="319" t="s">
        <v>234</v>
      </c>
      <c r="V82" s="319"/>
      <c r="W82" s="319"/>
      <c r="X82" s="305" t="str">
        <f>IF(N82&lt;=R78,"OK !!!","Non OK !!!")</f>
        <v>OK !!!</v>
      </c>
      <c r="Y82" s="305"/>
      <c r="Z82" s="305"/>
      <c r="AA82" s="309">
        <f>N82/R78</f>
        <v>0.58990092864012089</v>
      </c>
      <c r="AB82" s="309"/>
      <c r="AD82" s="171" t="s">
        <v>230</v>
      </c>
      <c r="AE82" s="129"/>
      <c r="AF82" s="129"/>
      <c r="AG82" s="129"/>
      <c r="AH82" s="129"/>
      <c r="AI82" s="129"/>
      <c r="AJ82" s="129"/>
      <c r="AK82" s="129"/>
      <c r="AM82" s="125"/>
      <c r="AQ82" s="140">
        <f>IF(AA82&lt;=1,1,0)</f>
        <v>1</v>
      </c>
    </row>
    <row r="83" spans="2:48" ht="17.25" customHeight="1" x14ac:dyDescent="0.25">
      <c r="B83" s="124"/>
      <c r="AH83" s="182" t="s">
        <v>6</v>
      </c>
      <c r="AM83" s="125"/>
    </row>
    <row r="84" spans="2:48" ht="17.25" customHeight="1" x14ac:dyDescent="0.25">
      <c r="B84" s="124"/>
      <c r="C84" s="126" t="s">
        <v>238</v>
      </c>
      <c r="AM84" s="125"/>
    </row>
    <row r="85" spans="2:48" ht="17.25" customHeight="1" x14ac:dyDescent="0.25">
      <c r="B85" s="124"/>
      <c r="J85" s="131" t="s">
        <v>221</v>
      </c>
      <c r="M85" s="131" t="s">
        <v>64</v>
      </c>
      <c r="N85" s="310">
        <f>1.5*J32*J11/4</f>
        <v>35.174999999999997</v>
      </c>
      <c r="O85" s="310"/>
      <c r="P85" s="310"/>
      <c r="Q85" s="1" t="s">
        <v>17</v>
      </c>
      <c r="S85" s="288" t="str">
        <f>IF(N85&lt;=R77,"≤","&gt;")</f>
        <v>≤</v>
      </c>
      <c r="T85" s="288"/>
      <c r="U85" s="319" t="s">
        <v>227</v>
      </c>
      <c r="V85" s="319"/>
      <c r="W85" s="319"/>
      <c r="X85" s="305" t="str">
        <f>IF(N85&lt;=R77,"OK !!!","Non OK !!!")</f>
        <v>OK !!!</v>
      </c>
      <c r="Y85" s="305"/>
      <c r="Z85" s="305"/>
      <c r="AA85" s="309">
        <f>N85/R77</f>
        <v>0.61123059869210561</v>
      </c>
      <c r="AB85" s="309"/>
      <c r="AI85" s="183" t="s">
        <v>228</v>
      </c>
      <c r="AM85" s="125"/>
      <c r="AQ85" s="140">
        <f>IF(AA85&lt;=1,1,0)</f>
        <v>1</v>
      </c>
    </row>
    <row r="86" spans="2:48" ht="17.25" customHeight="1" x14ac:dyDescent="0.25">
      <c r="B86" s="124"/>
      <c r="J86" s="131" t="s">
        <v>236</v>
      </c>
      <c r="M86" s="131" t="s">
        <v>233</v>
      </c>
      <c r="N86" s="310">
        <f>(J32*J11^3)/(48*0.21*AF72)</f>
        <v>3.5131877527900541</v>
      </c>
      <c r="O86" s="310"/>
      <c r="P86" s="310"/>
      <c r="Q86" s="1" t="s">
        <v>14</v>
      </c>
      <c r="S86" s="288" t="str">
        <f>IF(N86&lt;=R78,"≤","&gt;")</f>
        <v>≤</v>
      </c>
      <c r="T86" s="288"/>
      <c r="U86" s="319" t="s">
        <v>234</v>
      </c>
      <c r="V86" s="319"/>
      <c r="W86" s="319"/>
      <c r="X86" s="305" t="str">
        <f>IF(N86&lt;=R78,"OK !!!","Non OK !!!")</f>
        <v>OK !!!</v>
      </c>
      <c r="Y86" s="305"/>
      <c r="Z86" s="305"/>
      <c r="AA86" s="309">
        <f>N86/R78</f>
        <v>0.75282594702644012</v>
      </c>
      <c r="AB86" s="309"/>
      <c r="AD86" s="171" t="s">
        <v>230</v>
      </c>
      <c r="AE86" s="129"/>
      <c r="AF86" s="129"/>
      <c r="AG86" s="129"/>
      <c r="AH86" s="184"/>
      <c r="AI86" s="129"/>
      <c r="AJ86" s="129"/>
      <c r="AK86" s="129"/>
      <c r="AM86" s="125"/>
      <c r="AQ86" s="140">
        <f>IF(AA86&lt;=1,1,0)</f>
        <v>1</v>
      </c>
    </row>
    <row r="87" spans="2:48" ht="17.25" customHeight="1" x14ac:dyDescent="0.25">
      <c r="B87" s="124"/>
      <c r="AH87" s="182" t="s">
        <v>6</v>
      </c>
      <c r="AM87" s="125"/>
    </row>
    <row r="88" spans="2:48" ht="17.25" customHeight="1" x14ac:dyDescent="0.25">
      <c r="B88" s="124"/>
      <c r="AM88" s="125"/>
    </row>
    <row r="89" spans="2:48" ht="17.25" customHeight="1" x14ac:dyDescent="0.25">
      <c r="B89" s="124"/>
      <c r="C89" s="129"/>
      <c r="D89" s="129"/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  <c r="Z89" s="129"/>
      <c r="AA89" s="129"/>
      <c r="AB89" s="129"/>
      <c r="AC89" s="129"/>
      <c r="AD89" s="129"/>
      <c r="AE89" s="129"/>
      <c r="AF89" s="129"/>
      <c r="AG89" s="129"/>
      <c r="AH89" s="129"/>
      <c r="AI89" s="129"/>
      <c r="AJ89" s="129"/>
      <c r="AK89" s="129"/>
      <c r="AL89" s="129"/>
      <c r="AM89" s="125"/>
    </row>
    <row r="90" spans="2:48" ht="17.25" customHeight="1" x14ac:dyDescent="0.25">
      <c r="B90" s="124"/>
      <c r="C90" s="337" t="str">
        <f>IF(AQ90=1,"La Main-Courante est Vérifiée !!!","La Main-Courante n'est PAS Vérifiée !!!")</f>
        <v>La Main-Courante est Vérifiée !!!</v>
      </c>
      <c r="D90" s="337"/>
      <c r="E90" s="337"/>
      <c r="F90" s="337"/>
      <c r="G90" s="337"/>
      <c r="H90" s="337"/>
      <c r="I90" s="337"/>
      <c r="J90" s="337"/>
      <c r="K90" s="337"/>
      <c r="L90" s="337"/>
      <c r="M90" s="337"/>
      <c r="N90" s="337"/>
      <c r="O90" s="337"/>
      <c r="P90" s="337"/>
      <c r="Q90" s="337"/>
      <c r="R90" s="176"/>
      <c r="T90" s="176"/>
      <c r="V90" s="176"/>
      <c r="Y90" s="177" t="s">
        <v>89</v>
      </c>
      <c r="Z90" s="323">
        <f>MAX(AA81,AA85)</f>
        <v>0.61123059869210561</v>
      </c>
      <c r="AA90" s="324"/>
      <c r="AD90" s="176"/>
      <c r="AE90" s="176"/>
      <c r="AF90" s="176"/>
      <c r="AG90" s="176"/>
      <c r="AH90" s="176"/>
      <c r="AI90" s="176"/>
      <c r="AJ90" s="177" t="s">
        <v>229</v>
      </c>
      <c r="AK90" s="323">
        <f>MAX(AA82,AA86)</f>
        <v>0.75282594702644012</v>
      </c>
      <c r="AL90" s="324"/>
      <c r="AM90" s="125"/>
      <c r="AQ90" s="140">
        <f>IF(AND(AQ81,AQ85,AQ82=1,AQ86=1),1,0)</f>
        <v>1</v>
      </c>
    </row>
    <row r="91" spans="2:48" ht="17.25" customHeight="1" thickBot="1" x14ac:dyDescent="0.3">
      <c r="B91" s="124"/>
      <c r="AM91" s="125"/>
      <c r="AQ91" s="140"/>
    </row>
    <row r="92" spans="2:48" ht="17.25" customHeight="1" thickBot="1" x14ac:dyDescent="0.3">
      <c r="B92" s="124"/>
      <c r="AM92" s="125"/>
      <c r="AP92"/>
    </row>
    <row r="93" spans="2:48" ht="17.25" customHeight="1" x14ac:dyDescent="0.25">
      <c r="B93" s="124"/>
      <c r="C93" s="122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  <c r="AA93" s="185"/>
      <c r="AB93" s="185"/>
      <c r="AC93" s="185"/>
      <c r="AD93" s="185"/>
      <c r="AE93" s="185"/>
      <c r="AF93" s="185"/>
      <c r="AG93" s="185"/>
      <c r="AH93" s="185"/>
      <c r="AI93" s="185"/>
      <c r="AJ93" s="185"/>
      <c r="AK93" s="185"/>
      <c r="AL93" s="185"/>
      <c r="AM93" s="125"/>
    </row>
    <row r="94" spans="2:48" ht="17.25" customHeight="1" x14ac:dyDescent="0.25">
      <c r="B94" s="124"/>
      <c r="C94" s="320" t="s">
        <v>207</v>
      </c>
      <c r="D94" s="320"/>
      <c r="E94" s="320"/>
      <c r="F94" s="320"/>
      <c r="G94" s="320"/>
      <c r="H94" s="320"/>
      <c r="I94" s="320"/>
      <c r="J94" s="320"/>
      <c r="K94" s="320"/>
      <c r="L94" s="320"/>
      <c r="M94" s="320"/>
      <c r="N94" s="320"/>
      <c r="O94" s="320"/>
      <c r="P94" s="320"/>
      <c r="Q94" s="320"/>
      <c r="R94" s="320"/>
      <c r="S94" s="320"/>
      <c r="T94" s="320"/>
      <c r="U94" s="320"/>
      <c r="V94" s="320"/>
      <c r="W94" s="320"/>
      <c r="X94" s="320"/>
      <c r="Y94" s="320"/>
      <c r="Z94" s="320"/>
      <c r="AA94" s="320"/>
      <c r="AB94" s="320"/>
      <c r="AC94" s="320"/>
      <c r="AD94" s="320"/>
      <c r="AE94" s="320"/>
      <c r="AF94" s="320"/>
      <c r="AG94" s="320"/>
      <c r="AH94" s="320"/>
      <c r="AI94" s="320"/>
      <c r="AJ94" s="320"/>
      <c r="AK94" s="320"/>
      <c r="AL94" s="320"/>
      <c r="AM94" s="125"/>
      <c r="AP94" s="140"/>
      <c r="AQ94" s="140"/>
      <c r="AR94" s="140"/>
      <c r="AS94" s="140"/>
      <c r="AT94" s="140"/>
      <c r="AU94" s="140"/>
      <c r="AV94" s="140"/>
    </row>
    <row r="95" spans="2:48" ht="17.25" customHeight="1" x14ac:dyDescent="0.25">
      <c r="B95" s="124"/>
      <c r="C95" s="320"/>
      <c r="D95" s="320"/>
      <c r="E95" s="320"/>
      <c r="F95" s="320"/>
      <c r="G95" s="320"/>
      <c r="H95" s="320"/>
      <c r="I95" s="320"/>
      <c r="J95" s="320"/>
      <c r="K95" s="320"/>
      <c r="L95" s="320"/>
      <c r="M95" s="320"/>
      <c r="N95" s="320"/>
      <c r="O95" s="320"/>
      <c r="P95" s="320"/>
      <c r="Q95" s="320"/>
      <c r="R95" s="320"/>
      <c r="S95" s="320"/>
      <c r="T95" s="320"/>
      <c r="U95" s="320"/>
      <c r="V95" s="320"/>
      <c r="W95" s="320"/>
      <c r="X95" s="320"/>
      <c r="Y95" s="320"/>
      <c r="Z95" s="320"/>
      <c r="AA95" s="320"/>
      <c r="AB95" s="320"/>
      <c r="AC95" s="320"/>
      <c r="AD95" s="320"/>
      <c r="AE95" s="320"/>
      <c r="AF95" s="320"/>
      <c r="AG95" s="320"/>
      <c r="AH95" s="320"/>
      <c r="AI95" s="320"/>
      <c r="AJ95" s="320"/>
      <c r="AK95" s="320"/>
      <c r="AL95" s="320"/>
      <c r="AM95" s="125"/>
      <c r="AP95" s="144"/>
      <c r="AQ95" s="143"/>
      <c r="AR95" s="143"/>
      <c r="AS95" s="143"/>
      <c r="AT95" s="143"/>
      <c r="AU95" s="143"/>
      <c r="AV95" s="143"/>
    </row>
    <row r="96" spans="2:48" ht="17.25" customHeight="1" x14ac:dyDescent="0.25">
      <c r="B96" s="124"/>
      <c r="D96" s="126" t="s">
        <v>240</v>
      </c>
      <c r="AM96" s="125"/>
    </row>
    <row r="97" spans="2:46" ht="17.25" customHeight="1" x14ac:dyDescent="0.25">
      <c r="B97" s="124"/>
      <c r="J97" s="131" t="s">
        <v>241</v>
      </c>
      <c r="K97" s="318">
        <v>2</v>
      </c>
      <c r="L97" s="318"/>
      <c r="M97" s="318"/>
      <c r="O97" s="186" t="str">
        <f>IF(K97=1,"Une seule cheville devant le montant","Une cheville de part et d'autre du montant")</f>
        <v>Une cheville de part et d'autre du montant</v>
      </c>
      <c r="AB97" s="131" t="s">
        <v>251</v>
      </c>
      <c r="AC97" s="298" cm="1">
        <f t="array" ref="AC97">IF(J16="Plat",Q16,
_xlfn.IFS(OR($AT$20="CIRF",$AT$20="CIRC"),INDEX(Tubes_CHS!C3:C439,AX20),
OR($AT$20="CARF",$AT$20="CARC"),INDEX(Tubes_SHS!C3:C252,AX20),
OR($AT$20="RECF",$AT$20="RECC"),INDEX(Tubes_RHS!D3:D281,AX20)))</f>
        <v>30</v>
      </c>
      <c r="AD97" s="299"/>
      <c r="AM97" s="125"/>
    </row>
    <row r="98" spans="2:46" ht="17.25" customHeight="1" thickBot="1" x14ac:dyDescent="0.3">
      <c r="B98" s="124"/>
      <c r="J98" s="131" t="s">
        <v>12</v>
      </c>
      <c r="K98" s="317" t="s">
        <v>0</v>
      </c>
      <c r="L98" s="317"/>
      <c r="M98" s="317"/>
      <c r="P98" s="131" t="s">
        <v>16</v>
      </c>
      <c r="Q98" s="288">
        <f>VLOOKUP(K98,AQ14:AR17,2,FALSE)</f>
        <v>23.5</v>
      </c>
      <c r="R98" s="288"/>
      <c r="S98" s="1" t="s">
        <v>13</v>
      </c>
      <c r="AM98" s="125"/>
      <c r="AP98"/>
    </row>
    <row r="99" spans="2:46" ht="17.25" customHeight="1" x14ac:dyDescent="0.25">
      <c r="B99" s="124"/>
      <c r="J99" s="131" t="s">
        <v>248</v>
      </c>
      <c r="K99" s="318">
        <v>12</v>
      </c>
      <c r="L99" s="318"/>
      <c r="M99" s="318"/>
      <c r="N99" s="1" t="s">
        <v>14</v>
      </c>
      <c r="Y99" s="121"/>
      <c r="Z99" s="122"/>
      <c r="AA99" s="122"/>
      <c r="AB99" s="122"/>
      <c r="AC99" s="122"/>
      <c r="AD99" s="122"/>
      <c r="AE99" s="122"/>
      <c r="AF99" s="122"/>
      <c r="AG99" s="122"/>
      <c r="AH99" s="123"/>
      <c r="AJ99" s="131" t="s">
        <v>243</v>
      </c>
      <c r="AK99" s="120">
        <v>10</v>
      </c>
      <c r="AL99" s="187"/>
      <c r="AM99" s="125"/>
      <c r="AT99"/>
    </row>
    <row r="100" spans="2:46" ht="17.25" customHeight="1" x14ac:dyDescent="0.25">
      <c r="B100" s="124"/>
      <c r="P100" s="131" t="s">
        <v>264</v>
      </c>
      <c r="Q100" s="310">
        <f>IF(K97=1,AL102-AK99-AK105-AK101,
IF(AND(J16="Tube",J18="Rond",0.5*AK101+AK99=AL102-AK105),0.5*(AC108-AH107-AC97),
IF(AND(J16="Tube",J18="Rond"),SQRT((AL102-0.5*AK101-AK105-AK99)^2+(0.5*AC108-AH107)^2)-0.5*AK101,
IF(AL102-AK105&lt;=AK99+AK101,0.5*(AC108-2*AH107-AC97),
SQRT((0.5*(AC108-2*AH107-AC97))^2+(AL102-AK99-AK105-AK101)^2)))))</f>
        <v>32.015621187164243</v>
      </c>
      <c r="R100" s="310"/>
      <c r="S100" s="310"/>
      <c r="T100" s="1" t="s">
        <v>14</v>
      </c>
      <c r="Y100" s="124"/>
      <c r="AC100" s="188"/>
      <c r="AD100" s="189"/>
      <c r="AH100" s="125"/>
      <c r="AK100" s="187"/>
      <c r="AL100" s="190"/>
      <c r="AM100" s="125"/>
    </row>
    <row r="101" spans="2:46" ht="17.25" customHeight="1" x14ac:dyDescent="0.25">
      <c r="B101" s="124"/>
      <c r="Y101" s="124"/>
      <c r="AC101" s="191"/>
      <c r="AD101" s="192"/>
      <c r="AH101" s="125"/>
      <c r="AK101" s="300" cm="1">
        <f t="array" ref="AK101">IF(J16="Plat",Q15,
_xlfn.IFS(OR($AT$20="CIRF",$AT$20="CIRC"),INDEX(Tubes_CHS!C3:C439,AX20),
OR($AT$20="CARF",$AT$20="CARC"),INDEX(Tubes_SHS!C3:C252,AX20),
OR($AT$20="RECF",$AT$20="RECC"),INDEX(Tubes_RHS!C3:C281,AX20)))</f>
        <v>50</v>
      </c>
      <c r="AL101" s="190"/>
      <c r="AM101" s="125"/>
    </row>
    <row r="102" spans="2:46" ht="17.25" customHeight="1" x14ac:dyDescent="0.25">
      <c r="B102" s="124"/>
      <c r="D102" s="126" t="s">
        <v>265</v>
      </c>
      <c r="Y102" s="124"/>
      <c r="AC102" s="193"/>
      <c r="AD102" s="194"/>
      <c r="AH102" s="125"/>
      <c r="AK102" s="301"/>
      <c r="AL102" s="293">
        <v>100</v>
      </c>
      <c r="AM102" s="125"/>
    </row>
    <row r="103" spans="2:46" ht="17.25" customHeight="1" x14ac:dyDescent="0.25">
      <c r="B103" s="124"/>
      <c r="J103" s="131" t="s">
        <v>266</v>
      </c>
      <c r="K103" s="295">
        <v>12</v>
      </c>
      <c r="L103" s="296"/>
      <c r="M103" s="297"/>
      <c r="N103" s="1" t="s">
        <v>14</v>
      </c>
      <c r="Y103" s="124"/>
      <c r="AA103" s="195" t="s">
        <v>10</v>
      </c>
      <c r="AB103" s="196" t="s">
        <v>294</v>
      </c>
      <c r="AE103" s="288" t="s">
        <v>10</v>
      </c>
      <c r="AH103" s="125"/>
      <c r="AK103" s="302" t="s">
        <v>250</v>
      </c>
      <c r="AL103" s="293"/>
      <c r="AM103" s="125"/>
    </row>
    <row r="104" spans="2:46" ht="17.25" customHeight="1" x14ac:dyDescent="0.25">
      <c r="B104" s="124"/>
      <c r="H104" s="131" t="s">
        <v>246</v>
      </c>
      <c r="I104" s="304">
        <f>Q100</f>
        <v>32.015621187164243</v>
      </c>
      <c r="J104" s="288"/>
      <c r="K104" s="288" t="str">
        <f>IF(I104&gt;=O104,"≥","&lt;")</f>
        <v>≥</v>
      </c>
      <c r="L104" s="288"/>
      <c r="N104" s="131" t="s">
        <v>271</v>
      </c>
      <c r="O104" s="1">
        <f>2*K103</f>
        <v>24</v>
      </c>
      <c r="Q104" s="305" t="str">
        <f>IF(I104&gt;=O104,"OK !!!","Non OK !!!")</f>
        <v>OK !!!</v>
      </c>
      <c r="R104" s="305"/>
      <c r="S104" s="305"/>
      <c r="V104" s="290">
        <f>O104/I104</f>
        <v>0.74963405706530917</v>
      </c>
      <c r="W104" s="290"/>
      <c r="Y104" s="307" t="s">
        <v>284</v>
      </c>
      <c r="Z104" s="197" t="s">
        <v>259</v>
      </c>
      <c r="AA104" s="196" t="s">
        <v>294</v>
      </c>
      <c r="AB104" s="198"/>
      <c r="AC104" s="306" t="s">
        <v>259</v>
      </c>
      <c r="AD104" s="306"/>
      <c r="AE104" s="288"/>
      <c r="AG104" s="197" t="s">
        <v>259</v>
      </c>
      <c r="AH104" s="125"/>
      <c r="AK104" s="303"/>
      <c r="AL104" s="199" t="s">
        <v>242</v>
      </c>
      <c r="AM104" s="125"/>
      <c r="AO104" s="200"/>
    </row>
    <row r="105" spans="2:46" ht="17.25" customHeight="1" thickBot="1" x14ac:dyDescent="0.3">
      <c r="B105" s="124"/>
      <c r="H105" s="131" t="s">
        <v>267</v>
      </c>
      <c r="I105" s="287">
        <f>IF(K97=1,"N/A",AC108-2*AH107)</f>
        <v>80</v>
      </c>
      <c r="J105" s="287"/>
      <c r="K105" s="288" t="str">
        <f>IF(K97=1,"N/A",IF(I105&gt;=O105,"≥","&lt;"))</f>
        <v>≥</v>
      </c>
      <c r="L105" s="288"/>
      <c r="N105" s="131" t="s">
        <v>269</v>
      </c>
      <c r="O105" s="1">
        <f>3*K103</f>
        <v>36</v>
      </c>
      <c r="Q105" s="305" t="str">
        <f>IF(I105&gt;=O105,"OK !!!","Non OK !!!")</f>
        <v>OK !!!</v>
      </c>
      <c r="R105" s="305"/>
      <c r="S105" s="305"/>
      <c r="V105" s="290">
        <f>IF(K97=1,0,O105/I105)</f>
        <v>0.45</v>
      </c>
      <c r="W105" s="290"/>
      <c r="Y105" s="308"/>
      <c r="Z105" s="201" t="s">
        <v>294</v>
      </c>
      <c r="AA105" s="179"/>
      <c r="AB105" s="179"/>
      <c r="AC105" s="179"/>
      <c r="AD105" s="179"/>
      <c r="AE105" s="167" t="s">
        <v>284</v>
      </c>
      <c r="AF105" s="179"/>
      <c r="AG105" s="179"/>
      <c r="AH105" s="180"/>
      <c r="AJ105" s="131" t="s">
        <v>245</v>
      </c>
      <c r="AK105" s="119">
        <v>20</v>
      </c>
      <c r="AL105" s="202"/>
      <c r="AM105" s="125"/>
      <c r="AP105"/>
    </row>
    <row r="106" spans="2:46" ht="17.25" customHeight="1" thickBot="1" x14ac:dyDescent="0.3">
      <c r="B106" s="124"/>
      <c r="H106" s="131" t="s">
        <v>244</v>
      </c>
      <c r="I106" s="287">
        <f>IF(K97=1,AF107,AH107)</f>
        <v>20</v>
      </c>
      <c r="J106" s="287"/>
      <c r="K106" s="288" t="str">
        <f t="shared" ref="K106:K107" si="0">IF(K98=1,"N/A",IF(I106&gt;=O106,"≥","&lt;"))</f>
        <v>≥</v>
      </c>
      <c r="L106" s="288"/>
      <c r="N106" s="131" t="s">
        <v>268</v>
      </c>
      <c r="O106" s="1">
        <f>1.5*K103</f>
        <v>18</v>
      </c>
      <c r="Q106" s="305" t="str">
        <f>IF(I106&gt;=O106,"OK !!!","Non OK !!!")</f>
        <v>OK !!!</v>
      </c>
      <c r="R106" s="305"/>
      <c r="S106" s="305"/>
      <c r="V106" s="290">
        <f>O106/I106</f>
        <v>0.9</v>
      </c>
      <c r="W106" s="290"/>
      <c r="AM106" s="125"/>
    </row>
    <row r="107" spans="2:46" ht="17.25" customHeight="1" thickBot="1" x14ac:dyDescent="0.3">
      <c r="B107" s="124"/>
      <c r="H107" s="131" t="s">
        <v>245</v>
      </c>
      <c r="I107" s="286">
        <f>AK105</f>
        <v>20</v>
      </c>
      <c r="J107" s="287"/>
      <c r="K107" s="288" t="str">
        <f t="shared" si="0"/>
        <v>≥</v>
      </c>
      <c r="L107" s="288"/>
      <c r="N107" s="131" t="s">
        <v>268</v>
      </c>
      <c r="O107" s="1">
        <f>1.5*K103</f>
        <v>18</v>
      </c>
      <c r="Q107" s="305" t="str">
        <f>IF(I107&gt;=O107,"OK !!!","Non OK !!!")</f>
        <v>OK !!!</v>
      </c>
      <c r="R107" s="305"/>
      <c r="S107" s="305"/>
      <c r="V107" s="290">
        <f>O107/I107</f>
        <v>0.9</v>
      </c>
      <c r="W107" s="290"/>
      <c r="X107" s="131" t="s">
        <v>244</v>
      </c>
      <c r="Y107" s="203">
        <f>AH107</f>
        <v>20</v>
      </c>
      <c r="Z107" s="204" t="s">
        <v>244</v>
      </c>
      <c r="AA107" s="205">
        <f>AC108/2</f>
        <v>60</v>
      </c>
      <c r="AB107" s="205"/>
      <c r="AC107" s="202"/>
      <c r="AD107" s="206"/>
      <c r="AE107" s="207" t="s">
        <v>244</v>
      </c>
      <c r="AF107" s="205">
        <f>AC108/2</f>
        <v>60</v>
      </c>
      <c r="AG107" s="208" t="s">
        <v>244</v>
      </c>
      <c r="AH107" s="119">
        <v>20</v>
      </c>
      <c r="AM107" s="125"/>
      <c r="AP107" s="283" t="s">
        <v>307</v>
      </c>
      <c r="AQ107" s="284"/>
      <c r="AR107" s="284"/>
      <c r="AS107" s="285"/>
    </row>
    <row r="108" spans="2:46" ht="17.25" customHeight="1" x14ac:dyDescent="0.25">
      <c r="B108" s="124"/>
      <c r="H108" s="131" t="s">
        <v>288</v>
      </c>
      <c r="I108" s="286">
        <f>IF(K97=1,AK105,AQ120)</f>
        <v>28.111277139949092</v>
      </c>
      <c r="J108" s="287"/>
      <c r="K108" s="288" t="str">
        <f>IF(I108&lt;=P108,"≤","&gt;")</f>
        <v>≤</v>
      </c>
      <c r="L108" s="288"/>
      <c r="M108" s="1" t="s">
        <v>289</v>
      </c>
      <c r="P108" s="6">
        <f>1.25*Q100</f>
        <v>40.019526483955303</v>
      </c>
      <c r="Q108" s="209" t="str">
        <f>IF(I108&lt;=P108,"  OK !!!"," Réduire e ou e'")</f>
        <v xml:space="preserve">  OK !!!</v>
      </c>
      <c r="R108" s="132"/>
      <c r="S108" s="132"/>
      <c r="T108" s="210"/>
      <c r="V108" s="290">
        <f>I108/P108</f>
        <v>0.70243902439024397</v>
      </c>
      <c r="W108" s="290"/>
      <c r="Y108" s="206"/>
      <c r="Z108" s="205"/>
      <c r="AA108" s="205"/>
      <c r="AB108" s="205" t="s">
        <v>300</v>
      </c>
      <c r="AC108" s="294">
        <v>120</v>
      </c>
      <c r="AD108" s="294"/>
      <c r="AE108" s="205"/>
      <c r="AF108" s="205"/>
      <c r="AG108" s="205"/>
      <c r="AH108" s="202"/>
      <c r="AM108" s="125"/>
      <c r="AP108" s="121"/>
      <c r="AQ108" s="159" t="s">
        <v>275</v>
      </c>
      <c r="AR108" s="159" t="s">
        <v>276</v>
      </c>
      <c r="AS108" s="123"/>
    </row>
    <row r="109" spans="2:46" ht="17.25" customHeight="1" x14ac:dyDescent="0.25">
      <c r="B109" s="124"/>
      <c r="AM109" s="125"/>
      <c r="AP109" s="216" t="s">
        <v>282</v>
      </c>
      <c r="AQ109" s="143">
        <v>0</v>
      </c>
      <c r="AR109" s="144">
        <f>AL102-AK99-0.5*AK101</f>
        <v>65</v>
      </c>
      <c r="AS109" s="217">
        <f>IF(AND(J16="Tube",J18="Rond"),(AR111-AR109)/(AQ111-AQ109),(AR111-AR110)/(AQ111-AQ110))</f>
        <v>-0.8</v>
      </c>
    </row>
    <row r="110" spans="2:46" ht="17.25" customHeight="1" x14ac:dyDescent="0.25">
      <c r="B110" s="124"/>
      <c r="D110" s="126" t="s">
        <v>247</v>
      </c>
      <c r="AM110" s="125"/>
      <c r="AP110" s="216" t="s">
        <v>23</v>
      </c>
      <c r="AQ110" s="144">
        <f>IF(AND(J16="Tube",J18="Rond"),COS(AS110)*0.5*AK101,0.5*AC97)</f>
        <v>15</v>
      </c>
      <c r="AR110" s="144">
        <f>IF(AND(J16="Tube",J18="Rond"),SIN(AS110)*0.5*AK101,AL102-AK99-AK101)</f>
        <v>40</v>
      </c>
      <c r="AS110" s="217">
        <f>ATAN(AS109)</f>
        <v>-0.67474094222355274</v>
      </c>
    </row>
    <row r="111" spans="2:46" ht="17.25" customHeight="1" x14ac:dyDescent="0.25">
      <c r="B111" s="124"/>
      <c r="M111" s="131" t="s">
        <v>283</v>
      </c>
      <c r="N111" s="310">
        <f>0.3*Q100</f>
        <v>9.6046863561492728</v>
      </c>
      <c r="O111" s="310"/>
      <c r="P111" s="310"/>
      <c r="Q111" s="1" t="s">
        <v>14</v>
      </c>
      <c r="S111" s="1" t="str">
        <f>IF(N111&lt;=K99,"≤","&gt;")</f>
        <v>≤</v>
      </c>
      <c r="T111" s="175" t="s">
        <v>249</v>
      </c>
      <c r="W111" s="305" t="str">
        <f>IF(N111&lt;=K99,"OK !!!","Non OK !!!")</f>
        <v>OK !!!</v>
      </c>
      <c r="X111" s="305"/>
      <c r="Y111" s="305"/>
      <c r="Z111" s="289" t="str">
        <f>IF(W111="Non OK !!!","   La platine n'est pas rigide !","La platine est rigide !")</f>
        <v>La platine est rigide !</v>
      </c>
      <c r="AA111" s="289"/>
      <c r="AB111" s="289"/>
      <c r="AC111" s="289"/>
      <c r="AD111" s="289"/>
      <c r="AE111" s="289"/>
      <c r="AF111" s="289"/>
      <c r="AG111" s="289"/>
      <c r="AH111" s="289"/>
      <c r="AI111" s="289"/>
      <c r="AJ111" s="289"/>
      <c r="AK111" s="289"/>
      <c r="AL111" s="291">
        <f>N111/K99</f>
        <v>0.80039052967910607</v>
      </c>
      <c r="AM111" s="292"/>
      <c r="AP111" s="216" t="s">
        <v>24</v>
      </c>
      <c r="AQ111" s="144">
        <f>0.5*AC108-AH107</f>
        <v>40</v>
      </c>
      <c r="AR111" s="144">
        <f>AK105</f>
        <v>20</v>
      </c>
      <c r="AS111" s="217">
        <f>-_xlfn.COT(AS110)</f>
        <v>1.2499999999999998</v>
      </c>
    </row>
    <row r="112" spans="2:46" ht="17.25" customHeight="1" x14ac:dyDescent="0.25">
      <c r="B112" s="124"/>
      <c r="H112" s="131" t="s">
        <v>298</v>
      </c>
      <c r="M112" s="131"/>
      <c r="N112" s="312">
        <f>((2*210000*10^-3*AE119*10^4)/(Q100^2*I108))</f>
        <v>302.39999999999998</v>
      </c>
      <c r="O112" s="312"/>
      <c r="P112" s="312"/>
      <c r="Q112" s="288" t="s">
        <v>296</v>
      </c>
      <c r="R112" s="288"/>
      <c r="S112" s="314" t="s">
        <v>297</v>
      </c>
      <c r="T112" s="314"/>
      <c r="U112" s="314"/>
      <c r="V112" s="314"/>
      <c r="W112" s="314"/>
      <c r="X112" s="314"/>
      <c r="Y112" s="314"/>
      <c r="Z112" s="314"/>
      <c r="AA112" s="314"/>
      <c r="AB112" s="314"/>
      <c r="AC112" s="314"/>
      <c r="AD112" s="314"/>
      <c r="AE112" s="314"/>
      <c r="AF112" s="314"/>
      <c r="AG112" s="314"/>
      <c r="AH112" s="314"/>
      <c r="AI112" s="314"/>
      <c r="AJ112" s="314"/>
      <c r="AK112" s="314"/>
      <c r="AL112" s="314"/>
      <c r="AM112" s="315"/>
      <c r="AP112" s="216" t="s">
        <v>277</v>
      </c>
      <c r="AQ112" s="144">
        <f>(-AR110+AS111*AQ110)/AS111</f>
        <v>-17.000000000000007</v>
      </c>
      <c r="AR112" s="143">
        <v>0</v>
      </c>
      <c r="AS112" s="217"/>
    </row>
    <row r="113" spans="2:48" ht="17.25" customHeight="1" x14ac:dyDescent="0.25">
      <c r="B113" s="124"/>
      <c r="E113" s="313" t="str">
        <f>IF(W111="NON OK !!!","Il est recommandé d'utiliser une méthode de calcul aux éléments finis pour justifier  le comportement rigide de la platine !","")</f>
        <v/>
      </c>
      <c r="F113" s="313"/>
      <c r="G113" s="313"/>
      <c r="H113" s="313"/>
      <c r="I113" s="313"/>
      <c r="J113" s="313"/>
      <c r="K113" s="313"/>
      <c r="L113" s="313"/>
      <c r="M113" s="313"/>
      <c r="N113" s="313"/>
      <c r="O113" s="313"/>
      <c r="P113" s="313"/>
      <c r="Q113" s="313"/>
      <c r="R113" s="313"/>
      <c r="S113" s="313"/>
      <c r="T113" s="313"/>
      <c r="U113" s="313"/>
      <c r="V113" s="313"/>
      <c r="W113" s="313"/>
      <c r="X113" s="313"/>
      <c r="Y113" s="313"/>
      <c r="Z113" s="313"/>
      <c r="AA113" s="313"/>
      <c r="AB113" s="313"/>
      <c r="AC113" s="313"/>
      <c r="AD113" s="313"/>
      <c r="AE113" s="313"/>
      <c r="AF113" s="313"/>
      <c r="AG113" s="313"/>
      <c r="AH113" s="313"/>
      <c r="AI113" s="313"/>
      <c r="AJ113" s="313"/>
      <c r="AK113" s="313"/>
      <c r="AL113" s="313"/>
      <c r="AM113" s="125"/>
      <c r="AP113" s="216" t="s">
        <v>25</v>
      </c>
      <c r="AQ113" s="143">
        <v>0</v>
      </c>
      <c r="AR113" s="144">
        <f>AR110-AS111*AQ110</f>
        <v>21.250000000000004</v>
      </c>
      <c r="AS113" s="217"/>
    </row>
    <row r="114" spans="2:48" ht="17.25" customHeight="1" x14ac:dyDescent="0.25">
      <c r="B114" s="124"/>
      <c r="P114" s="131" t="s">
        <v>254</v>
      </c>
      <c r="R114" s="6" t="s">
        <v>253</v>
      </c>
      <c r="S114" s="1" t="str">
        <f>IF(AK99&lt;=2*K99,"≤","&gt;")</f>
        <v>≤</v>
      </c>
      <c r="T114" s="175" t="s">
        <v>252</v>
      </c>
      <c r="V114" s="316" t="str">
        <f>IF(AK99&lt;=2*K99,"             OK !!!","Distance considérées pour la calcul du bras de levier : 2*tp")</f>
        <v xml:space="preserve">             OK !!!</v>
      </c>
      <c r="W114" s="316"/>
      <c r="X114" s="316"/>
      <c r="Y114" s="316"/>
      <c r="Z114" s="316"/>
      <c r="AA114" s="316"/>
      <c r="AB114" s="316"/>
      <c r="AC114" s="316"/>
      <c r="AD114" s="316"/>
      <c r="AE114" s="316"/>
      <c r="AF114" s="316"/>
      <c r="AG114" s="316"/>
      <c r="AH114" s="316"/>
      <c r="AI114" s="316"/>
      <c r="AJ114" s="316"/>
      <c r="AK114" s="316"/>
      <c r="AL114" s="291">
        <f>AK99/(2*K99)</f>
        <v>0.41666666666666669</v>
      </c>
      <c r="AM114" s="292"/>
      <c r="AP114" s="216" t="s">
        <v>280</v>
      </c>
      <c r="AQ114" s="144">
        <f>SQRT((AQ110-AQ111)^2+(AR110-AR111)^2)</f>
        <v>32.015621187164243</v>
      </c>
      <c r="AR114" s="140"/>
      <c r="AS114" s="125"/>
    </row>
    <row r="115" spans="2:48" ht="17.25" customHeight="1" x14ac:dyDescent="0.25">
      <c r="B115" s="124"/>
      <c r="L115" s="131"/>
      <c r="N115" s="131"/>
      <c r="V115" s="211"/>
      <c r="W115" s="211"/>
      <c r="X115" s="211"/>
      <c r="Y115" s="211"/>
      <c r="Z115" s="211"/>
      <c r="AA115" s="211"/>
      <c r="AB115" s="211"/>
      <c r="AC115" s="211"/>
      <c r="AD115" s="211"/>
      <c r="AE115" s="211"/>
      <c r="AF115" s="211"/>
      <c r="AG115" s="211"/>
      <c r="AH115" s="211"/>
      <c r="AI115" s="211"/>
      <c r="AJ115" s="211"/>
      <c r="AK115" s="211"/>
      <c r="AL115" s="212"/>
      <c r="AM115" s="213"/>
      <c r="AP115" s="216" t="s">
        <v>278</v>
      </c>
      <c r="AQ115" s="144">
        <f>SQRT((AQ110-AQ112)^2+(AR110-AR112)^2)</f>
        <v>51.224993899462795</v>
      </c>
      <c r="AR115" s="140"/>
      <c r="AS115" s="125"/>
    </row>
    <row r="116" spans="2:48" ht="17.25" customHeight="1" x14ac:dyDescent="0.25">
      <c r="B116" s="124"/>
      <c r="D116" s="126" t="s">
        <v>260</v>
      </c>
      <c r="AM116" s="125"/>
      <c r="AP116" s="216" t="s">
        <v>279</v>
      </c>
      <c r="AQ116" s="144">
        <f>SQRT((AQ110-AQ113)^2+(AR110-AR113)^2)</f>
        <v>24.011715890373178</v>
      </c>
      <c r="AS116" s="125"/>
    </row>
    <row r="117" spans="2:48" ht="17.25" customHeight="1" x14ac:dyDescent="0.25">
      <c r="B117" s="124"/>
      <c r="J117" s="131" t="s">
        <v>255</v>
      </c>
      <c r="K117" s="310">
        <f>(7/8)*(AL102-AK105-AK99+MIN(AK99,2*K99))</f>
        <v>70</v>
      </c>
      <c r="L117" s="310"/>
      <c r="M117" s="310"/>
      <c r="N117" s="1" t="s">
        <v>14</v>
      </c>
      <c r="AD117" s="131" t="s">
        <v>261</v>
      </c>
      <c r="AE117" s="310">
        <f>N39/(K117/1000)</f>
        <v>2043</v>
      </c>
      <c r="AF117" s="310"/>
      <c r="AG117" s="310"/>
      <c r="AH117" s="1" t="s">
        <v>60</v>
      </c>
      <c r="AM117" s="125"/>
      <c r="AP117" s="218" t="s">
        <v>281</v>
      </c>
      <c r="AQ117" s="144">
        <f>1.5*Q100+MIN(AQ116,AQ115,1.5*AQ114)</f>
        <v>72.035147671119546</v>
      </c>
      <c r="AS117" s="125"/>
    </row>
    <row r="118" spans="2:48" ht="17.25" customHeight="1" x14ac:dyDescent="0.25">
      <c r="B118" s="124"/>
      <c r="J118" s="131" t="s">
        <v>258</v>
      </c>
      <c r="K118" s="310">
        <f>K97*IF(K97=1,MIN(AC108,3*Q100),
IF(AND(J16="Tube",J18="Rond",0.5*AK101+AK99=AL102-AK105),MIN(AL102,3*Q100),
IF(AND(J16="Tube",J18="Rond"),MIN(AQ117,3*Q100),
IF(AL102-AK105&gt;AK99+AK101,
MIN(AQ117,3*Q100),MIN(AK105+1.5*Q100,3*Q100)))))</f>
        <v>144.07029534223909</v>
      </c>
      <c r="L118" s="310"/>
      <c r="M118" s="310"/>
      <c r="N118" s="1" t="s">
        <v>14</v>
      </c>
      <c r="P118" s="289" t="str">
        <f>IF(K118&lt;K97*3*Q100,"Lₚ réduit","")</f>
        <v>Lₚ réduit</v>
      </c>
      <c r="Q118" s="289"/>
      <c r="R118" s="289"/>
      <c r="AD118" s="131" t="s">
        <v>262</v>
      </c>
      <c r="AE118" s="310">
        <f>AE117*Q100/1000</f>
        <v>65.407914085376547</v>
      </c>
      <c r="AF118" s="310"/>
      <c r="AG118" s="310"/>
      <c r="AH118" s="1" t="s">
        <v>17</v>
      </c>
      <c r="AM118" s="125"/>
      <c r="AP118" s="216" t="s">
        <v>285</v>
      </c>
      <c r="AQ118" s="140">
        <f>AC108/2</f>
        <v>60</v>
      </c>
      <c r="AS118" s="125"/>
      <c r="AU118" s="200"/>
      <c r="AV118" s="200"/>
    </row>
    <row r="119" spans="2:48" ht="17.25" customHeight="1" x14ac:dyDescent="0.25">
      <c r="B119" s="124"/>
      <c r="J119" s="131" t="s">
        <v>286</v>
      </c>
      <c r="K119" s="312">
        <f>(K118/10)*((K99/10)^2)/4</f>
        <v>5.1865306323206068</v>
      </c>
      <c r="L119" s="312"/>
      <c r="M119" s="312"/>
      <c r="N119" s="1" t="s">
        <v>15</v>
      </c>
      <c r="S119" s="186"/>
      <c r="T119" s="186"/>
      <c r="U119" s="186"/>
      <c r="V119" s="186"/>
      <c r="W119" s="186"/>
      <c r="X119" s="186"/>
      <c r="Y119" s="186"/>
      <c r="Z119" s="186"/>
      <c r="AA119" s="186"/>
      <c r="AB119" s="186"/>
      <c r="AC119" s="186"/>
      <c r="AD119" s="131" t="s">
        <v>287</v>
      </c>
      <c r="AE119" s="312">
        <f>(K118/10)*((K99/10)^3)/12</f>
        <v>2.0746122529282429</v>
      </c>
      <c r="AF119" s="312"/>
      <c r="AG119" s="312"/>
      <c r="AH119" s="1" t="s">
        <v>66</v>
      </c>
      <c r="AM119" s="125"/>
      <c r="AP119" s="216" t="s">
        <v>295</v>
      </c>
      <c r="AQ119" s="140">
        <f>((-AS109*AQ118-AR111+AS111*AQ111)/(AS111-AS109))</f>
        <v>38.048780487804883</v>
      </c>
      <c r="AR119" s="140">
        <v>0</v>
      </c>
      <c r="AS119" s="125"/>
    </row>
    <row r="120" spans="2:48" ht="17.25" customHeight="1" thickBot="1" x14ac:dyDescent="0.3">
      <c r="B120" s="124"/>
      <c r="AM120" s="125"/>
      <c r="AP120" s="145" t="s">
        <v>284</v>
      </c>
      <c r="AQ120" s="219">
        <f>IF(AL102-AK105&lt;=AK99+AK101,AH107,SQRT((AQ118-AQ119)^2+(AR119-AR120)^2))</f>
        <v>28.111277139949092</v>
      </c>
      <c r="AR120" s="167">
        <f>AS111*AQ119+AR111-AS111*AQ111</f>
        <v>17.560975609756106</v>
      </c>
      <c r="AS120" s="180"/>
    </row>
    <row r="121" spans="2:48" ht="17.25" customHeight="1" x14ac:dyDescent="0.25">
      <c r="B121" s="124"/>
      <c r="M121" s="131" t="s">
        <v>256</v>
      </c>
      <c r="P121" s="156" t="s">
        <v>257</v>
      </c>
      <c r="Q121" s="311">
        <f>K119*Q98</f>
        <v>121.88346985953426</v>
      </c>
      <c r="R121" s="311"/>
      <c r="S121" s="311"/>
      <c r="T121" s="132" t="s">
        <v>17</v>
      </c>
      <c r="W121" s="288" t="str">
        <f>IF(Q121&gt;=AE118,"≥","&lt;")</f>
        <v>≥</v>
      </c>
      <c r="X121" s="288"/>
      <c r="Y121" s="175" t="s">
        <v>263</v>
      </c>
      <c r="AA121" s="305" t="str">
        <f>IF(Q121&gt;=AE118,"OK !!!","Non OK !!!")</f>
        <v>OK !!!</v>
      </c>
      <c r="AB121" s="305"/>
      <c r="AC121" s="305"/>
      <c r="AE121" s="309">
        <f>AE118/Q121</f>
        <v>0.53664302600472813</v>
      </c>
      <c r="AF121" s="309"/>
      <c r="AM121" s="125"/>
    </row>
    <row r="122" spans="2:48" ht="17.25" customHeight="1" x14ac:dyDescent="0.25">
      <c r="B122" s="124"/>
      <c r="AM122" s="125"/>
      <c r="AP122" s="140"/>
      <c r="AQ122" s="144"/>
    </row>
    <row r="123" spans="2:48" ht="17.25" customHeight="1" x14ac:dyDescent="0.25">
      <c r="B123" s="124"/>
      <c r="C123" s="129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29"/>
      <c r="AH123" s="129"/>
      <c r="AI123" s="129"/>
      <c r="AJ123" s="129"/>
      <c r="AK123" s="129"/>
      <c r="AL123" s="129"/>
      <c r="AM123" s="125"/>
    </row>
    <row r="124" spans="2:48" ht="17.25" customHeight="1" x14ac:dyDescent="0.25">
      <c r="B124" s="124"/>
      <c r="C124" s="334" t="str">
        <f>IF(AK124&lt;=1,"La Platine est Vérifiée !!!","La Platine n'est PAS Vérifiée !!!")</f>
        <v>La Platine est Vérifiée !!!</v>
      </c>
      <c r="D124" s="334"/>
      <c r="E124" s="334"/>
      <c r="F124" s="334"/>
      <c r="G124" s="334"/>
      <c r="H124" s="334"/>
      <c r="I124" s="334"/>
      <c r="J124" s="334"/>
      <c r="K124" s="334"/>
      <c r="L124" s="334"/>
      <c r="M124" s="334"/>
      <c r="N124" s="334"/>
      <c r="O124" s="334"/>
      <c r="P124" s="214" t="s">
        <v>274</v>
      </c>
      <c r="AD124" s="176"/>
      <c r="AE124" s="176"/>
      <c r="AF124" s="176"/>
      <c r="AG124" s="176"/>
      <c r="AH124" s="176"/>
      <c r="AI124" s="176"/>
      <c r="AJ124" s="177" t="s">
        <v>89</v>
      </c>
      <c r="AK124" s="323">
        <f>AE121</f>
        <v>0.53664302600472813</v>
      </c>
      <c r="AL124" s="324"/>
      <c r="AM124" s="125"/>
      <c r="AQ124"/>
    </row>
    <row r="125" spans="2:48" ht="17.25" customHeight="1" thickBot="1" x14ac:dyDescent="0.3">
      <c r="B125" s="178"/>
      <c r="C125" s="179"/>
      <c r="D125" s="179"/>
      <c r="E125" s="179"/>
      <c r="F125" s="179"/>
      <c r="G125" s="179"/>
      <c r="H125" s="179"/>
      <c r="I125" s="179"/>
      <c r="J125" s="179"/>
      <c r="K125" s="179"/>
      <c r="L125" s="179"/>
      <c r="M125" s="179"/>
      <c r="N125" s="179"/>
      <c r="O125" s="179"/>
      <c r="P125" s="179"/>
      <c r="Q125" s="179"/>
      <c r="R125" s="179"/>
      <c r="S125" s="179"/>
      <c r="T125" s="179"/>
      <c r="U125" s="179"/>
      <c r="V125" s="179"/>
      <c r="W125" s="179"/>
      <c r="X125" s="179"/>
      <c r="Y125" s="179"/>
      <c r="Z125" s="179"/>
      <c r="AA125" s="179"/>
      <c r="AB125" s="179"/>
      <c r="AC125" s="179"/>
      <c r="AD125" s="179"/>
      <c r="AE125" s="179"/>
      <c r="AF125" s="179"/>
      <c r="AG125" s="179"/>
      <c r="AH125" s="179"/>
      <c r="AI125" s="179"/>
      <c r="AJ125" s="179"/>
      <c r="AK125" s="179"/>
      <c r="AL125" s="179"/>
      <c r="AM125" s="180"/>
    </row>
    <row r="126" spans="2:48" ht="17.25" customHeight="1" x14ac:dyDescent="0.25">
      <c r="B126" s="122"/>
      <c r="C126" s="122"/>
      <c r="D126" s="122"/>
      <c r="E126" s="122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122"/>
      <c r="AJ126" s="122"/>
      <c r="AK126" s="122"/>
      <c r="AL126" s="122"/>
      <c r="AM126" s="122"/>
    </row>
  </sheetData>
  <sheetProtection algorithmName="SHA-512" hashValue="EWzC39pXM0g2OhmLtXs51ENrutF3APGh5Ll2ZtjVotZmXG6uPf9b3LR9uPgEILuFYQBzZaaM9L8eGGjnxJ1dyQ==" saltValue="+T42Yiqmym/ZD7wL9HzrFA==" spinCount="100000" sheet="1" objects="1" scenarios="1"/>
  <mergeCells count="156">
    <mergeCell ref="C124:O124"/>
    <mergeCell ref="AK124:AL124"/>
    <mergeCell ref="Z90:AA90"/>
    <mergeCell ref="C90:Q90"/>
    <mergeCell ref="Q100:S100"/>
    <mergeCell ref="N111:P111"/>
    <mergeCell ref="W111:Y111"/>
    <mergeCell ref="J70:L70"/>
    <mergeCell ref="Q70:S70"/>
    <mergeCell ref="X70:Y70"/>
    <mergeCell ref="J71:L71"/>
    <mergeCell ref="Q71:S71"/>
    <mergeCell ref="X71:Z71"/>
    <mergeCell ref="R76:T76"/>
    <mergeCell ref="X72:Z72"/>
    <mergeCell ref="J73:L73"/>
    <mergeCell ref="Q73:S73"/>
    <mergeCell ref="X73:Z73"/>
    <mergeCell ref="J74:N74"/>
    <mergeCell ref="AF72:AH72"/>
    <mergeCell ref="AF73:AH73"/>
    <mergeCell ref="R77:T77"/>
    <mergeCell ref="U82:W82"/>
    <mergeCell ref="AA86:AB86"/>
    <mergeCell ref="X17:Z17"/>
    <mergeCell ref="R22:T22"/>
    <mergeCell ref="AB42:AC43"/>
    <mergeCell ref="N39:P39"/>
    <mergeCell ref="J32:K32"/>
    <mergeCell ref="C61:O61"/>
    <mergeCell ref="Z61:AA61"/>
    <mergeCell ref="AK61:AL61"/>
    <mergeCell ref="N52:P52"/>
    <mergeCell ref="R47:AD48"/>
    <mergeCell ref="N47:P47"/>
    <mergeCell ref="V49:X49"/>
    <mergeCell ref="AB54:AC54"/>
    <mergeCell ref="AF54:AJ54"/>
    <mergeCell ref="T54:U54"/>
    <mergeCell ref="N50:P50"/>
    <mergeCell ref="N82:P82"/>
    <mergeCell ref="S82:T82"/>
    <mergeCell ref="C3:AL5"/>
    <mergeCell ref="AQ13:AR13"/>
    <mergeCell ref="J28:L28"/>
    <mergeCell ref="AQ24:AS24"/>
    <mergeCell ref="J30:K30"/>
    <mergeCell ref="J8:L8"/>
    <mergeCell ref="J11:L11"/>
    <mergeCell ref="J15:L15"/>
    <mergeCell ref="X15:Y15"/>
    <mergeCell ref="X16:Z16"/>
    <mergeCell ref="J18:L18"/>
    <mergeCell ref="R21:T21"/>
    <mergeCell ref="U30:AL30"/>
    <mergeCell ref="J19:N19"/>
    <mergeCell ref="AI13:AJ13"/>
    <mergeCell ref="AB13:AC13"/>
    <mergeCell ref="U13:V13"/>
    <mergeCell ref="J16:L16"/>
    <mergeCell ref="Q15:S15"/>
    <mergeCell ref="Q16:S16"/>
    <mergeCell ref="X18:Z18"/>
    <mergeCell ref="Q18:S18"/>
    <mergeCell ref="N85:P85"/>
    <mergeCell ref="S81:T81"/>
    <mergeCell ref="S85:T85"/>
    <mergeCell ref="AT24:AT25"/>
    <mergeCell ref="O26:AL28"/>
    <mergeCell ref="C66:AL68"/>
    <mergeCell ref="AK90:AL90"/>
    <mergeCell ref="K33:L33"/>
    <mergeCell ref="X36:Z36"/>
    <mergeCell ref="X37:Z37"/>
    <mergeCell ref="M42:M43"/>
    <mergeCell ref="K42:L42"/>
    <mergeCell ref="K43:L43"/>
    <mergeCell ref="N42:O42"/>
    <mergeCell ref="N43:O43"/>
    <mergeCell ref="P42:P43"/>
    <mergeCell ref="N36:P36"/>
    <mergeCell ref="N37:P37"/>
    <mergeCell ref="S42:T43"/>
    <mergeCell ref="U31:AL32"/>
    <mergeCell ref="D42:I43"/>
    <mergeCell ref="AF42:AJ43"/>
    <mergeCell ref="Y42:Y43"/>
    <mergeCell ref="X86:Z86"/>
    <mergeCell ref="AL114:AM114"/>
    <mergeCell ref="E113:AL113"/>
    <mergeCell ref="S112:AM112"/>
    <mergeCell ref="K119:M119"/>
    <mergeCell ref="V114:AK114"/>
    <mergeCell ref="R78:T78"/>
    <mergeCell ref="K98:M98"/>
    <mergeCell ref="K97:M97"/>
    <mergeCell ref="K99:M99"/>
    <mergeCell ref="K117:M117"/>
    <mergeCell ref="K118:M118"/>
    <mergeCell ref="N86:P86"/>
    <mergeCell ref="S86:T86"/>
    <mergeCell ref="U86:W86"/>
    <mergeCell ref="C94:AL95"/>
    <mergeCell ref="X82:Z82"/>
    <mergeCell ref="AA82:AB82"/>
    <mergeCell ref="X81:Z81"/>
    <mergeCell ref="U81:W81"/>
    <mergeCell ref="AA81:AB81"/>
    <mergeCell ref="AA85:AB85"/>
    <mergeCell ref="U85:W85"/>
    <mergeCell ref="X85:Z85"/>
    <mergeCell ref="N81:P81"/>
    <mergeCell ref="V104:W104"/>
    <mergeCell ref="V105:W105"/>
    <mergeCell ref="Q98:R98"/>
    <mergeCell ref="I105:J105"/>
    <mergeCell ref="AE103:AE104"/>
    <mergeCell ref="Y104:Y105"/>
    <mergeCell ref="AE121:AF121"/>
    <mergeCell ref="AE117:AG117"/>
    <mergeCell ref="AE118:AG118"/>
    <mergeCell ref="W121:X121"/>
    <mergeCell ref="AA121:AC121"/>
    <mergeCell ref="Q106:S106"/>
    <mergeCell ref="Q107:S107"/>
    <mergeCell ref="V106:W106"/>
    <mergeCell ref="V107:W107"/>
    <mergeCell ref="Q121:S121"/>
    <mergeCell ref="P118:R118"/>
    <mergeCell ref="N112:P112"/>
    <mergeCell ref="AE119:AG119"/>
    <mergeCell ref="Q112:R112"/>
    <mergeCell ref="AK16:AL16"/>
    <mergeCell ref="AD17:AL18"/>
    <mergeCell ref="AP107:AS107"/>
    <mergeCell ref="I108:J108"/>
    <mergeCell ref="K108:L108"/>
    <mergeCell ref="Z111:AK111"/>
    <mergeCell ref="V108:W108"/>
    <mergeCell ref="AL111:AM111"/>
    <mergeCell ref="AL102:AL103"/>
    <mergeCell ref="AC108:AD108"/>
    <mergeCell ref="K103:M103"/>
    <mergeCell ref="I106:J106"/>
    <mergeCell ref="I107:J107"/>
    <mergeCell ref="K106:L106"/>
    <mergeCell ref="K107:L107"/>
    <mergeCell ref="AC97:AD97"/>
    <mergeCell ref="AK101:AK102"/>
    <mergeCell ref="AK103:AK104"/>
    <mergeCell ref="K105:L105"/>
    <mergeCell ref="I104:J104"/>
    <mergeCell ref="K104:L104"/>
    <mergeCell ref="Q104:S104"/>
    <mergeCell ref="AC104:AD104"/>
    <mergeCell ref="Q105:S105"/>
  </mergeCells>
  <conditionalFormatting sqref="C90 Z90 AK90">
    <cfRule type="expression" dxfId="51" priority="89">
      <formula>$AQ$90=0</formula>
    </cfRule>
    <cfRule type="expression" dxfId="50" priority="90">
      <formula>$AQ$90=1</formula>
    </cfRule>
  </conditionalFormatting>
  <conditionalFormatting sqref="C124 AK124">
    <cfRule type="expression" dxfId="49" priority="21">
      <formula>$AK$124&lt;=1</formula>
    </cfRule>
    <cfRule type="expression" dxfId="48" priority="22">
      <formula>$AK$124&gt;1</formula>
    </cfRule>
  </conditionalFormatting>
  <conditionalFormatting sqref="C61:O61 Z61:AA61 AK61:AL61">
    <cfRule type="expression" dxfId="47" priority="67">
      <formula>$AQ$61=1</formula>
    </cfRule>
    <cfRule type="expression" dxfId="46" priority="68">
      <formula>$AQ$61=0</formula>
    </cfRule>
  </conditionalFormatting>
  <conditionalFormatting sqref="I50:Q50 G51">
    <cfRule type="expression" dxfId="45" priority="59">
      <formula>$N$47&lt;&gt;"NF E 85-015"</formula>
    </cfRule>
  </conditionalFormatting>
  <conditionalFormatting sqref="I52:Q52">
    <cfRule type="expression" dxfId="44" priority="60">
      <formula>$N$47="NF E 85-015"</formula>
    </cfRule>
  </conditionalFormatting>
  <conditionalFormatting sqref="I18:S19">
    <cfRule type="expression" dxfId="43" priority="57">
      <formula>$J$16&lt;&gt;"Tube"</formula>
    </cfRule>
  </conditionalFormatting>
  <conditionalFormatting sqref="I73:S74">
    <cfRule type="expression" dxfId="42" priority="38">
      <formula>$J$71&lt;&gt;"Tube"</formula>
    </cfRule>
  </conditionalFormatting>
  <conditionalFormatting sqref="P15:T16">
    <cfRule type="expression" dxfId="41" priority="58">
      <formula>$J$16&lt;&gt;"Plat"</formula>
    </cfRule>
  </conditionalFormatting>
  <conditionalFormatting sqref="P70:T71">
    <cfRule type="expression" dxfId="40" priority="50">
      <formula>$J$71&lt;&gt;"Plat"</formula>
    </cfRule>
  </conditionalFormatting>
  <conditionalFormatting sqref="Q104:S104">
    <cfRule type="expression" dxfId="39" priority="113">
      <formula>$V$104&gt;1</formula>
    </cfRule>
    <cfRule type="expression" dxfId="38" priority="114">
      <formula>$V$104&lt;=1</formula>
    </cfRule>
  </conditionalFormatting>
  <conditionalFormatting sqref="Q105:S105">
    <cfRule type="expression" dxfId="37" priority="115">
      <formula>$V$105&gt;1</formula>
    </cfRule>
    <cfRule type="expression" dxfId="36" priority="116">
      <formula>$V$105&lt;=1</formula>
    </cfRule>
  </conditionalFormatting>
  <conditionalFormatting sqref="Q106:S106">
    <cfRule type="expression" dxfId="35" priority="117">
      <formula>$V$106&gt;1</formula>
    </cfRule>
    <cfRule type="expression" dxfId="34" priority="118">
      <formula>$V$106&lt;=1</formula>
    </cfRule>
  </conditionalFormatting>
  <conditionalFormatting sqref="Q107:S107">
    <cfRule type="expression" dxfId="33" priority="119">
      <formula>$V$107&gt;1</formula>
    </cfRule>
    <cfRule type="expression" dxfId="32" priority="120">
      <formula>$V$107&lt;=1</formula>
    </cfRule>
  </conditionalFormatting>
  <conditionalFormatting sqref="Q108:S108">
    <cfRule type="expression" dxfId="31" priority="5">
      <formula>$V$108&gt;1</formula>
    </cfRule>
    <cfRule type="expression" dxfId="30" priority="6">
      <formula>$V$108&lt;=1</formula>
    </cfRule>
  </conditionalFormatting>
  <conditionalFormatting sqref="V114">
    <cfRule type="expression" dxfId="29" priority="123">
      <formula>$AL$114&gt;1</formula>
    </cfRule>
    <cfRule type="expression" dxfId="28" priority="124">
      <formula>$AL$114&lt;=1</formula>
    </cfRule>
  </conditionalFormatting>
  <conditionalFormatting sqref="W111:Y111">
    <cfRule type="expression" dxfId="27" priority="121">
      <formula>$AL$111&lt;=1</formula>
    </cfRule>
    <cfRule type="expression" dxfId="26" priority="122">
      <formula>$AL$111&gt;1</formula>
    </cfRule>
  </conditionalFormatting>
  <conditionalFormatting sqref="X81">
    <cfRule type="expression" dxfId="25" priority="97">
      <formula>$AA$81&gt;1</formula>
    </cfRule>
    <cfRule type="expression" dxfId="24" priority="98">
      <formula>$AA$81&lt;=1</formula>
    </cfRule>
  </conditionalFormatting>
  <conditionalFormatting sqref="X107:Y107 AG107:AH107">
    <cfRule type="expression" dxfId="23" priority="20">
      <formula>$K$97=1</formula>
    </cfRule>
  </conditionalFormatting>
  <conditionalFormatting sqref="X82:Z82">
    <cfRule type="expression" dxfId="22" priority="95">
      <formula>$AA$82&gt;1</formula>
    </cfRule>
    <cfRule type="expression" dxfId="21" priority="96">
      <formula>$AA$82&lt;=1</formula>
    </cfRule>
  </conditionalFormatting>
  <conditionalFormatting sqref="X85:Z85">
    <cfRule type="expression" dxfId="20" priority="99">
      <formula>$AA$85&gt;1</formula>
    </cfRule>
    <cfRule type="expression" dxfId="19" priority="100">
      <formula>$AA$85&lt;=1</formula>
    </cfRule>
  </conditionalFormatting>
  <conditionalFormatting sqref="X86:Z86">
    <cfRule type="expression" dxfId="18" priority="101">
      <formula>$AA$86&gt;1</formula>
    </cfRule>
    <cfRule type="expression" dxfId="17" priority="102">
      <formula>$AA$86&lt;=1</formula>
    </cfRule>
  </conditionalFormatting>
  <conditionalFormatting sqref="Y107 AG107">
    <cfRule type="expression" dxfId="16" priority="19">
      <formula>$K$97=1</formula>
    </cfRule>
  </conditionalFormatting>
  <conditionalFormatting sqref="Z104 AG104">
    <cfRule type="expression" dxfId="15" priority="25">
      <formula>$K$97&lt;&gt;1</formula>
    </cfRule>
    <cfRule type="expression" dxfId="14" priority="26">
      <formula>$K$97=1</formula>
    </cfRule>
  </conditionalFormatting>
  <conditionalFormatting sqref="Z107:AA107 AE107:AF107">
    <cfRule type="expression" dxfId="13" priority="18">
      <formula>$K$97&lt;&gt;1</formula>
    </cfRule>
  </conditionalFormatting>
  <conditionalFormatting sqref="Z111:AK111">
    <cfRule type="expression" dxfId="12" priority="1">
      <formula>$W$111&lt;&gt;"OK !!!"</formula>
    </cfRule>
  </conditionalFormatting>
  <conditionalFormatting sqref="AA103:AB104 Y104 Z105">
    <cfRule type="expression" dxfId="11" priority="4">
      <formula>$K$97&lt;&gt;2</formula>
    </cfRule>
  </conditionalFormatting>
  <conditionalFormatting sqref="AA121:AC121">
    <cfRule type="expression" dxfId="10" priority="29">
      <formula>$AE$121&gt;1</formula>
    </cfRule>
    <cfRule type="expression" dxfId="9" priority="30">
      <formula>$AE$121&lt;=1</formula>
    </cfRule>
  </conditionalFormatting>
  <conditionalFormatting sqref="AC104">
    <cfRule type="expression" dxfId="8" priority="27">
      <formula>$K$97&lt;&gt;1</formula>
    </cfRule>
    <cfRule type="expression" dxfId="7" priority="28">
      <formula>$K$97=1</formula>
    </cfRule>
  </conditionalFormatting>
  <conditionalFormatting sqref="AC107">
    <cfRule type="expression" dxfId="6" priority="17">
      <formula>$K$97&lt;&gt;1</formula>
    </cfRule>
  </conditionalFormatting>
  <conditionalFormatting sqref="AE103:AE105">
    <cfRule type="expression" dxfId="5" priority="2">
      <formula>$K$97&lt;&gt;1</formula>
    </cfRule>
    <cfRule type="expression" dxfId="4" priority="3">
      <formula>$K$97=1</formula>
    </cfRule>
  </conditionalFormatting>
  <conditionalFormatting sqref="AF42:AJ43">
    <cfRule type="expression" dxfId="3" priority="71">
      <formula>$S$42&gt;1</formula>
    </cfRule>
    <cfRule type="expression" dxfId="2" priority="72">
      <formula>$S$42&lt;=1</formula>
    </cfRule>
  </conditionalFormatting>
  <conditionalFormatting sqref="AF54:AJ58">
    <cfRule type="expression" dxfId="1" priority="83">
      <formula>$T$54&gt;$V$49</formula>
    </cfRule>
    <cfRule type="expression" dxfId="0" priority="84">
      <formula>$T$54&lt;=$V$49</formula>
    </cfRule>
  </conditionalFormatting>
  <dataValidations count="8">
    <dataValidation type="list" allowBlank="1" showInputMessage="1" showErrorMessage="1" sqref="J15:L15 J70:L70 K98:M98" xr:uid="{9AA70157-1C1A-4A73-A5BD-04D63BD3C8C9}">
      <formula1>$AQ$14:$AQ$17</formula1>
    </dataValidation>
    <dataValidation type="list" allowBlank="1" showInputMessage="1" showErrorMessage="1" sqref="J28:L28" xr:uid="{B5E7E115-B8CC-429D-8927-ACFB769B42E0}">
      <formula1>$AQ$26:$AQ$35</formula1>
    </dataValidation>
    <dataValidation type="list" allowBlank="1" showInputMessage="1" showErrorMessage="1" sqref="J18:L18 J73:L73" xr:uid="{F83356C2-4AF1-4C31-BC7B-F025EC431A9E}">
      <formula1>"Rond,Carré,Rectangle"</formula1>
    </dataValidation>
    <dataValidation type="list" allowBlank="1" showInputMessage="1" showErrorMessage="1" sqref="Q18:S18 Q73:S73" xr:uid="{C9F19391-07E8-4B61-9DA0-0E56B1E8BD75}">
      <formula1>"à Chaud,à Froid"</formula1>
    </dataValidation>
    <dataValidation type="list" allowBlank="1" showInputMessage="1" showErrorMessage="1" sqref="J16:L16 J71:L71" xr:uid="{55404D29-DF83-428B-95C6-840E68DD895E}">
      <formula1>"Plat,Tube"</formula1>
    </dataValidation>
    <dataValidation type="list" allowBlank="1" showInputMessage="1" showErrorMessage="1" sqref="N47:P47" xr:uid="{6042F323-B118-4AE4-A631-28A48C0DBAD8}">
      <formula1>"NF E 85-015,100"</formula1>
    </dataValidation>
    <dataValidation type="list" allowBlank="1" showInputMessage="1" showErrorMessage="1" sqref="K97:M97" xr:uid="{C5EABA3D-66BD-4577-80BC-C29EDD3A8524}">
      <formula1>"1,2"</formula1>
    </dataValidation>
    <dataValidation type="list" allowBlank="1" showInputMessage="1" showErrorMessage="1" sqref="AK16" xr:uid="{44C40A89-3F23-4F29-9FED-4E1F32E062BD}">
      <formula1>"0.5,1.0,1.135,1.25"</formula1>
    </dataValidation>
  </dataValidations>
  <printOptions horizontalCentered="1"/>
  <pageMargins left="0.23622047244094491" right="0.23622047244094491" top="0.35433070866141736" bottom="0.35433070866141736" header="0" footer="0"/>
  <pageSetup paperSize="9" scale="75" fitToHeight="0" orientation="portrait" horizontalDpi="4294967292" verticalDpi="1200" r:id="rId1"/>
  <rowBreaks count="2" manualBreakCount="2">
    <brk id="63" max="39" man="1"/>
    <brk id="126" max="39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961F61C-AF33-447C-A2E6-B926929387AC}">
          <x14:formula1>
            <xm:f>_xlfn.SWITCH($AT$20,"CIRF",Tubes_CHS!$A$4:$A$224,"CIRC",Tubes_CHS!$A$226:$A$439,"CARF",Tubes_SHS!$A$4:$A$145,"CARC",Tubes_SHS!$A$147:$A$252,"RECF",Tubes_RHS!$A$4:$A$168,"RECC",Tubes_RHS!$A$170:$A$281)</xm:f>
          </x14:formula1>
          <xm:sqref>J19:N19</xm:sqref>
        </x14:dataValidation>
        <x14:dataValidation type="list" allowBlank="1" showInputMessage="1" showErrorMessage="1" xr:uid="{A9650111-33EA-426B-9C8D-813D4506CF1B}">
          <x14:formula1>
            <xm:f>_xlfn.SWITCH($AT$75,"CIRF",Tubes_CHS!$A$4:$A$224,"CIRC",Tubes_CHS!$A$226:$A$439,"CARF",Tubes_SHS!$A$4:$A$145,"CARC",Tubes_SHS!$A$147:$A$252,"RECF",Tubes_RHS!$A$4:$A$168,"RECC",Tubes_RHS!$A$170:$A$281)</xm:f>
          </x14:formula1>
          <xm:sqref>J74:N74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73EF-8F22-4A78-B2BF-626D6B651CC0}">
  <sheetPr>
    <tabColor rgb="FFFF0000"/>
  </sheetPr>
  <dimension ref="A1:Y253"/>
  <sheetViews>
    <sheetView zoomScale="85" zoomScaleNormal="85" workbookViewId="0">
      <pane ySplit="2" topLeftCell="A3" activePane="bottomLeft" state="frozen"/>
      <selection sqref="A1:A3"/>
      <selection pane="bottomLeft" activeCell="M1" sqref="M1:S1048576"/>
    </sheetView>
  </sheetViews>
  <sheetFormatPr baseColWidth="10" defaultRowHeight="15" x14ac:dyDescent="0.25"/>
  <cols>
    <col min="1" max="1" width="17.28515625" style="32" customWidth="1"/>
    <col min="2" max="3" width="11.42578125" style="17"/>
    <col min="4" max="4" width="0" style="17" hidden="1" customWidth="1"/>
    <col min="5" max="12" width="11.42578125" style="17"/>
    <col min="13" max="13" width="12.7109375" style="17" customWidth="1"/>
    <col min="14" max="18" width="12.7109375" style="17" hidden="1" customWidth="1"/>
    <col min="19" max="21" width="11.42578125" style="17"/>
    <col min="22" max="22" width="11.42578125" style="17" customWidth="1"/>
    <col min="23" max="16384" width="11.42578125" style="17"/>
  </cols>
  <sheetData>
    <row r="1" spans="1:25" ht="30" x14ac:dyDescent="0.25">
      <c r="A1" s="7" t="s">
        <v>130</v>
      </c>
      <c r="B1" s="8" t="s">
        <v>131</v>
      </c>
      <c r="C1" s="338" t="s">
        <v>132</v>
      </c>
      <c r="D1" s="339"/>
      <c r="E1" s="339"/>
      <c r="F1" s="339"/>
      <c r="G1" s="340"/>
      <c r="H1" s="8" t="s">
        <v>133</v>
      </c>
      <c r="I1" s="9" t="s">
        <v>134</v>
      </c>
      <c r="J1" s="341" t="s">
        <v>135</v>
      </c>
      <c r="K1" s="342"/>
      <c r="L1" s="10" t="s">
        <v>136</v>
      </c>
      <c r="M1" s="11" t="s">
        <v>137</v>
      </c>
      <c r="N1" s="12"/>
      <c r="O1" s="12"/>
      <c r="P1" s="12"/>
      <c r="Q1" s="12"/>
      <c r="R1" s="12"/>
      <c r="S1" s="13" t="s">
        <v>138</v>
      </c>
      <c r="T1" s="14" t="s">
        <v>139</v>
      </c>
      <c r="U1" s="15"/>
      <c r="V1" s="16"/>
      <c r="W1" s="16"/>
    </row>
    <row r="2" spans="1:25" ht="15.75" thickBot="1" x14ac:dyDescent="0.3">
      <c r="A2" s="18"/>
      <c r="B2" s="19" t="s">
        <v>140</v>
      </c>
      <c r="C2" s="20" t="s">
        <v>141</v>
      </c>
      <c r="D2" s="21"/>
      <c r="E2" s="22" t="s">
        <v>142</v>
      </c>
      <c r="F2" s="23" t="s">
        <v>143</v>
      </c>
      <c r="G2" s="24" t="s">
        <v>144</v>
      </c>
      <c r="H2" s="19" t="s">
        <v>145</v>
      </c>
      <c r="I2" s="20" t="s">
        <v>146</v>
      </c>
      <c r="J2" s="22" t="s">
        <v>147</v>
      </c>
      <c r="K2" s="22" t="s">
        <v>148</v>
      </c>
      <c r="L2" s="22" t="s">
        <v>149</v>
      </c>
      <c r="M2" s="23" t="s">
        <v>150</v>
      </c>
      <c r="N2" s="25"/>
      <c r="O2" s="25"/>
      <c r="P2" s="25"/>
      <c r="Q2" s="25"/>
      <c r="R2" s="25"/>
      <c r="S2" s="26" t="s">
        <v>151</v>
      </c>
      <c r="T2" s="24" t="s">
        <v>152</v>
      </c>
    </row>
    <row r="3" spans="1:25" ht="16.5" thickBot="1" x14ac:dyDescent="0.3">
      <c r="A3" s="27"/>
      <c r="B3" s="28" t="s">
        <v>153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30"/>
      <c r="U3" s="31"/>
      <c r="V3" s="31"/>
      <c r="W3" s="31"/>
      <c r="X3" s="31"/>
      <c r="Y3" s="31"/>
    </row>
    <row r="4" spans="1:25" x14ac:dyDescent="0.25">
      <c r="A4" s="32" t="str">
        <f t="shared" ref="A4:A12" si="0">$B$3&amp;"  "&amp;C4&amp;"*"&amp;E4</f>
        <v>CARF  20*2</v>
      </c>
      <c r="B4" s="17">
        <v>1.05</v>
      </c>
      <c r="C4" s="17">
        <v>20</v>
      </c>
      <c r="E4" s="17">
        <v>2</v>
      </c>
      <c r="F4" s="17">
        <f t="shared" ref="F4:F12" si="1">IF(E4&lt;=6,1*E4,IF(E4&lt;=10,1.5*E4,2*E4))</f>
        <v>2</v>
      </c>
      <c r="G4" s="17">
        <f t="shared" ref="G4:G12" si="2">IF(E4&lt;=6,2*E4,IF(E4&lt;=10,2.5*E4,3*E4))</f>
        <v>4</v>
      </c>
      <c r="H4" s="33">
        <f t="shared" ref="H4:H67" si="3">(4*(C4-2*G4)*E4+PI()*(G4^2-F4^2))*0.01</f>
        <v>1.336991118430775</v>
      </c>
      <c r="I4" s="17">
        <v>0.68100000000000005</v>
      </c>
      <c r="J4" s="33">
        <f t="shared" ref="J4:J12" si="4">I4/(0.5*C4*0.1)</f>
        <v>0.68100000000000005</v>
      </c>
      <c r="K4" s="17">
        <v>0.87</v>
      </c>
      <c r="L4" s="34">
        <f>SQRT(I4/H4)</f>
        <v>0.71368947942183947</v>
      </c>
      <c r="M4" s="35">
        <f t="shared" ref="M4:M67" si="5">2*(C4-2*G4)*E4*0.01</f>
        <v>0.48</v>
      </c>
      <c r="N4" s="35"/>
      <c r="O4" s="35"/>
      <c r="P4" s="35"/>
      <c r="Q4" s="35"/>
      <c r="R4" s="35"/>
      <c r="S4" s="35">
        <v>1.21</v>
      </c>
      <c r="T4" s="17">
        <v>1.06</v>
      </c>
    </row>
    <row r="5" spans="1:25" x14ac:dyDescent="0.25">
      <c r="A5" s="36" t="str">
        <f t="shared" si="0"/>
        <v>CARF  25*2</v>
      </c>
      <c r="B5" s="37">
        <v>1.36</v>
      </c>
      <c r="C5" s="37">
        <v>25</v>
      </c>
      <c r="D5" s="37"/>
      <c r="E5" s="37">
        <v>2</v>
      </c>
      <c r="F5" s="37">
        <f t="shared" si="1"/>
        <v>2</v>
      </c>
      <c r="G5" s="37">
        <f t="shared" si="2"/>
        <v>4</v>
      </c>
      <c r="H5" s="38">
        <f t="shared" si="3"/>
        <v>1.7369911184307751</v>
      </c>
      <c r="I5" s="37">
        <v>1.47</v>
      </c>
      <c r="J5" s="38">
        <f t="shared" si="4"/>
        <v>1.1759999999999999</v>
      </c>
      <c r="K5" s="37">
        <v>1.46</v>
      </c>
      <c r="L5" s="39">
        <f t="shared" ref="L5:L12" si="6">SQRT(I5/H5)</f>
        <v>0.91994077441726463</v>
      </c>
      <c r="M5" s="40">
        <f t="shared" si="5"/>
        <v>0.68</v>
      </c>
      <c r="N5" s="40"/>
      <c r="O5" s="40"/>
      <c r="P5" s="40"/>
      <c r="Q5" s="40"/>
      <c r="R5" s="40"/>
      <c r="S5" s="40">
        <v>2.5299999999999998</v>
      </c>
      <c r="T5" s="41">
        <v>1.8</v>
      </c>
    </row>
    <row r="6" spans="1:25" x14ac:dyDescent="0.25">
      <c r="A6" s="42" t="str">
        <f t="shared" si="0"/>
        <v>CARF  25*2.5</v>
      </c>
      <c r="B6" s="43" t="s">
        <v>154</v>
      </c>
      <c r="C6" s="43">
        <v>25</v>
      </c>
      <c r="D6" s="43"/>
      <c r="E6" s="43">
        <v>2.5</v>
      </c>
      <c r="F6" s="43">
        <f t="shared" si="1"/>
        <v>2.5</v>
      </c>
      <c r="G6" s="43">
        <f t="shared" si="2"/>
        <v>5</v>
      </c>
      <c r="H6" s="44">
        <f t="shared" si="3"/>
        <v>2.0890486225480864</v>
      </c>
      <c r="I6" s="43">
        <v>1.66</v>
      </c>
      <c r="J6" s="44">
        <f t="shared" si="4"/>
        <v>1.3279999999999998</v>
      </c>
      <c r="K6" s="43">
        <v>1.7</v>
      </c>
      <c r="L6" s="45">
        <f t="shared" si="6"/>
        <v>0.89141465540082077</v>
      </c>
      <c r="M6" s="46">
        <f t="shared" si="5"/>
        <v>0.75</v>
      </c>
      <c r="N6" s="46"/>
      <c r="O6" s="46"/>
      <c r="P6" s="46"/>
      <c r="Q6" s="46"/>
      <c r="R6" s="46"/>
      <c r="S6" s="46">
        <v>2.97</v>
      </c>
      <c r="T6" s="47">
        <v>2.0699999999999998</v>
      </c>
    </row>
    <row r="7" spans="1:25" x14ac:dyDescent="0.25">
      <c r="A7" s="48" t="str">
        <f t="shared" si="0"/>
        <v>CARF  25*3</v>
      </c>
      <c r="B7" s="49" t="s">
        <v>155</v>
      </c>
      <c r="C7" s="49">
        <v>25</v>
      </c>
      <c r="D7" s="49"/>
      <c r="E7" s="49">
        <v>3</v>
      </c>
      <c r="F7" s="49">
        <f t="shared" si="1"/>
        <v>3</v>
      </c>
      <c r="G7" s="49">
        <f t="shared" si="2"/>
        <v>6</v>
      </c>
      <c r="H7" s="50">
        <f t="shared" si="3"/>
        <v>2.4082300164692443</v>
      </c>
      <c r="I7" s="49">
        <v>1.79</v>
      </c>
      <c r="J7" s="50">
        <f t="shared" si="4"/>
        <v>1.4319999999999999</v>
      </c>
      <c r="K7" s="49">
        <v>1.89</v>
      </c>
      <c r="L7" s="51">
        <f t="shared" si="6"/>
        <v>0.86213947935570145</v>
      </c>
      <c r="M7" s="52">
        <f t="shared" si="5"/>
        <v>0.78</v>
      </c>
      <c r="N7" s="52"/>
      <c r="O7" s="52"/>
      <c r="P7" s="52"/>
      <c r="Q7" s="52"/>
      <c r="R7" s="52"/>
      <c r="S7" s="52">
        <v>3.33</v>
      </c>
      <c r="T7" s="53">
        <v>2.27</v>
      </c>
    </row>
    <row r="8" spans="1:25" x14ac:dyDescent="0.25">
      <c r="A8" s="32" t="str">
        <f t="shared" si="0"/>
        <v>CARF  30*2</v>
      </c>
      <c r="B8" s="17" t="s">
        <v>156</v>
      </c>
      <c r="C8" s="17">
        <v>30</v>
      </c>
      <c r="E8" s="17">
        <v>2</v>
      </c>
      <c r="F8" s="17">
        <f t="shared" si="1"/>
        <v>2</v>
      </c>
      <c r="G8" s="17">
        <f t="shared" si="2"/>
        <v>4</v>
      </c>
      <c r="H8" s="33">
        <f t="shared" si="3"/>
        <v>2.136991118430775</v>
      </c>
      <c r="I8" s="17">
        <v>2.7</v>
      </c>
      <c r="J8" s="33">
        <f t="shared" si="4"/>
        <v>1.8</v>
      </c>
      <c r="K8" s="17">
        <v>2.2000000000000002</v>
      </c>
      <c r="L8" s="34">
        <f t="shared" si="6"/>
        <v>1.1240367834069989</v>
      </c>
      <c r="M8" s="35">
        <f t="shared" si="5"/>
        <v>0.88</v>
      </c>
      <c r="N8" s="35"/>
      <c r="O8" s="35"/>
      <c r="P8" s="35"/>
      <c r="Q8" s="35"/>
      <c r="R8" s="35"/>
      <c r="S8" s="35">
        <v>4.54</v>
      </c>
      <c r="T8" s="17">
        <v>2.75</v>
      </c>
    </row>
    <row r="9" spans="1:25" x14ac:dyDescent="0.25">
      <c r="A9" s="32" t="str">
        <f t="shared" si="0"/>
        <v>CARF  30*2.5</v>
      </c>
      <c r="B9" s="17" t="s">
        <v>157</v>
      </c>
      <c r="C9" s="17">
        <v>30</v>
      </c>
      <c r="E9" s="17">
        <v>2.5</v>
      </c>
      <c r="F9" s="17">
        <f t="shared" si="1"/>
        <v>2.5</v>
      </c>
      <c r="G9" s="17">
        <f t="shared" si="2"/>
        <v>5</v>
      </c>
      <c r="H9" s="33">
        <f t="shared" si="3"/>
        <v>2.5890486225480864</v>
      </c>
      <c r="I9" s="17">
        <v>3.12</v>
      </c>
      <c r="J9" s="33">
        <f t="shared" si="4"/>
        <v>2.08</v>
      </c>
      <c r="K9" s="17">
        <v>2.6</v>
      </c>
      <c r="L9" s="34">
        <f t="shared" si="6"/>
        <v>1.0977594735538017</v>
      </c>
      <c r="M9" s="35">
        <f t="shared" si="5"/>
        <v>1</v>
      </c>
      <c r="N9" s="35"/>
      <c r="O9" s="35"/>
      <c r="P9" s="35"/>
      <c r="Q9" s="35"/>
      <c r="R9" s="35"/>
      <c r="S9" s="35">
        <v>5.4</v>
      </c>
      <c r="T9" s="17">
        <v>3.2</v>
      </c>
    </row>
    <row r="10" spans="1:25" x14ac:dyDescent="0.25">
      <c r="A10" s="32" t="str">
        <f t="shared" si="0"/>
        <v>CARF  30*3</v>
      </c>
      <c r="B10" s="17" t="s">
        <v>158</v>
      </c>
      <c r="C10" s="17">
        <v>30</v>
      </c>
      <c r="E10" s="17">
        <v>3</v>
      </c>
      <c r="F10" s="17">
        <f t="shared" si="1"/>
        <v>3</v>
      </c>
      <c r="G10" s="17">
        <f t="shared" si="2"/>
        <v>6</v>
      </c>
      <c r="H10" s="33">
        <f t="shared" si="3"/>
        <v>3.0082300164692444</v>
      </c>
      <c r="I10" s="17">
        <v>3.45</v>
      </c>
      <c r="J10" s="33">
        <f t="shared" si="4"/>
        <v>2.3000000000000003</v>
      </c>
      <c r="K10" s="17">
        <v>2.94</v>
      </c>
      <c r="L10" s="34">
        <f t="shared" si="6"/>
        <v>1.0709125974931211</v>
      </c>
      <c r="M10" s="35">
        <f t="shared" si="5"/>
        <v>1.08</v>
      </c>
      <c r="N10" s="35"/>
      <c r="O10" s="35"/>
      <c r="P10" s="35"/>
      <c r="Q10" s="35"/>
      <c r="R10" s="35"/>
      <c r="S10" s="35">
        <v>6.15</v>
      </c>
      <c r="T10" s="17">
        <v>3.58</v>
      </c>
    </row>
    <row r="11" spans="1:25" x14ac:dyDescent="0.25">
      <c r="A11" s="36" t="str">
        <f t="shared" si="0"/>
        <v>CARF  40*2</v>
      </c>
      <c r="B11" s="37" t="s">
        <v>159</v>
      </c>
      <c r="C11" s="37">
        <v>40</v>
      </c>
      <c r="D11" s="37"/>
      <c r="E11" s="37">
        <v>2</v>
      </c>
      <c r="F11" s="37">
        <f t="shared" si="1"/>
        <v>2</v>
      </c>
      <c r="G11" s="37">
        <f t="shared" si="2"/>
        <v>4</v>
      </c>
      <c r="H11" s="38">
        <f t="shared" si="3"/>
        <v>2.9369911184307749</v>
      </c>
      <c r="I11" s="37">
        <v>6.92</v>
      </c>
      <c r="J11" s="38">
        <f t="shared" si="4"/>
        <v>3.46</v>
      </c>
      <c r="K11" s="37">
        <v>4.13</v>
      </c>
      <c r="L11" s="39">
        <f t="shared" si="6"/>
        <v>1.5349764988440799</v>
      </c>
      <c r="M11" s="40">
        <f t="shared" si="5"/>
        <v>1.28</v>
      </c>
      <c r="N11" s="40"/>
      <c r="O11" s="40"/>
      <c r="P11" s="40"/>
      <c r="Q11" s="40"/>
      <c r="R11" s="40"/>
      <c r="S11" s="40">
        <v>11.3</v>
      </c>
      <c r="T11" s="41">
        <v>5.23</v>
      </c>
    </row>
    <row r="12" spans="1:25" x14ac:dyDescent="0.25">
      <c r="A12" s="42" t="str">
        <f t="shared" si="0"/>
        <v>CARF  40*2.5</v>
      </c>
      <c r="B12" s="43" t="s">
        <v>160</v>
      </c>
      <c r="C12" s="43">
        <v>40</v>
      </c>
      <c r="D12" s="43"/>
      <c r="E12" s="43">
        <v>2.5</v>
      </c>
      <c r="F12" s="43">
        <f t="shared" si="1"/>
        <v>2.5</v>
      </c>
      <c r="G12" s="43">
        <f t="shared" si="2"/>
        <v>5</v>
      </c>
      <c r="H12" s="44">
        <f t="shared" si="3"/>
        <v>3.5890486225480864</v>
      </c>
      <c r="I12" s="43">
        <v>8.17</v>
      </c>
      <c r="J12" s="44">
        <f t="shared" si="4"/>
        <v>4.085</v>
      </c>
      <c r="K12" s="43">
        <v>4.95</v>
      </c>
      <c r="L12" s="45">
        <f t="shared" si="6"/>
        <v>1.5087641538613794</v>
      </c>
      <c r="M12" s="46">
        <f t="shared" si="5"/>
        <v>1.5</v>
      </c>
      <c r="N12" s="46"/>
      <c r="O12" s="46"/>
      <c r="P12" s="46"/>
      <c r="Q12" s="46"/>
      <c r="R12" s="46"/>
      <c r="S12" s="46">
        <v>13.6</v>
      </c>
      <c r="T12" s="47">
        <v>6.21</v>
      </c>
    </row>
    <row r="13" spans="1:25" x14ac:dyDescent="0.25">
      <c r="A13" s="42" t="str">
        <f>$B$3&amp;"  "&amp;C13&amp;"*"&amp;E13</f>
        <v>CARF  40*3</v>
      </c>
      <c r="B13" s="44">
        <f>(H13*7850)/10000</f>
        <v>3.3034605629283562</v>
      </c>
      <c r="C13" s="43">
        <v>40</v>
      </c>
      <c r="D13" s="43"/>
      <c r="E13" s="43">
        <v>3</v>
      </c>
      <c r="F13" s="43">
        <f>IF(E13&lt;=6,1*E13,IF(E13&lt;=10,1.5*E13,2*E13))</f>
        <v>3</v>
      </c>
      <c r="G13" s="43">
        <f>IF(E13&lt;=6,2*E13,IF(E13&lt;=10,2.5*E13,3*E13))</f>
        <v>6</v>
      </c>
      <c r="H13" s="44">
        <f t="shared" si="3"/>
        <v>4.2082300164692441</v>
      </c>
      <c r="I13" s="43">
        <v>9.24</v>
      </c>
      <c r="J13" s="44">
        <f>I13/(0.5*C13*0.1)</f>
        <v>4.62</v>
      </c>
      <c r="K13" s="43">
        <v>5.7</v>
      </c>
      <c r="L13" s="44">
        <f>SQRT(I13/H13)</f>
        <v>1.4817886050038669</v>
      </c>
      <c r="M13" s="46">
        <f t="shared" si="5"/>
        <v>1.68</v>
      </c>
      <c r="N13" s="46"/>
      <c r="O13" s="46"/>
      <c r="P13" s="46"/>
      <c r="Q13" s="46"/>
      <c r="R13" s="46"/>
      <c r="S13" s="46">
        <v>15.8</v>
      </c>
      <c r="T13" s="47">
        <v>7.07</v>
      </c>
    </row>
    <row r="14" spans="1:25" x14ac:dyDescent="0.25">
      <c r="A14" s="48" t="str">
        <f t="shared" ref="A14:A118" si="7">$B$3&amp;"  "&amp;C14&amp;"*"&amp;E14</f>
        <v>CARF  40*4</v>
      </c>
      <c r="B14" s="50">
        <f t="shared" ref="B14:B118" si="8">(H14*7850)/10000</f>
        <v>4.1981521118726333</v>
      </c>
      <c r="C14" s="49">
        <v>40</v>
      </c>
      <c r="D14" s="49"/>
      <c r="E14" s="49">
        <v>4</v>
      </c>
      <c r="F14" s="49">
        <f t="shared" ref="F14:F118" si="9">IF(E14&lt;=6,1*E14,IF(E14&lt;=10,1.5*E14,2*E14))</f>
        <v>4</v>
      </c>
      <c r="G14" s="49">
        <f t="shared" ref="G14:G118" si="10">IF(E14&lt;=6,2*E14,IF(E14&lt;=10,2.5*E14,3*E14))</f>
        <v>8</v>
      </c>
      <c r="H14" s="50">
        <f t="shared" si="3"/>
        <v>5.3479644737231</v>
      </c>
      <c r="I14" s="49">
        <v>10.9</v>
      </c>
      <c r="J14" s="50">
        <f>I14/(0.5*C14*0.1)</f>
        <v>5.45</v>
      </c>
      <c r="K14" s="49">
        <v>6.97</v>
      </c>
      <c r="L14" s="50">
        <f t="shared" ref="L14:L118" si="11">SQRT(I14/H14)</f>
        <v>1.427640935345627</v>
      </c>
      <c r="M14" s="52">
        <f t="shared" si="5"/>
        <v>1.92</v>
      </c>
      <c r="N14" s="52"/>
      <c r="O14" s="52"/>
      <c r="P14" s="52"/>
      <c r="Q14" s="52"/>
      <c r="R14" s="52"/>
      <c r="S14" s="52">
        <v>19.399999999999999</v>
      </c>
      <c r="T14" s="53">
        <v>8.48</v>
      </c>
    </row>
    <row r="15" spans="1:25" x14ac:dyDescent="0.25">
      <c r="A15" s="32" t="str">
        <f t="shared" si="7"/>
        <v>CARF  50*2</v>
      </c>
      <c r="B15" s="33">
        <f t="shared" si="8"/>
        <v>2.9335380279681584</v>
      </c>
      <c r="C15" s="17">
        <v>50</v>
      </c>
      <c r="E15" s="17">
        <v>2</v>
      </c>
      <c r="F15" s="17">
        <f t="shared" si="9"/>
        <v>2</v>
      </c>
      <c r="G15" s="17">
        <f t="shared" si="10"/>
        <v>4</v>
      </c>
      <c r="H15" s="33">
        <f t="shared" si="3"/>
        <v>3.7369911184307751</v>
      </c>
      <c r="I15" s="17">
        <v>14.1</v>
      </c>
      <c r="J15" s="33">
        <f>I15/(0.5*C15*0.1)</f>
        <v>5.64</v>
      </c>
      <c r="K15" s="17">
        <v>6.66</v>
      </c>
      <c r="L15" s="33">
        <f t="shared" si="11"/>
        <v>1.9424440733375412</v>
      </c>
      <c r="M15" s="35">
        <f t="shared" si="5"/>
        <v>1.68</v>
      </c>
      <c r="N15" s="35"/>
      <c r="O15" s="35"/>
      <c r="P15" s="35"/>
      <c r="Q15" s="35"/>
      <c r="R15" s="35"/>
      <c r="S15" s="35">
        <v>22.6</v>
      </c>
      <c r="T15" s="17">
        <v>8.51</v>
      </c>
    </row>
    <row r="16" spans="1:25" x14ac:dyDescent="0.25">
      <c r="A16" s="32" t="str">
        <f t="shared" si="7"/>
        <v>CARF  50*2.5</v>
      </c>
      <c r="B16" s="33">
        <f t="shared" si="8"/>
        <v>3.6024031687002478</v>
      </c>
      <c r="C16" s="17">
        <v>50</v>
      </c>
      <c r="E16" s="17">
        <v>2.5</v>
      </c>
      <c r="F16" s="17">
        <f t="shared" si="9"/>
        <v>2.5</v>
      </c>
      <c r="G16" s="17">
        <f t="shared" si="10"/>
        <v>5</v>
      </c>
      <c r="H16" s="33">
        <f t="shared" si="3"/>
        <v>4.589048622548086</v>
      </c>
      <c r="I16" s="17">
        <v>16.899999999999999</v>
      </c>
      <c r="J16" s="33">
        <f>I16/(0.5*C16*0.1)</f>
        <v>6.76</v>
      </c>
      <c r="K16" s="17">
        <v>8.06</v>
      </c>
      <c r="L16" s="33">
        <f t="shared" si="11"/>
        <v>1.9190311428067863</v>
      </c>
      <c r="M16" s="35">
        <f t="shared" si="5"/>
        <v>2</v>
      </c>
      <c r="N16" s="35"/>
      <c r="O16" s="35"/>
      <c r="P16" s="35"/>
      <c r="Q16" s="35"/>
      <c r="R16" s="35"/>
      <c r="S16" s="35">
        <v>27.5</v>
      </c>
      <c r="T16" s="17">
        <v>10.199999999999999</v>
      </c>
    </row>
    <row r="17" spans="1:20" x14ac:dyDescent="0.25">
      <c r="A17" s="32" t="str">
        <f t="shared" si="7"/>
        <v>CARF  50*3</v>
      </c>
      <c r="B17" s="33">
        <f t="shared" si="8"/>
        <v>4.2454605629283568</v>
      </c>
      <c r="C17" s="17">
        <v>50</v>
      </c>
      <c r="E17" s="17">
        <v>3</v>
      </c>
      <c r="F17" s="17">
        <f t="shared" si="9"/>
        <v>3</v>
      </c>
      <c r="G17" s="17">
        <f t="shared" si="10"/>
        <v>6</v>
      </c>
      <c r="H17" s="33">
        <f t="shared" si="3"/>
        <v>5.4082300164692452</v>
      </c>
      <c r="I17" s="17">
        <v>19.399999999999999</v>
      </c>
      <c r="J17" s="33">
        <f t="shared" ref="J17:J80" si="12">I17/(0.5*C17*0.1)</f>
        <v>7.76</v>
      </c>
      <c r="K17" s="17">
        <v>9.3699999999999992</v>
      </c>
      <c r="L17" s="33">
        <f t="shared" si="11"/>
        <v>1.8939708383767546</v>
      </c>
      <c r="M17" s="35">
        <f t="shared" si="5"/>
        <v>2.2800000000000002</v>
      </c>
      <c r="N17" s="35"/>
      <c r="O17" s="35"/>
      <c r="P17" s="35"/>
      <c r="Q17" s="35"/>
      <c r="R17" s="35"/>
      <c r="S17" s="35">
        <v>32.1</v>
      </c>
      <c r="T17" s="17">
        <v>11.8</v>
      </c>
    </row>
    <row r="18" spans="1:20" x14ac:dyDescent="0.25">
      <c r="A18" s="32" t="str">
        <f t="shared" si="7"/>
        <v>CARF  50*4</v>
      </c>
      <c r="B18" s="33">
        <f t="shared" si="8"/>
        <v>5.4541521118726344</v>
      </c>
      <c r="C18" s="17">
        <v>50</v>
      </c>
      <c r="E18" s="17">
        <v>4</v>
      </c>
      <c r="F18" s="17">
        <f t="shared" si="9"/>
        <v>4</v>
      </c>
      <c r="G18" s="17">
        <f t="shared" si="10"/>
        <v>8</v>
      </c>
      <c r="H18" s="33">
        <f t="shared" si="3"/>
        <v>6.9479644737231006</v>
      </c>
      <c r="I18" s="17">
        <v>23.5</v>
      </c>
      <c r="J18" s="33">
        <f t="shared" si="12"/>
        <v>9.4</v>
      </c>
      <c r="K18" s="17">
        <v>11.7</v>
      </c>
      <c r="L18" s="33">
        <f t="shared" si="11"/>
        <v>1.8390991199031934</v>
      </c>
      <c r="M18" s="35">
        <f t="shared" si="5"/>
        <v>2.72</v>
      </c>
      <c r="N18" s="35"/>
      <c r="O18" s="35"/>
      <c r="P18" s="35"/>
      <c r="Q18" s="35"/>
      <c r="R18" s="35"/>
      <c r="S18" s="35">
        <v>40.4</v>
      </c>
      <c r="T18" s="17">
        <v>14.4</v>
      </c>
    </row>
    <row r="19" spans="1:20" x14ac:dyDescent="0.25">
      <c r="A19" s="32" t="str">
        <f t="shared" si="7"/>
        <v>CARF  50*5</v>
      </c>
      <c r="B19" s="33">
        <f t="shared" si="8"/>
        <v>6.5596126748009915</v>
      </c>
      <c r="C19" s="17">
        <v>50</v>
      </c>
      <c r="E19" s="17">
        <v>5</v>
      </c>
      <c r="F19" s="17">
        <f t="shared" si="9"/>
        <v>5</v>
      </c>
      <c r="G19" s="17">
        <f t="shared" si="10"/>
        <v>10</v>
      </c>
      <c r="H19" s="33">
        <f t="shared" si="3"/>
        <v>8.3561944901923457</v>
      </c>
      <c r="I19" s="17">
        <v>26.6</v>
      </c>
      <c r="J19" s="33">
        <f t="shared" si="12"/>
        <v>10.64</v>
      </c>
      <c r="K19" s="17">
        <v>13.6</v>
      </c>
      <c r="L19" s="33">
        <f t="shared" si="11"/>
        <v>1.7841712976764965</v>
      </c>
      <c r="M19" s="35">
        <f t="shared" si="5"/>
        <v>3</v>
      </c>
      <c r="N19" s="35"/>
      <c r="O19" s="35"/>
      <c r="P19" s="35"/>
      <c r="Q19" s="35"/>
      <c r="R19" s="35"/>
      <c r="S19" s="35">
        <v>47.5</v>
      </c>
      <c r="T19" s="17">
        <v>16.600000000000001</v>
      </c>
    </row>
    <row r="20" spans="1:20" x14ac:dyDescent="0.25">
      <c r="A20" s="36" t="str">
        <f t="shared" si="7"/>
        <v>CARF  60*2</v>
      </c>
      <c r="B20" s="38">
        <f t="shared" si="8"/>
        <v>3.5615380279681581</v>
      </c>
      <c r="C20" s="37">
        <v>60</v>
      </c>
      <c r="D20" s="37"/>
      <c r="E20" s="37">
        <v>2</v>
      </c>
      <c r="F20" s="37">
        <f t="shared" si="9"/>
        <v>2</v>
      </c>
      <c r="G20" s="37">
        <f t="shared" si="10"/>
        <v>4</v>
      </c>
      <c r="H20" s="38">
        <f t="shared" si="3"/>
        <v>4.536991118430775</v>
      </c>
      <c r="I20" s="37">
        <v>25.1</v>
      </c>
      <c r="J20" s="38">
        <f t="shared" si="12"/>
        <v>8.3666666666666671</v>
      </c>
      <c r="K20" s="37">
        <v>9.7799999999999994</v>
      </c>
      <c r="L20" s="38">
        <f t="shared" si="11"/>
        <v>2.352084371247626</v>
      </c>
      <c r="M20" s="40">
        <f t="shared" si="5"/>
        <v>2.08</v>
      </c>
      <c r="N20" s="40"/>
      <c r="O20" s="40"/>
      <c r="P20" s="40"/>
      <c r="Q20" s="40"/>
      <c r="R20" s="40"/>
      <c r="S20" s="40">
        <v>39.799999999999997</v>
      </c>
      <c r="T20" s="41">
        <v>12.6</v>
      </c>
    </row>
    <row r="21" spans="1:20" x14ac:dyDescent="0.25">
      <c r="A21" s="42" t="str">
        <f t="shared" si="7"/>
        <v>CARF  60*2.5</v>
      </c>
      <c r="B21" s="44">
        <f t="shared" si="8"/>
        <v>4.3874031687002484</v>
      </c>
      <c r="C21" s="43">
        <v>60</v>
      </c>
      <c r="D21" s="43"/>
      <c r="E21" s="43">
        <v>2.5</v>
      </c>
      <c r="F21" s="43">
        <f t="shared" si="9"/>
        <v>2.5</v>
      </c>
      <c r="G21" s="43">
        <f t="shared" si="10"/>
        <v>5</v>
      </c>
      <c r="H21" s="44">
        <f t="shared" si="3"/>
        <v>5.5890486225480869</v>
      </c>
      <c r="I21" s="43">
        <v>30.3</v>
      </c>
      <c r="J21" s="44">
        <f t="shared" si="12"/>
        <v>10.1</v>
      </c>
      <c r="K21" s="43">
        <v>11.9</v>
      </c>
      <c r="L21" s="44">
        <f t="shared" si="11"/>
        <v>2.3283720125070322</v>
      </c>
      <c r="M21" s="46">
        <f t="shared" si="5"/>
        <v>2.5</v>
      </c>
      <c r="N21" s="46"/>
      <c r="O21" s="46"/>
      <c r="P21" s="46"/>
      <c r="Q21" s="46"/>
      <c r="R21" s="46"/>
      <c r="S21" s="46">
        <v>48.7</v>
      </c>
      <c r="T21" s="47">
        <v>15.2</v>
      </c>
    </row>
    <row r="22" spans="1:20" x14ac:dyDescent="0.25">
      <c r="A22" s="42" t="str">
        <f t="shared" si="7"/>
        <v>CARF  60*3</v>
      </c>
      <c r="B22" s="44">
        <f t="shared" si="8"/>
        <v>5.187460562928357</v>
      </c>
      <c r="C22" s="43">
        <v>60</v>
      </c>
      <c r="D22" s="43"/>
      <c r="E22" s="43">
        <v>3</v>
      </c>
      <c r="F22" s="43">
        <f t="shared" si="9"/>
        <v>3</v>
      </c>
      <c r="G22" s="43">
        <f t="shared" si="10"/>
        <v>6</v>
      </c>
      <c r="H22" s="44">
        <f t="shared" si="3"/>
        <v>6.6082300164692445</v>
      </c>
      <c r="I22" s="43">
        <v>35</v>
      </c>
      <c r="J22" s="44">
        <f t="shared" si="12"/>
        <v>11.666666666666666</v>
      </c>
      <c r="K22" s="43">
        <v>13.9</v>
      </c>
      <c r="L22" s="44">
        <f t="shared" si="11"/>
        <v>2.3013964906834135</v>
      </c>
      <c r="M22" s="46">
        <f t="shared" si="5"/>
        <v>2.88</v>
      </c>
      <c r="N22" s="46"/>
      <c r="O22" s="46"/>
      <c r="P22" s="46"/>
      <c r="Q22" s="46"/>
      <c r="R22" s="46"/>
      <c r="S22" s="46">
        <v>57.1</v>
      </c>
      <c r="T22" s="47">
        <v>17.7</v>
      </c>
    </row>
    <row r="23" spans="1:20" x14ac:dyDescent="0.25">
      <c r="A23" s="42" t="str">
        <f t="shared" si="7"/>
        <v>CARF  60*4</v>
      </c>
      <c r="B23" s="44">
        <f t="shared" si="8"/>
        <v>6.7101521118726337</v>
      </c>
      <c r="C23" s="43">
        <v>60</v>
      </c>
      <c r="D23" s="43"/>
      <c r="E23" s="43">
        <v>4</v>
      </c>
      <c r="F23" s="43">
        <f t="shared" si="9"/>
        <v>4</v>
      </c>
      <c r="G23" s="43">
        <f t="shared" si="10"/>
        <v>8</v>
      </c>
      <c r="H23" s="44">
        <f t="shared" si="3"/>
        <v>8.5479644737231002</v>
      </c>
      <c r="I23" s="43">
        <v>43.3</v>
      </c>
      <c r="J23" s="44">
        <f t="shared" si="12"/>
        <v>14.433333333333332</v>
      </c>
      <c r="K23" s="43">
        <v>17.600000000000001</v>
      </c>
      <c r="L23" s="44">
        <f t="shared" si="11"/>
        <v>2.2506739998022964</v>
      </c>
      <c r="M23" s="46">
        <f t="shared" si="5"/>
        <v>3.52</v>
      </c>
      <c r="N23" s="46"/>
      <c r="O23" s="46"/>
      <c r="P23" s="46"/>
      <c r="Q23" s="46"/>
      <c r="R23" s="46"/>
      <c r="S23" s="46">
        <v>72.599999999999994</v>
      </c>
      <c r="T23" s="47">
        <v>22</v>
      </c>
    </row>
    <row r="24" spans="1:20" x14ac:dyDescent="0.25">
      <c r="A24" s="42" t="str">
        <f t="shared" si="7"/>
        <v>CARF  60*5</v>
      </c>
      <c r="B24" s="44">
        <f t="shared" si="8"/>
        <v>8.1296126748009918</v>
      </c>
      <c r="C24" s="43">
        <v>60</v>
      </c>
      <c r="D24" s="43"/>
      <c r="E24" s="43">
        <v>5</v>
      </c>
      <c r="F24" s="43">
        <f t="shared" si="9"/>
        <v>5</v>
      </c>
      <c r="G24" s="43">
        <f t="shared" si="10"/>
        <v>10</v>
      </c>
      <c r="H24" s="44">
        <f t="shared" si="3"/>
        <v>10.356194490192346</v>
      </c>
      <c r="I24" s="43">
        <v>50</v>
      </c>
      <c r="J24" s="44">
        <f t="shared" si="12"/>
        <v>16.666666666666668</v>
      </c>
      <c r="K24" s="43">
        <v>20.8</v>
      </c>
      <c r="L24" s="44">
        <f t="shared" si="11"/>
        <v>2.1972774727776829</v>
      </c>
      <c r="M24" s="46">
        <f t="shared" si="5"/>
        <v>4</v>
      </c>
      <c r="N24" s="46"/>
      <c r="O24" s="46"/>
      <c r="P24" s="46"/>
      <c r="Q24" s="46"/>
      <c r="R24" s="46"/>
      <c r="S24" s="46">
        <v>86.4</v>
      </c>
      <c r="T24" s="47">
        <v>25.6</v>
      </c>
    </row>
    <row r="25" spans="1:20" x14ac:dyDescent="0.25">
      <c r="A25" s="42" t="str">
        <f t="shared" si="7"/>
        <v>CARF  60*6</v>
      </c>
      <c r="B25" s="44">
        <f t="shared" si="8"/>
        <v>9.4458422517134277</v>
      </c>
      <c r="C25" s="43">
        <v>60</v>
      </c>
      <c r="D25" s="43"/>
      <c r="E25" s="43">
        <v>6</v>
      </c>
      <c r="F25" s="43">
        <f t="shared" si="9"/>
        <v>6</v>
      </c>
      <c r="G25" s="43">
        <f t="shared" si="10"/>
        <v>12</v>
      </c>
      <c r="H25" s="44">
        <f t="shared" si="3"/>
        <v>12.032920065876977</v>
      </c>
      <c r="I25" s="43">
        <v>55.1</v>
      </c>
      <c r="J25" s="44">
        <f t="shared" si="12"/>
        <v>18.366666666666667</v>
      </c>
      <c r="K25" s="43">
        <v>23.5</v>
      </c>
      <c r="L25" s="44">
        <f t="shared" si="11"/>
        <v>2.1398842564860985</v>
      </c>
      <c r="M25" s="46">
        <f t="shared" si="5"/>
        <v>4.32</v>
      </c>
      <c r="N25" s="46"/>
      <c r="O25" s="46"/>
      <c r="P25" s="46"/>
      <c r="Q25" s="46"/>
      <c r="R25" s="46"/>
      <c r="S25" s="46">
        <v>98.4</v>
      </c>
      <c r="T25" s="47">
        <v>28.6</v>
      </c>
    </row>
    <row r="26" spans="1:20" x14ac:dyDescent="0.25">
      <c r="A26" s="48" t="str">
        <f t="shared" si="7"/>
        <v>CARF  60*6.3</v>
      </c>
      <c r="B26" s="50">
        <f t="shared" si="8"/>
        <v>9.5531301100187367</v>
      </c>
      <c r="C26" s="49">
        <v>60</v>
      </c>
      <c r="D26" s="49"/>
      <c r="E26" s="49">
        <v>6.3</v>
      </c>
      <c r="F26" s="49">
        <f t="shared" si="9"/>
        <v>9.4499999999999993</v>
      </c>
      <c r="G26" s="49">
        <f t="shared" si="10"/>
        <v>15.75</v>
      </c>
      <c r="H26" s="50">
        <f t="shared" si="3"/>
        <v>12.169592496839154</v>
      </c>
      <c r="I26" s="49">
        <v>52.8</v>
      </c>
      <c r="J26" s="50">
        <f t="shared" si="12"/>
        <v>17.599999999999998</v>
      </c>
      <c r="K26" s="49">
        <v>23.1</v>
      </c>
      <c r="L26" s="50">
        <f t="shared" si="11"/>
        <v>2.0829504709653164</v>
      </c>
      <c r="M26" s="52">
        <f t="shared" si="5"/>
        <v>3.5909999999999997</v>
      </c>
      <c r="N26" s="52"/>
      <c r="O26" s="52"/>
      <c r="P26" s="52"/>
      <c r="Q26" s="52"/>
      <c r="R26" s="52"/>
      <c r="S26" s="52">
        <v>100</v>
      </c>
      <c r="T26" s="53">
        <v>28.8</v>
      </c>
    </row>
    <row r="27" spans="1:20" x14ac:dyDescent="0.25">
      <c r="A27" s="32" t="str">
        <f t="shared" si="7"/>
        <v>CARF  70*2.5</v>
      </c>
      <c r="B27" s="33">
        <f t="shared" si="8"/>
        <v>5.1724031687002485</v>
      </c>
      <c r="C27" s="17">
        <v>70</v>
      </c>
      <c r="E27" s="17">
        <v>2.5</v>
      </c>
      <c r="F27" s="17">
        <f t="shared" si="9"/>
        <v>2.5</v>
      </c>
      <c r="G27" s="17">
        <f t="shared" si="10"/>
        <v>5</v>
      </c>
      <c r="H27" s="33">
        <f t="shared" si="3"/>
        <v>6.5890486225480869</v>
      </c>
      <c r="I27" s="17">
        <v>49.3</v>
      </c>
      <c r="J27" s="33">
        <f t="shared" si="12"/>
        <v>14.085714285714285</v>
      </c>
      <c r="K27" s="17">
        <v>16.5</v>
      </c>
      <c r="L27" s="33">
        <f t="shared" si="11"/>
        <v>2.7353449572784254</v>
      </c>
      <c r="M27" s="35">
        <f t="shared" si="5"/>
        <v>3</v>
      </c>
      <c r="N27" s="35"/>
      <c r="O27" s="35"/>
      <c r="P27" s="35"/>
      <c r="Q27" s="35"/>
      <c r="R27" s="35"/>
      <c r="S27" s="35">
        <v>78.5</v>
      </c>
      <c r="T27" s="17">
        <v>21.2</v>
      </c>
    </row>
    <row r="28" spans="1:20" x14ac:dyDescent="0.25">
      <c r="A28" s="32" t="str">
        <f t="shared" si="7"/>
        <v>CARF  70*3</v>
      </c>
      <c r="B28" s="33">
        <f t="shared" si="8"/>
        <v>6.1294605629283572</v>
      </c>
      <c r="C28" s="17">
        <v>70</v>
      </c>
      <c r="E28" s="17">
        <v>3</v>
      </c>
      <c r="F28" s="17">
        <f t="shared" si="9"/>
        <v>3</v>
      </c>
      <c r="G28" s="17">
        <f t="shared" si="10"/>
        <v>6</v>
      </c>
      <c r="H28" s="33">
        <f t="shared" si="3"/>
        <v>7.8082300164692446</v>
      </c>
      <c r="I28" s="17">
        <v>57.4</v>
      </c>
      <c r="J28" s="33">
        <f t="shared" si="12"/>
        <v>16.399999999999999</v>
      </c>
      <c r="K28" s="17">
        <v>19.399999999999999</v>
      </c>
      <c r="L28" s="33">
        <f t="shared" si="11"/>
        <v>2.7113129413883756</v>
      </c>
      <c r="M28" s="35">
        <f t="shared" si="5"/>
        <v>3.48</v>
      </c>
      <c r="N28" s="35"/>
      <c r="O28" s="35"/>
      <c r="P28" s="35"/>
      <c r="Q28" s="35"/>
      <c r="R28" s="35"/>
      <c r="S28" s="35">
        <v>92.4</v>
      </c>
      <c r="T28" s="17">
        <v>24.7</v>
      </c>
    </row>
    <row r="29" spans="1:20" x14ac:dyDescent="0.25">
      <c r="A29" s="32" t="str">
        <f t="shared" si="7"/>
        <v>CARF  70*4</v>
      </c>
      <c r="B29" s="33">
        <f t="shared" si="8"/>
        <v>7.9661521118726331</v>
      </c>
      <c r="C29" s="17">
        <v>70</v>
      </c>
      <c r="E29" s="17">
        <v>4</v>
      </c>
      <c r="F29" s="17">
        <f t="shared" si="9"/>
        <v>4</v>
      </c>
      <c r="G29" s="17">
        <f t="shared" si="10"/>
        <v>8</v>
      </c>
      <c r="H29" s="33">
        <f t="shared" si="3"/>
        <v>10.1479644737231</v>
      </c>
      <c r="I29" s="17">
        <v>71.8</v>
      </c>
      <c r="J29" s="33">
        <f t="shared" si="12"/>
        <v>20.514285714285712</v>
      </c>
      <c r="K29" s="17">
        <v>24.7</v>
      </c>
      <c r="L29" s="33">
        <f t="shared" si="11"/>
        <v>2.6599455896602167</v>
      </c>
      <c r="M29" s="35">
        <f t="shared" si="5"/>
        <v>4.32</v>
      </c>
      <c r="N29" s="35"/>
      <c r="O29" s="35"/>
      <c r="P29" s="35"/>
      <c r="Q29" s="35"/>
      <c r="R29" s="35"/>
      <c r="S29" s="35">
        <v>119</v>
      </c>
      <c r="T29" s="17">
        <v>31.1</v>
      </c>
    </row>
    <row r="30" spans="1:20" x14ac:dyDescent="0.25">
      <c r="A30" s="32" t="str">
        <f t="shared" si="7"/>
        <v>CARF  70*5</v>
      </c>
      <c r="B30" s="33">
        <f t="shared" si="8"/>
        <v>9.6996126748009921</v>
      </c>
      <c r="C30" s="17">
        <v>70</v>
      </c>
      <c r="E30" s="17">
        <v>5</v>
      </c>
      <c r="F30" s="17">
        <f t="shared" si="9"/>
        <v>5</v>
      </c>
      <c r="G30" s="17">
        <f t="shared" si="10"/>
        <v>10</v>
      </c>
      <c r="H30" s="33">
        <f t="shared" si="3"/>
        <v>12.356194490192346</v>
      </c>
      <c r="I30" s="17">
        <v>84</v>
      </c>
      <c r="J30" s="33">
        <f t="shared" si="12"/>
        <v>24</v>
      </c>
      <c r="K30" s="17">
        <v>29.5</v>
      </c>
      <c r="L30" s="33">
        <f t="shared" si="11"/>
        <v>2.6073376459104938</v>
      </c>
      <c r="M30" s="35">
        <f t="shared" si="5"/>
        <v>5</v>
      </c>
      <c r="N30" s="35"/>
      <c r="O30" s="35"/>
      <c r="P30" s="35"/>
      <c r="Q30" s="35"/>
      <c r="R30" s="35"/>
      <c r="S30" s="35">
        <v>142</v>
      </c>
      <c r="T30" s="17">
        <v>36.700000000000003</v>
      </c>
    </row>
    <row r="31" spans="1:20" x14ac:dyDescent="0.25">
      <c r="A31" s="32" t="str">
        <f t="shared" si="7"/>
        <v>CARF  70*6</v>
      </c>
      <c r="B31" s="33">
        <f t="shared" si="8"/>
        <v>11.329842251713426</v>
      </c>
      <c r="C31" s="17">
        <v>70</v>
      </c>
      <c r="E31" s="17">
        <v>6</v>
      </c>
      <c r="F31" s="17">
        <f t="shared" si="9"/>
        <v>6</v>
      </c>
      <c r="G31" s="17">
        <f t="shared" si="10"/>
        <v>12</v>
      </c>
      <c r="H31" s="33">
        <f t="shared" si="3"/>
        <v>14.432920065876976</v>
      </c>
      <c r="I31" s="17">
        <v>94.1</v>
      </c>
      <c r="J31" s="33">
        <f t="shared" si="12"/>
        <v>26.885714285714283</v>
      </c>
      <c r="K31" s="17">
        <v>33.700000000000003</v>
      </c>
      <c r="L31" s="33">
        <f t="shared" si="11"/>
        <v>2.5533932650357607</v>
      </c>
      <c r="M31" s="35">
        <f t="shared" si="5"/>
        <v>5.5200000000000005</v>
      </c>
      <c r="N31" s="35"/>
      <c r="O31" s="35"/>
      <c r="P31" s="35"/>
      <c r="Q31" s="35"/>
      <c r="R31" s="35"/>
      <c r="S31" s="35">
        <v>163</v>
      </c>
      <c r="T31" s="17">
        <v>41.4</v>
      </c>
    </row>
    <row r="32" spans="1:20" x14ac:dyDescent="0.25">
      <c r="A32" s="32" t="str">
        <f t="shared" si="7"/>
        <v>CARF  70*6.3</v>
      </c>
      <c r="B32" s="33">
        <f t="shared" si="8"/>
        <v>11.531330110018736</v>
      </c>
      <c r="C32" s="17">
        <v>70</v>
      </c>
      <c r="E32" s="17">
        <v>6.3</v>
      </c>
      <c r="F32" s="17">
        <f t="shared" si="9"/>
        <v>9.4499999999999993</v>
      </c>
      <c r="G32" s="17">
        <f t="shared" si="10"/>
        <v>15.75</v>
      </c>
      <c r="H32" s="33">
        <f t="shared" si="3"/>
        <v>14.689592496839154</v>
      </c>
      <c r="I32" s="17">
        <v>91.8</v>
      </c>
      <c r="J32" s="33">
        <f t="shared" si="12"/>
        <v>26.228571428571428</v>
      </c>
      <c r="K32" s="17">
        <v>33.5</v>
      </c>
      <c r="L32" s="33">
        <f t="shared" si="11"/>
        <v>2.4998644839873512</v>
      </c>
      <c r="M32" s="35">
        <f t="shared" si="5"/>
        <v>4.851</v>
      </c>
      <c r="N32" s="35"/>
      <c r="O32" s="35"/>
      <c r="P32" s="35"/>
      <c r="Q32" s="35"/>
      <c r="R32" s="35"/>
      <c r="S32" s="35">
        <v>168</v>
      </c>
      <c r="T32" s="17">
        <v>42.1</v>
      </c>
    </row>
    <row r="33" spans="1:20" x14ac:dyDescent="0.25">
      <c r="A33" s="36" t="str">
        <f t="shared" si="7"/>
        <v>CARF  80*3</v>
      </c>
      <c r="B33" s="38">
        <f t="shared" si="8"/>
        <v>7.0714605629283573</v>
      </c>
      <c r="C33" s="37">
        <v>80</v>
      </c>
      <c r="D33" s="37"/>
      <c r="E33" s="37">
        <v>3</v>
      </c>
      <c r="F33" s="37">
        <f t="shared" si="9"/>
        <v>3</v>
      </c>
      <c r="G33" s="37">
        <f t="shared" si="10"/>
        <v>6</v>
      </c>
      <c r="H33" s="38">
        <f t="shared" si="3"/>
        <v>9.0082300164692448</v>
      </c>
      <c r="I33" s="37">
        <v>87.7</v>
      </c>
      <c r="J33" s="38">
        <f t="shared" si="12"/>
        <v>21.925000000000001</v>
      </c>
      <c r="K33" s="37">
        <v>25.8</v>
      </c>
      <c r="L33" s="38">
        <f t="shared" si="11"/>
        <v>3.1201829777279553</v>
      </c>
      <c r="M33" s="40">
        <f t="shared" si="5"/>
        <v>4.08</v>
      </c>
      <c r="N33" s="40"/>
      <c r="O33" s="40"/>
      <c r="P33" s="40"/>
      <c r="Q33" s="40"/>
      <c r="R33" s="40"/>
      <c r="S33" s="40">
        <v>140</v>
      </c>
      <c r="T33" s="41">
        <v>33</v>
      </c>
    </row>
    <row r="34" spans="1:20" x14ac:dyDescent="0.25">
      <c r="A34" s="42" t="str">
        <f t="shared" si="7"/>
        <v>CARF  80*4</v>
      </c>
      <c r="B34" s="44">
        <f t="shared" si="8"/>
        <v>9.2221521118726333</v>
      </c>
      <c r="C34" s="43">
        <v>80</v>
      </c>
      <c r="D34" s="43"/>
      <c r="E34" s="43">
        <v>4</v>
      </c>
      <c r="F34" s="43">
        <f t="shared" si="9"/>
        <v>4</v>
      </c>
      <c r="G34" s="43">
        <f t="shared" si="10"/>
        <v>8</v>
      </c>
      <c r="H34" s="44">
        <f t="shared" si="3"/>
        <v>11.747964473723099</v>
      </c>
      <c r="I34" s="43">
        <v>111</v>
      </c>
      <c r="J34" s="44">
        <f t="shared" si="12"/>
        <v>27.75</v>
      </c>
      <c r="K34" s="43">
        <v>33</v>
      </c>
      <c r="L34" s="44">
        <f t="shared" si="11"/>
        <v>3.0738323513405059</v>
      </c>
      <c r="M34" s="46">
        <f t="shared" si="5"/>
        <v>5.12</v>
      </c>
      <c r="N34" s="46"/>
      <c r="O34" s="46"/>
      <c r="P34" s="46"/>
      <c r="Q34" s="46"/>
      <c r="R34" s="46"/>
      <c r="S34" s="46">
        <v>180</v>
      </c>
      <c r="T34" s="47">
        <v>41.8</v>
      </c>
    </row>
    <row r="35" spans="1:20" x14ac:dyDescent="0.25">
      <c r="A35" s="42" t="str">
        <f t="shared" si="7"/>
        <v>CARF  80*5</v>
      </c>
      <c r="B35" s="44">
        <f t="shared" si="8"/>
        <v>11.269612674800992</v>
      </c>
      <c r="C35" s="43">
        <v>80</v>
      </c>
      <c r="D35" s="43"/>
      <c r="E35" s="43">
        <v>5</v>
      </c>
      <c r="F35" s="43">
        <f t="shared" si="9"/>
        <v>5</v>
      </c>
      <c r="G35" s="43">
        <f t="shared" si="10"/>
        <v>10</v>
      </c>
      <c r="H35" s="44">
        <f t="shared" si="3"/>
        <v>14.356194490192346</v>
      </c>
      <c r="I35" s="43">
        <v>131</v>
      </c>
      <c r="J35" s="44">
        <f t="shared" si="12"/>
        <v>32.75</v>
      </c>
      <c r="K35" s="43">
        <v>39.6</v>
      </c>
      <c r="L35" s="44">
        <f t="shared" si="11"/>
        <v>3.0207583259506654</v>
      </c>
      <c r="M35" s="46">
        <f t="shared" si="5"/>
        <v>6</v>
      </c>
      <c r="N35" s="46"/>
      <c r="O35" s="46"/>
      <c r="P35" s="46"/>
      <c r="Q35" s="46"/>
      <c r="R35" s="46"/>
      <c r="S35" s="46">
        <v>218</v>
      </c>
      <c r="T35" s="47">
        <v>49.7</v>
      </c>
    </row>
    <row r="36" spans="1:20" x14ac:dyDescent="0.25">
      <c r="A36" s="42" t="str">
        <f t="shared" si="7"/>
        <v>CARF  80*6</v>
      </c>
      <c r="B36" s="44">
        <f t="shared" si="8"/>
        <v>13.213842251713425</v>
      </c>
      <c r="C36" s="43">
        <v>80</v>
      </c>
      <c r="D36" s="43"/>
      <c r="E36" s="43">
        <v>6</v>
      </c>
      <c r="F36" s="43">
        <f t="shared" si="9"/>
        <v>6</v>
      </c>
      <c r="G36" s="43">
        <f t="shared" si="10"/>
        <v>12</v>
      </c>
      <c r="H36" s="44">
        <f t="shared" si="3"/>
        <v>16.832920065876976</v>
      </c>
      <c r="I36" s="43">
        <v>148</v>
      </c>
      <c r="J36" s="44">
        <f t="shared" si="12"/>
        <v>37</v>
      </c>
      <c r="K36" s="43">
        <v>45.6</v>
      </c>
      <c r="L36" s="44">
        <f t="shared" si="11"/>
        <v>2.9651804436711249</v>
      </c>
      <c r="M36" s="46">
        <f t="shared" si="5"/>
        <v>6.72</v>
      </c>
      <c r="N36" s="46"/>
      <c r="O36" s="46"/>
      <c r="P36" s="46"/>
      <c r="Q36" s="46"/>
      <c r="R36" s="46"/>
      <c r="S36" s="46">
        <v>252</v>
      </c>
      <c r="T36" s="47">
        <v>56.6</v>
      </c>
    </row>
    <row r="37" spans="1:20" x14ac:dyDescent="0.25">
      <c r="A37" s="42" t="str">
        <f t="shared" si="7"/>
        <v>CARF  80*6.3</v>
      </c>
      <c r="B37" s="44">
        <f t="shared" si="8"/>
        <v>13.509530110018739</v>
      </c>
      <c r="C37" s="43">
        <v>80</v>
      </c>
      <c r="D37" s="43"/>
      <c r="E37" s="43">
        <v>6.3</v>
      </c>
      <c r="F37" s="43">
        <f t="shared" si="9"/>
        <v>9.4499999999999993</v>
      </c>
      <c r="G37" s="43">
        <f t="shared" si="10"/>
        <v>15.75</v>
      </c>
      <c r="H37" s="44">
        <f t="shared" si="3"/>
        <v>17.209592496839157</v>
      </c>
      <c r="I37" s="43">
        <v>146</v>
      </c>
      <c r="J37" s="44">
        <f t="shared" si="12"/>
        <v>36.5</v>
      </c>
      <c r="K37" s="43">
        <v>45.8</v>
      </c>
      <c r="L37" s="44">
        <f t="shared" si="11"/>
        <v>2.9126690060060567</v>
      </c>
      <c r="M37" s="46">
        <f t="shared" si="5"/>
        <v>6.1110000000000007</v>
      </c>
      <c r="N37" s="46"/>
      <c r="O37" s="46"/>
      <c r="P37" s="46"/>
      <c r="Q37" s="46"/>
      <c r="R37" s="46"/>
      <c r="S37" s="46">
        <v>261</v>
      </c>
      <c r="T37" s="47">
        <v>57.9</v>
      </c>
    </row>
    <row r="38" spans="1:20" x14ac:dyDescent="0.25">
      <c r="A38" s="48" t="str">
        <f t="shared" si="7"/>
        <v>CARF  80*8</v>
      </c>
      <c r="B38" s="50">
        <f t="shared" si="8"/>
        <v>16.36134459665405</v>
      </c>
      <c r="C38" s="49">
        <v>80</v>
      </c>
      <c r="D38" s="49"/>
      <c r="E38" s="49">
        <v>8</v>
      </c>
      <c r="F38" s="49">
        <f t="shared" si="9"/>
        <v>12</v>
      </c>
      <c r="G38" s="49">
        <f t="shared" si="10"/>
        <v>20</v>
      </c>
      <c r="H38" s="50">
        <f t="shared" si="3"/>
        <v>20.842477193189872</v>
      </c>
      <c r="I38" s="49">
        <v>164</v>
      </c>
      <c r="J38" s="50">
        <f t="shared" si="12"/>
        <v>41</v>
      </c>
      <c r="K38" s="49">
        <v>53.3</v>
      </c>
      <c r="L38" s="50">
        <f t="shared" si="11"/>
        <v>2.8050929491676082</v>
      </c>
      <c r="M38" s="52">
        <f t="shared" si="5"/>
        <v>6.4</v>
      </c>
      <c r="N38" s="52"/>
      <c r="O38" s="52"/>
      <c r="P38" s="52"/>
      <c r="Q38" s="52"/>
      <c r="R38" s="52"/>
      <c r="S38" s="52">
        <v>307</v>
      </c>
      <c r="T38" s="53">
        <v>66.599999999999994</v>
      </c>
    </row>
    <row r="39" spans="1:20" x14ac:dyDescent="0.25">
      <c r="A39" s="32" t="str">
        <f t="shared" si="7"/>
        <v>CARF  90*3</v>
      </c>
      <c r="B39" s="33">
        <f t="shared" si="8"/>
        <v>8.0134605629283566</v>
      </c>
      <c r="C39" s="17">
        <v>90</v>
      </c>
      <c r="E39" s="17">
        <v>3</v>
      </c>
      <c r="F39" s="17">
        <f t="shared" si="9"/>
        <v>3</v>
      </c>
      <c r="G39" s="17">
        <f t="shared" si="10"/>
        <v>6</v>
      </c>
      <c r="H39" s="33">
        <f t="shared" si="3"/>
        <v>10.208230016469244</v>
      </c>
      <c r="I39" s="17">
        <v>127</v>
      </c>
      <c r="J39" s="33">
        <f t="shared" si="12"/>
        <v>28.222222222222221</v>
      </c>
      <c r="K39" s="17">
        <v>33</v>
      </c>
      <c r="L39" s="33">
        <f t="shared" si="11"/>
        <v>3.5271719888974147</v>
      </c>
      <c r="M39" s="35">
        <f t="shared" si="5"/>
        <v>4.68</v>
      </c>
      <c r="N39" s="35"/>
      <c r="O39" s="35"/>
      <c r="P39" s="35"/>
      <c r="Q39" s="35"/>
      <c r="R39" s="35"/>
      <c r="S39" s="35">
        <v>201</v>
      </c>
      <c r="T39" s="17">
        <v>42.5</v>
      </c>
    </row>
    <row r="40" spans="1:20" x14ac:dyDescent="0.25">
      <c r="A40" s="32" t="str">
        <f t="shared" si="7"/>
        <v>CARF  90*4</v>
      </c>
      <c r="B40" s="33">
        <f t="shared" si="8"/>
        <v>10.478152111872635</v>
      </c>
      <c r="C40" s="17">
        <v>90</v>
      </c>
      <c r="E40" s="17">
        <v>4</v>
      </c>
      <c r="F40" s="17">
        <f t="shared" si="9"/>
        <v>4</v>
      </c>
      <c r="G40" s="17">
        <f t="shared" si="10"/>
        <v>8</v>
      </c>
      <c r="H40" s="33">
        <f t="shared" si="3"/>
        <v>13.347964473723101</v>
      </c>
      <c r="I40" s="17">
        <v>161</v>
      </c>
      <c r="J40" s="33">
        <f t="shared" si="12"/>
        <v>35.777777777777779</v>
      </c>
      <c r="K40" s="17">
        <v>42.5</v>
      </c>
      <c r="L40" s="33">
        <f t="shared" si="11"/>
        <v>3.4730050673157313</v>
      </c>
      <c r="M40" s="35">
        <f t="shared" si="5"/>
        <v>5.92</v>
      </c>
      <c r="N40" s="35"/>
      <c r="O40" s="35"/>
      <c r="P40" s="35"/>
      <c r="Q40" s="35"/>
      <c r="R40" s="35"/>
      <c r="S40" s="35">
        <v>261</v>
      </c>
      <c r="T40" s="17">
        <v>54.2</v>
      </c>
    </row>
    <row r="41" spans="1:20" x14ac:dyDescent="0.25">
      <c r="A41" s="32" t="str">
        <f t="shared" si="7"/>
        <v>CARF  90*5</v>
      </c>
      <c r="B41" s="33">
        <f t="shared" si="8"/>
        <v>12.839612674800991</v>
      </c>
      <c r="C41" s="17">
        <v>90</v>
      </c>
      <c r="E41" s="17">
        <v>5</v>
      </c>
      <c r="F41" s="17">
        <f t="shared" si="9"/>
        <v>5</v>
      </c>
      <c r="G41" s="17">
        <f t="shared" si="10"/>
        <v>10</v>
      </c>
      <c r="H41" s="33">
        <f t="shared" si="3"/>
        <v>16.356194490192344</v>
      </c>
      <c r="I41" s="17">
        <v>192</v>
      </c>
      <c r="J41" s="33">
        <f t="shared" si="12"/>
        <v>42.666666666666664</v>
      </c>
      <c r="K41" s="17">
        <v>51.3</v>
      </c>
      <c r="L41" s="33">
        <f t="shared" si="11"/>
        <v>3.4261745227117366</v>
      </c>
      <c r="M41" s="35">
        <f t="shared" si="5"/>
        <v>7</v>
      </c>
      <c r="N41" s="35"/>
      <c r="O41" s="35"/>
      <c r="P41" s="35"/>
      <c r="Q41" s="35"/>
      <c r="R41" s="35"/>
      <c r="S41" s="35">
        <v>316</v>
      </c>
      <c r="T41" s="17">
        <v>64.7</v>
      </c>
    </row>
    <row r="42" spans="1:20" x14ac:dyDescent="0.25">
      <c r="A42" s="32" t="str">
        <f t="shared" si="7"/>
        <v>CARF  90*6</v>
      </c>
      <c r="B42" s="33">
        <f t="shared" si="8"/>
        <v>15.097842251713429</v>
      </c>
      <c r="C42" s="17">
        <v>90</v>
      </c>
      <c r="E42" s="17">
        <v>6</v>
      </c>
      <c r="F42" s="17">
        <f t="shared" si="9"/>
        <v>6</v>
      </c>
      <c r="G42" s="17">
        <f t="shared" si="10"/>
        <v>12</v>
      </c>
      <c r="H42" s="33">
        <f t="shared" si="3"/>
        <v>19.232920065876979</v>
      </c>
      <c r="I42" s="17">
        <v>219</v>
      </c>
      <c r="J42" s="33">
        <f t="shared" si="12"/>
        <v>48.666666666666664</v>
      </c>
      <c r="K42" s="17">
        <v>59.4</v>
      </c>
      <c r="L42" s="33">
        <f t="shared" si="11"/>
        <v>3.3744223904996318</v>
      </c>
      <c r="M42" s="35">
        <f t="shared" si="5"/>
        <v>7.92</v>
      </c>
      <c r="N42" s="35"/>
      <c r="O42" s="35"/>
      <c r="P42" s="35"/>
      <c r="Q42" s="35"/>
      <c r="R42" s="35"/>
      <c r="S42" s="35">
        <v>368</v>
      </c>
      <c r="T42" s="17">
        <v>742</v>
      </c>
    </row>
    <row r="43" spans="1:20" x14ac:dyDescent="0.25">
      <c r="A43" s="32" t="str">
        <f t="shared" si="7"/>
        <v>CARF  90*6.3</v>
      </c>
      <c r="B43" s="33">
        <f t="shared" si="8"/>
        <v>15.487730110018738</v>
      </c>
      <c r="C43" s="17">
        <v>90</v>
      </c>
      <c r="E43" s="17">
        <v>6.3</v>
      </c>
      <c r="F43" s="17">
        <f t="shared" si="9"/>
        <v>9.4499999999999993</v>
      </c>
      <c r="G43" s="17">
        <f t="shared" si="10"/>
        <v>15.75</v>
      </c>
      <c r="H43" s="33">
        <f t="shared" si="3"/>
        <v>19.729592496839157</v>
      </c>
      <c r="I43" s="17">
        <v>219</v>
      </c>
      <c r="J43" s="33">
        <f t="shared" si="12"/>
        <v>48.666666666666664</v>
      </c>
      <c r="K43" s="17">
        <v>60</v>
      </c>
      <c r="L43" s="33">
        <f t="shared" si="11"/>
        <v>3.3316778367869317</v>
      </c>
      <c r="M43" s="35">
        <f t="shared" si="5"/>
        <v>7.3710000000000004</v>
      </c>
      <c r="N43" s="35"/>
      <c r="O43" s="35"/>
      <c r="P43" s="35"/>
      <c r="Q43" s="35"/>
      <c r="R43" s="35"/>
      <c r="S43" s="35">
        <v>382</v>
      </c>
      <c r="T43" s="17">
        <v>76.2</v>
      </c>
    </row>
    <row r="44" spans="1:20" x14ac:dyDescent="0.25">
      <c r="A44" s="32" t="str">
        <f t="shared" si="7"/>
        <v>CARF  90*8</v>
      </c>
      <c r="B44" s="33">
        <f t="shared" si="8"/>
        <v>18.87334459665405</v>
      </c>
      <c r="C44" s="17">
        <v>90</v>
      </c>
      <c r="E44" s="17">
        <v>8</v>
      </c>
      <c r="F44" s="17">
        <f t="shared" si="9"/>
        <v>12</v>
      </c>
      <c r="G44" s="17">
        <f t="shared" si="10"/>
        <v>20</v>
      </c>
      <c r="H44" s="33">
        <f t="shared" si="3"/>
        <v>24.042477193189871</v>
      </c>
      <c r="I44" s="17">
        <v>250</v>
      </c>
      <c r="J44" s="33">
        <f t="shared" si="12"/>
        <v>55.555555555555557</v>
      </c>
      <c r="K44" s="17">
        <v>70.7</v>
      </c>
      <c r="L44" s="33">
        <f t="shared" si="11"/>
        <v>3.2246337710371797</v>
      </c>
      <c r="M44" s="35">
        <f t="shared" si="5"/>
        <v>8</v>
      </c>
      <c r="N44" s="35"/>
      <c r="O44" s="35"/>
      <c r="P44" s="35"/>
      <c r="Q44" s="35"/>
      <c r="R44" s="35"/>
      <c r="S44" s="35">
        <v>456</v>
      </c>
      <c r="T44" s="17">
        <v>88.8</v>
      </c>
    </row>
    <row r="45" spans="1:20" x14ac:dyDescent="0.25">
      <c r="A45" s="36" t="str">
        <f t="shared" si="7"/>
        <v>CARF  100*3</v>
      </c>
      <c r="B45" s="38">
        <f t="shared" si="8"/>
        <v>8.9554605629283568</v>
      </c>
      <c r="C45" s="37">
        <v>100</v>
      </c>
      <c r="D45" s="37"/>
      <c r="E45" s="37">
        <v>3</v>
      </c>
      <c r="F45" s="37">
        <f t="shared" si="9"/>
        <v>3</v>
      </c>
      <c r="G45" s="37">
        <f t="shared" si="10"/>
        <v>6</v>
      </c>
      <c r="H45" s="38">
        <f t="shared" si="3"/>
        <v>11.408230016469245</v>
      </c>
      <c r="I45" s="37">
        <v>177</v>
      </c>
      <c r="J45" s="38">
        <f t="shared" si="12"/>
        <v>35.4</v>
      </c>
      <c r="K45" s="37">
        <v>41.2</v>
      </c>
      <c r="L45" s="38">
        <f t="shared" si="11"/>
        <v>3.9389230689175325</v>
      </c>
      <c r="M45" s="40">
        <f t="shared" si="5"/>
        <v>5.28</v>
      </c>
      <c r="N45" s="40"/>
      <c r="O45" s="40"/>
      <c r="P45" s="40"/>
      <c r="Q45" s="40"/>
      <c r="R45" s="40"/>
      <c r="S45" s="54">
        <v>279</v>
      </c>
      <c r="T45" s="41">
        <v>53.2</v>
      </c>
    </row>
    <row r="46" spans="1:20" x14ac:dyDescent="0.25">
      <c r="A46" s="42" t="str">
        <f t="shared" si="7"/>
        <v>CARF  100*4</v>
      </c>
      <c r="B46" s="44">
        <f t="shared" si="8"/>
        <v>11.734152111872634</v>
      </c>
      <c r="C46" s="43">
        <v>100</v>
      </c>
      <c r="D46" s="43"/>
      <c r="E46" s="43">
        <v>4</v>
      </c>
      <c r="F46" s="43">
        <f t="shared" si="9"/>
        <v>4</v>
      </c>
      <c r="G46" s="43">
        <f t="shared" si="10"/>
        <v>8</v>
      </c>
      <c r="H46" s="44">
        <f t="shared" si="3"/>
        <v>14.947964473723101</v>
      </c>
      <c r="I46" s="43">
        <v>226</v>
      </c>
      <c r="J46" s="44">
        <f t="shared" si="12"/>
        <v>45.2</v>
      </c>
      <c r="K46" s="43">
        <v>53.2</v>
      </c>
      <c r="L46" s="44">
        <f t="shared" si="11"/>
        <v>3.8883306711845824</v>
      </c>
      <c r="M46" s="46">
        <f t="shared" si="5"/>
        <v>6.72</v>
      </c>
      <c r="N46" s="46"/>
      <c r="O46" s="46"/>
      <c r="P46" s="46"/>
      <c r="Q46" s="46"/>
      <c r="R46" s="46"/>
      <c r="S46" s="55">
        <v>362</v>
      </c>
      <c r="T46" s="47">
        <v>68.099999999999994</v>
      </c>
    </row>
    <row r="47" spans="1:20" x14ac:dyDescent="0.25">
      <c r="A47" s="42" t="str">
        <f t="shared" si="7"/>
        <v>CARF  100*5</v>
      </c>
      <c r="B47" s="44">
        <f t="shared" si="8"/>
        <v>14.409612674800991</v>
      </c>
      <c r="C47" s="43">
        <v>100</v>
      </c>
      <c r="D47" s="43"/>
      <c r="E47" s="43">
        <v>5</v>
      </c>
      <c r="F47" s="43">
        <f t="shared" si="9"/>
        <v>5</v>
      </c>
      <c r="G47" s="43">
        <f t="shared" si="10"/>
        <v>10</v>
      </c>
      <c r="H47" s="44">
        <f t="shared" si="3"/>
        <v>18.356194490192344</v>
      </c>
      <c r="I47" s="43">
        <v>270</v>
      </c>
      <c r="J47" s="44">
        <f t="shared" si="12"/>
        <v>54</v>
      </c>
      <c r="K47" s="43">
        <v>64.5</v>
      </c>
      <c r="L47" s="44">
        <f t="shared" si="11"/>
        <v>3.835222431517292</v>
      </c>
      <c r="M47" s="46">
        <f t="shared" si="5"/>
        <v>8</v>
      </c>
      <c r="N47" s="46"/>
      <c r="O47" s="46"/>
      <c r="P47" s="46"/>
      <c r="Q47" s="46"/>
      <c r="R47" s="46"/>
      <c r="S47" s="55">
        <v>441</v>
      </c>
      <c r="T47" s="47">
        <v>81.7</v>
      </c>
    </row>
    <row r="48" spans="1:20" x14ac:dyDescent="0.25">
      <c r="A48" s="42" t="str">
        <f t="shared" si="7"/>
        <v>CARF  100*6</v>
      </c>
      <c r="B48" s="44">
        <f t="shared" si="8"/>
        <v>16.981842251713427</v>
      </c>
      <c r="C48" s="43">
        <v>100</v>
      </c>
      <c r="D48" s="43"/>
      <c r="E48" s="43">
        <v>6</v>
      </c>
      <c r="F48" s="43">
        <f t="shared" si="9"/>
        <v>6</v>
      </c>
      <c r="G48" s="43">
        <f t="shared" si="10"/>
        <v>12</v>
      </c>
      <c r="H48" s="44">
        <f t="shared" si="3"/>
        <v>21.632920065876981</v>
      </c>
      <c r="I48" s="43">
        <v>310</v>
      </c>
      <c r="J48" s="44">
        <f t="shared" si="12"/>
        <v>62</v>
      </c>
      <c r="K48" s="43">
        <v>74.900000000000006</v>
      </c>
      <c r="L48" s="44">
        <f t="shared" si="11"/>
        <v>3.7855002058735319</v>
      </c>
      <c r="M48" s="46">
        <f t="shared" si="5"/>
        <v>9.120000000000001</v>
      </c>
      <c r="N48" s="46"/>
      <c r="O48" s="46"/>
      <c r="P48" s="46"/>
      <c r="Q48" s="46"/>
      <c r="R48" s="46"/>
      <c r="S48" s="55">
        <v>514</v>
      </c>
      <c r="T48" s="47">
        <v>94.1</v>
      </c>
    </row>
    <row r="49" spans="1:20" x14ac:dyDescent="0.25">
      <c r="A49" s="42" t="str">
        <f t="shared" si="7"/>
        <v>CARF  100*6.3</v>
      </c>
      <c r="B49" s="44">
        <f t="shared" si="8"/>
        <v>17.465930110018743</v>
      </c>
      <c r="C49" s="43">
        <v>100</v>
      </c>
      <c r="D49" s="43"/>
      <c r="E49" s="43">
        <v>6.3</v>
      </c>
      <c r="F49" s="43">
        <f t="shared" si="9"/>
        <v>9.4499999999999993</v>
      </c>
      <c r="G49" s="43">
        <f t="shared" si="10"/>
        <v>15.75</v>
      </c>
      <c r="H49" s="44">
        <f t="shared" si="3"/>
        <v>22.24959249683916</v>
      </c>
      <c r="I49" s="43">
        <v>311</v>
      </c>
      <c r="J49" s="44">
        <f t="shared" si="12"/>
        <v>62.2</v>
      </c>
      <c r="K49" s="43">
        <v>76.099999999999994</v>
      </c>
      <c r="L49" s="44">
        <f t="shared" si="11"/>
        <v>3.738687482191049</v>
      </c>
      <c r="M49" s="46">
        <f t="shared" si="5"/>
        <v>8.6310000000000002</v>
      </c>
      <c r="N49" s="46"/>
      <c r="O49" s="46"/>
      <c r="P49" s="46"/>
      <c r="Q49" s="46"/>
      <c r="R49" s="46"/>
      <c r="S49" s="55">
        <v>536</v>
      </c>
      <c r="T49" s="47">
        <v>97</v>
      </c>
    </row>
    <row r="50" spans="1:20" x14ac:dyDescent="0.25">
      <c r="A50" s="42" t="str">
        <f t="shared" si="7"/>
        <v>CARF  100*8</v>
      </c>
      <c r="B50" s="44">
        <f t="shared" si="8"/>
        <v>21.385344596654047</v>
      </c>
      <c r="C50" s="43">
        <v>100</v>
      </c>
      <c r="D50" s="43"/>
      <c r="E50" s="43">
        <v>8</v>
      </c>
      <c r="F50" s="43">
        <f t="shared" si="9"/>
        <v>12</v>
      </c>
      <c r="G50" s="43">
        <f t="shared" si="10"/>
        <v>20</v>
      </c>
      <c r="H50" s="44">
        <f t="shared" si="3"/>
        <v>27.24247719318987</v>
      </c>
      <c r="I50" s="43">
        <v>360</v>
      </c>
      <c r="J50" s="44">
        <f t="shared" si="12"/>
        <v>72</v>
      </c>
      <c r="K50" s="43">
        <v>90.4</v>
      </c>
      <c r="L50" s="44">
        <f t="shared" si="11"/>
        <v>3.6351970092311241</v>
      </c>
      <c r="M50" s="46">
        <f t="shared" si="5"/>
        <v>9.6</v>
      </c>
      <c r="N50" s="46"/>
      <c r="O50" s="46"/>
      <c r="P50" s="46"/>
      <c r="Q50" s="46"/>
      <c r="R50" s="46"/>
      <c r="S50" s="55">
        <v>645</v>
      </c>
      <c r="T50" s="47">
        <v>114</v>
      </c>
    </row>
    <row r="51" spans="1:20" x14ac:dyDescent="0.25">
      <c r="A51" s="42" t="str">
        <f t="shared" si="7"/>
        <v>CARF  100*10</v>
      </c>
      <c r="B51" s="44">
        <f t="shared" si="8"/>
        <v>25.564600932271951</v>
      </c>
      <c r="C51" s="43">
        <v>100</v>
      </c>
      <c r="D51" s="43"/>
      <c r="E51" s="43">
        <v>10</v>
      </c>
      <c r="F51" s="43">
        <f t="shared" si="9"/>
        <v>15</v>
      </c>
      <c r="G51" s="43">
        <f t="shared" si="10"/>
        <v>25</v>
      </c>
      <c r="H51" s="44">
        <f t="shared" si="3"/>
        <v>32.566370614359172</v>
      </c>
      <c r="I51" s="43">
        <v>400</v>
      </c>
      <c r="J51" s="44">
        <f t="shared" si="12"/>
        <v>80</v>
      </c>
      <c r="K51" s="43">
        <v>104</v>
      </c>
      <c r="L51" s="44">
        <f t="shared" si="11"/>
        <v>3.5046553465496788</v>
      </c>
      <c r="M51" s="46">
        <f t="shared" si="5"/>
        <v>10</v>
      </c>
      <c r="N51" s="46"/>
      <c r="O51" s="46"/>
      <c r="P51" s="46"/>
      <c r="Q51" s="46"/>
      <c r="R51" s="46"/>
      <c r="S51" s="55">
        <v>750</v>
      </c>
      <c r="T51" s="47">
        <v>130</v>
      </c>
    </row>
    <row r="52" spans="1:20" x14ac:dyDescent="0.25">
      <c r="A52" s="42" t="str">
        <f t="shared" si="7"/>
        <v>CARF  100*12</v>
      </c>
      <c r="B52" s="44">
        <f t="shared" si="8"/>
        <v>28.306681678089518</v>
      </c>
      <c r="C52" s="43">
        <v>100</v>
      </c>
      <c r="D52" s="43"/>
      <c r="E52" s="43">
        <v>12</v>
      </c>
      <c r="F52" s="43">
        <f t="shared" si="9"/>
        <v>24</v>
      </c>
      <c r="G52" s="43">
        <f t="shared" si="10"/>
        <v>36</v>
      </c>
      <c r="H52" s="44">
        <f t="shared" si="3"/>
        <v>36.059467105846515</v>
      </c>
      <c r="I52" s="43">
        <v>382</v>
      </c>
      <c r="J52" s="44">
        <f t="shared" si="12"/>
        <v>76.400000000000006</v>
      </c>
      <c r="K52" s="43">
        <v>107</v>
      </c>
      <c r="L52" s="44">
        <f t="shared" si="11"/>
        <v>3.2547829273905253</v>
      </c>
      <c r="M52" s="46">
        <f t="shared" si="5"/>
        <v>6.72</v>
      </c>
      <c r="N52" s="46"/>
      <c r="O52" s="46"/>
      <c r="P52" s="46"/>
      <c r="Q52" s="46"/>
      <c r="R52" s="46"/>
      <c r="S52" s="55">
        <v>794</v>
      </c>
      <c r="T52" s="47">
        <v>136</v>
      </c>
    </row>
    <row r="53" spans="1:20" x14ac:dyDescent="0.25">
      <c r="A53" s="48" t="str">
        <f t="shared" si="7"/>
        <v>CARF  100*12.5</v>
      </c>
      <c r="B53" s="50">
        <f t="shared" si="8"/>
        <v>29.079298695843654</v>
      </c>
      <c r="C53" s="49">
        <v>100</v>
      </c>
      <c r="D53" s="49"/>
      <c r="E53" s="49">
        <v>12.5</v>
      </c>
      <c r="F53" s="49">
        <f t="shared" si="9"/>
        <v>25</v>
      </c>
      <c r="G53" s="49">
        <f t="shared" si="10"/>
        <v>37.5</v>
      </c>
      <c r="H53" s="50">
        <f t="shared" si="3"/>
        <v>37.043692606170261</v>
      </c>
      <c r="I53" s="49">
        <v>381</v>
      </c>
      <c r="J53" s="50">
        <f t="shared" si="12"/>
        <v>76.2</v>
      </c>
      <c r="K53" s="49">
        <v>108</v>
      </c>
      <c r="L53" s="50">
        <f t="shared" si="11"/>
        <v>3.207047201782228</v>
      </c>
      <c r="M53" s="52">
        <f t="shared" si="5"/>
        <v>6.25</v>
      </c>
      <c r="N53" s="52"/>
      <c r="O53" s="52"/>
      <c r="P53" s="52"/>
      <c r="Q53" s="52"/>
      <c r="R53" s="52"/>
      <c r="S53" s="56">
        <v>804</v>
      </c>
      <c r="T53" s="53">
        <v>137</v>
      </c>
    </row>
    <row r="54" spans="1:20" x14ac:dyDescent="0.25">
      <c r="A54" s="32" t="str">
        <f t="shared" si="7"/>
        <v>CARF  120*3</v>
      </c>
      <c r="B54" s="33">
        <f t="shared" si="8"/>
        <v>10.839460562928357</v>
      </c>
      <c r="C54" s="17">
        <v>120</v>
      </c>
      <c r="E54" s="17">
        <v>3</v>
      </c>
      <c r="F54" s="17">
        <f t="shared" si="9"/>
        <v>3</v>
      </c>
      <c r="G54" s="17">
        <f t="shared" si="10"/>
        <v>6</v>
      </c>
      <c r="H54" s="33">
        <f t="shared" si="3"/>
        <v>13.808230016469246</v>
      </c>
      <c r="I54" s="17">
        <v>312</v>
      </c>
      <c r="J54" s="33">
        <f t="shared" si="12"/>
        <v>52</v>
      </c>
      <c r="K54" s="17">
        <v>60.2</v>
      </c>
      <c r="L54" s="33">
        <f t="shared" si="11"/>
        <v>4.7534430005768282</v>
      </c>
      <c r="M54" s="35">
        <f t="shared" si="5"/>
        <v>6.48</v>
      </c>
      <c r="N54" s="35"/>
      <c r="O54" s="35"/>
      <c r="P54" s="35"/>
      <c r="Q54" s="35"/>
      <c r="R54" s="35"/>
      <c r="S54" s="57">
        <v>488</v>
      </c>
      <c r="T54" s="17">
        <v>78.2</v>
      </c>
    </row>
    <row r="55" spans="1:20" x14ac:dyDescent="0.25">
      <c r="A55" s="32" t="str">
        <f t="shared" si="7"/>
        <v>CARF  120*4</v>
      </c>
      <c r="B55" s="33">
        <f t="shared" si="8"/>
        <v>14.246152111872632</v>
      </c>
      <c r="C55" s="17">
        <v>120</v>
      </c>
      <c r="E55" s="17">
        <v>4</v>
      </c>
      <c r="F55" s="17">
        <f t="shared" si="9"/>
        <v>4</v>
      </c>
      <c r="G55" s="17">
        <f t="shared" si="10"/>
        <v>8</v>
      </c>
      <c r="H55" s="33">
        <f t="shared" si="3"/>
        <v>18.1479644737231</v>
      </c>
      <c r="I55" s="17">
        <v>402</v>
      </c>
      <c r="J55" s="33">
        <f t="shared" si="12"/>
        <v>67</v>
      </c>
      <c r="K55" s="17">
        <v>78.3</v>
      </c>
      <c r="L55" s="33">
        <f t="shared" si="11"/>
        <v>4.7065108729577618</v>
      </c>
      <c r="M55" s="35">
        <f t="shared" si="5"/>
        <v>8.32</v>
      </c>
      <c r="N55" s="35"/>
      <c r="O55" s="35"/>
      <c r="P55" s="35"/>
      <c r="Q55" s="35"/>
      <c r="R55" s="35"/>
      <c r="S55" s="57">
        <v>637</v>
      </c>
      <c r="T55" s="17">
        <v>101</v>
      </c>
    </row>
    <row r="56" spans="1:20" x14ac:dyDescent="0.25">
      <c r="A56" s="32" t="str">
        <f t="shared" si="7"/>
        <v>CARF  120*5</v>
      </c>
      <c r="B56" s="33">
        <f t="shared" si="8"/>
        <v>17.549612674800994</v>
      </c>
      <c r="C56" s="17">
        <v>120</v>
      </c>
      <c r="E56" s="17">
        <v>5</v>
      </c>
      <c r="F56" s="17">
        <f t="shared" si="9"/>
        <v>5</v>
      </c>
      <c r="G56" s="17">
        <f t="shared" si="10"/>
        <v>10</v>
      </c>
      <c r="H56" s="33">
        <f t="shared" si="3"/>
        <v>22.356194490192348</v>
      </c>
      <c r="I56" s="17">
        <v>484</v>
      </c>
      <c r="J56" s="33">
        <f t="shared" si="12"/>
        <v>80.666666666666671</v>
      </c>
      <c r="K56" s="17">
        <v>95.4</v>
      </c>
      <c r="L56" s="33">
        <f t="shared" si="11"/>
        <v>4.6529002405992657</v>
      </c>
      <c r="M56" s="35">
        <f t="shared" si="5"/>
        <v>10</v>
      </c>
      <c r="N56" s="35"/>
      <c r="O56" s="35"/>
      <c r="P56" s="35"/>
      <c r="Q56" s="35"/>
      <c r="R56" s="35"/>
      <c r="S56" s="57">
        <v>778</v>
      </c>
      <c r="T56" s="17">
        <v>122</v>
      </c>
    </row>
    <row r="57" spans="1:20" x14ac:dyDescent="0.25">
      <c r="A57" s="32" t="str">
        <f t="shared" si="7"/>
        <v>CARF  120*6</v>
      </c>
      <c r="B57" s="33">
        <f t="shared" si="8"/>
        <v>20.749842251713428</v>
      </c>
      <c r="C57" s="17">
        <v>120</v>
      </c>
      <c r="E57" s="17">
        <v>6</v>
      </c>
      <c r="F57" s="17">
        <f t="shared" si="9"/>
        <v>6</v>
      </c>
      <c r="G57" s="17">
        <f t="shared" si="10"/>
        <v>12</v>
      </c>
      <c r="H57" s="33">
        <f t="shared" si="3"/>
        <v>26.432920065876978</v>
      </c>
      <c r="I57" s="17">
        <v>560</v>
      </c>
      <c r="J57" s="33">
        <f t="shared" si="12"/>
        <v>93.333333333333329</v>
      </c>
      <c r="K57" s="17">
        <v>111</v>
      </c>
      <c r="L57" s="33">
        <f t="shared" si="11"/>
        <v>4.6027929813668269</v>
      </c>
      <c r="M57" s="35">
        <f t="shared" si="5"/>
        <v>11.52</v>
      </c>
      <c r="N57" s="35"/>
      <c r="O57" s="35"/>
      <c r="P57" s="35"/>
      <c r="Q57" s="35"/>
      <c r="R57" s="35"/>
      <c r="S57" s="57">
        <v>913</v>
      </c>
      <c r="T57" s="17">
        <v>141</v>
      </c>
    </row>
    <row r="58" spans="1:20" x14ac:dyDescent="0.25">
      <c r="A58" s="32" t="str">
        <f t="shared" si="7"/>
        <v>CARF  120*6.3</v>
      </c>
      <c r="B58" s="33">
        <f t="shared" si="8"/>
        <v>21.422330110018738</v>
      </c>
      <c r="C58" s="17">
        <v>120</v>
      </c>
      <c r="E58" s="17">
        <v>6.3</v>
      </c>
      <c r="F58" s="17">
        <f t="shared" si="9"/>
        <v>9.4499999999999993</v>
      </c>
      <c r="G58" s="17">
        <f t="shared" si="10"/>
        <v>15.75</v>
      </c>
      <c r="H58" s="33">
        <f t="shared" si="3"/>
        <v>27.289592496839155</v>
      </c>
      <c r="I58" s="17">
        <v>568</v>
      </c>
      <c r="J58" s="33">
        <f t="shared" si="12"/>
        <v>94.666666666666671</v>
      </c>
      <c r="K58" s="17">
        <v>114</v>
      </c>
      <c r="L58" s="33">
        <f t="shared" si="11"/>
        <v>4.562213891449364</v>
      </c>
      <c r="M58" s="35">
        <f t="shared" si="5"/>
        <v>11.151</v>
      </c>
      <c r="N58" s="35"/>
      <c r="O58" s="35"/>
      <c r="P58" s="35"/>
      <c r="Q58" s="35"/>
      <c r="R58" s="35"/>
      <c r="S58" s="57">
        <v>955</v>
      </c>
      <c r="T58" s="17">
        <v>146</v>
      </c>
    </row>
    <row r="59" spans="1:20" x14ac:dyDescent="0.25">
      <c r="A59" s="32" t="str">
        <f t="shared" si="7"/>
        <v>CARF  120*8</v>
      </c>
      <c r="B59" s="33">
        <f t="shared" si="8"/>
        <v>26.409344596654048</v>
      </c>
      <c r="C59" s="17">
        <v>120</v>
      </c>
      <c r="E59" s="17">
        <v>8</v>
      </c>
      <c r="F59" s="17">
        <f t="shared" si="9"/>
        <v>12</v>
      </c>
      <c r="G59" s="17">
        <f t="shared" si="10"/>
        <v>20</v>
      </c>
      <c r="H59" s="33">
        <f t="shared" si="3"/>
        <v>33.642477193189869</v>
      </c>
      <c r="I59" s="17">
        <v>670</v>
      </c>
      <c r="J59" s="33">
        <f t="shared" si="12"/>
        <v>111.66666666666667</v>
      </c>
      <c r="K59" s="17">
        <v>137</v>
      </c>
      <c r="L59" s="33">
        <f t="shared" si="11"/>
        <v>4.4626560729921838</v>
      </c>
      <c r="M59" s="35">
        <f t="shared" si="5"/>
        <v>12.8</v>
      </c>
      <c r="N59" s="35"/>
      <c r="O59" s="35"/>
      <c r="P59" s="35"/>
      <c r="Q59" s="35"/>
      <c r="R59" s="35"/>
      <c r="S59" s="57">
        <v>1163</v>
      </c>
      <c r="T59" s="17">
        <v>175</v>
      </c>
    </row>
    <row r="60" spans="1:20" x14ac:dyDescent="0.25">
      <c r="A60" s="32" t="str">
        <f t="shared" si="7"/>
        <v>CARF  120*10</v>
      </c>
      <c r="B60" s="33">
        <f t="shared" si="8"/>
        <v>31.844600932271952</v>
      </c>
      <c r="C60" s="17">
        <v>120</v>
      </c>
      <c r="E60" s="17">
        <v>10</v>
      </c>
      <c r="F60" s="17">
        <f t="shared" si="9"/>
        <v>15</v>
      </c>
      <c r="G60" s="17">
        <f t="shared" si="10"/>
        <v>25</v>
      </c>
      <c r="H60" s="33">
        <f t="shared" si="3"/>
        <v>40.56637061435918</v>
      </c>
      <c r="I60" s="17">
        <v>763</v>
      </c>
      <c r="J60" s="33">
        <f t="shared" si="12"/>
        <v>127.16666666666667</v>
      </c>
      <c r="K60" s="17">
        <v>161</v>
      </c>
      <c r="L60" s="33">
        <f t="shared" si="11"/>
        <v>4.3368978392643793</v>
      </c>
      <c r="M60" s="35">
        <f t="shared" si="5"/>
        <v>14</v>
      </c>
      <c r="N60" s="35"/>
      <c r="O60" s="35"/>
      <c r="P60" s="35"/>
      <c r="Q60" s="35"/>
      <c r="R60" s="35"/>
      <c r="S60" s="57">
        <v>1376</v>
      </c>
      <c r="T60" s="17">
        <v>203</v>
      </c>
    </row>
    <row r="61" spans="1:20" x14ac:dyDescent="0.25">
      <c r="A61" s="32" t="str">
        <f t="shared" si="7"/>
        <v>CARF  120*12</v>
      </c>
      <c r="B61" s="33">
        <f t="shared" si="8"/>
        <v>35.842681678089512</v>
      </c>
      <c r="C61" s="17">
        <v>120</v>
      </c>
      <c r="E61" s="17">
        <v>12</v>
      </c>
      <c r="F61" s="17">
        <f t="shared" si="9"/>
        <v>24</v>
      </c>
      <c r="G61" s="17">
        <f t="shared" si="10"/>
        <v>36</v>
      </c>
      <c r="H61" s="33">
        <f t="shared" si="3"/>
        <v>45.65946710584651</v>
      </c>
      <c r="I61" s="17">
        <v>774</v>
      </c>
      <c r="J61" s="33">
        <f t="shared" si="12"/>
        <v>129</v>
      </c>
      <c r="K61" s="17">
        <v>171</v>
      </c>
      <c r="L61" s="33">
        <f t="shared" si="11"/>
        <v>4.1172293601347096</v>
      </c>
      <c r="M61" s="35">
        <f t="shared" si="5"/>
        <v>11.52</v>
      </c>
      <c r="N61" s="35"/>
      <c r="O61" s="35"/>
      <c r="P61" s="35"/>
      <c r="Q61" s="35"/>
      <c r="R61" s="35"/>
      <c r="S61" s="57">
        <v>1518</v>
      </c>
      <c r="T61" s="17">
        <v>219</v>
      </c>
    </row>
    <row r="62" spans="1:20" x14ac:dyDescent="0.25">
      <c r="A62" s="32" t="str">
        <f t="shared" si="7"/>
        <v>CARF  120*12.5</v>
      </c>
      <c r="B62" s="33">
        <f t="shared" si="8"/>
        <v>36.929298695843656</v>
      </c>
      <c r="C62" s="17">
        <v>120</v>
      </c>
      <c r="E62" s="17">
        <v>12.5</v>
      </c>
      <c r="F62" s="17">
        <f t="shared" si="9"/>
        <v>25</v>
      </c>
      <c r="G62" s="17">
        <f t="shared" si="10"/>
        <v>37.5</v>
      </c>
      <c r="H62" s="33">
        <f t="shared" si="3"/>
        <v>47.043692606170261</v>
      </c>
      <c r="I62" s="17">
        <v>781</v>
      </c>
      <c r="J62" s="33">
        <f t="shared" si="12"/>
        <v>130.16666666666666</v>
      </c>
      <c r="K62" s="17">
        <v>174</v>
      </c>
      <c r="L62" s="33">
        <f t="shared" si="11"/>
        <v>4.0745046255647273</v>
      </c>
      <c r="M62" s="35">
        <f t="shared" si="5"/>
        <v>11.25</v>
      </c>
      <c r="N62" s="35"/>
      <c r="O62" s="35"/>
      <c r="P62" s="35"/>
      <c r="Q62" s="35"/>
      <c r="R62" s="35"/>
      <c r="S62" s="57">
        <v>1551</v>
      </c>
      <c r="T62" s="17">
        <v>223</v>
      </c>
    </row>
    <row r="63" spans="1:20" x14ac:dyDescent="0.25">
      <c r="A63" s="36" t="str">
        <f t="shared" si="7"/>
        <v>CARF  140*4</v>
      </c>
      <c r="B63" s="38">
        <f t="shared" si="8"/>
        <v>16.758152111872633</v>
      </c>
      <c r="C63" s="37">
        <v>140</v>
      </c>
      <c r="D63" s="37"/>
      <c r="E63" s="37">
        <v>4</v>
      </c>
      <c r="F63" s="37">
        <f t="shared" si="9"/>
        <v>4</v>
      </c>
      <c r="G63" s="37">
        <f t="shared" si="10"/>
        <v>8</v>
      </c>
      <c r="H63" s="38">
        <f t="shared" si="3"/>
        <v>21.347964473723099</v>
      </c>
      <c r="I63" s="54">
        <v>651</v>
      </c>
      <c r="J63" s="38">
        <f t="shared" si="12"/>
        <v>93</v>
      </c>
      <c r="K63" s="37">
        <v>108</v>
      </c>
      <c r="L63" s="38">
        <f t="shared" si="11"/>
        <v>5.5222016143093438</v>
      </c>
      <c r="M63" s="40">
        <f t="shared" si="5"/>
        <v>9.92</v>
      </c>
      <c r="N63" s="40"/>
      <c r="O63" s="40"/>
      <c r="P63" s="40"/>
      <c r="Q63" s="40"/>
      <c r="R63" s="40"/>
      <c r="S63" s="54">
        <v>1023</v>
      </c>
      <c r="T63" s="41">
        <v>140</v>
      </c>
    </row>
    <row r="64" spans="1:20" x14ac:dyDescent="0.25">
      <c r="A64" s="42" t="str">
        <f t="shared" si="7"/>
        <v>CARF  140*5</v>
      </c>
      <c r="B64" s="44">
        <f t="shared" si="8"/>
        <v>20.689612674800994</v>
      </c>
      <c r="C64" s="43">
        <v>140</v>
      </c>
      <c r="D64" s="43"/>
      <c r="E64" s="43">
        <v>5</v>
      </c>
      <c r="F64" s="43">
        <f t="shared" si="9"/>
        <v>5</v>
      </c>
      <c r="G64" s="43">
        <f t="shared" si="10"/>
        <v>10</v>
      </c>
      <c r="H64" s="44">
        <f t="shared" si="3"/>
        <v>26.356194490192348</v>
      </c>
      <c r="I64" s="55">
        <v>789</v>
      </c>
      <c r="J64" s="44">
        <f t="shared" si="12"/>
        <v>112.71428571428571</v>
      </c>
      <c r="K64" s="43">
        <v>132</v>
      </c>
      <c r="L64" s="44">
        <f t="shared" si="11"/>
        <v>5.4713834164819986</v>
      </c>
      <c r="M64" s="46">
        <f t="shared" si="5"/>
        <v>12</v>
      </c>
      <c r="N64" s="46"/>
      <c r="O64" s="46"/>
      <c r="P64" s="46"/>
      <c r="Q64" s="46"/>
      <c r="R64" s="46"/>
      <c r="S64" s="55">
        <v>1256</v>
      </c>
      <c r="T64" s="47">
        <v>170</v>
      </c>
    </row>
    <row r="65" spans="1:20" x14ac:dyDescent="0.25">
      <c r="A65" s="42" t="str">
        <f t="shared" si="7"/>
        <v>CARF  140*6</v>
      </c>
      <c r="B65" s="44">
        <f t="shared" si="8"/>
        <v>24.517842251713429</v>
      </c>
      <c r="C65" s="43">
        <v>140</v>
      </c>
      <c r="D65" s="43"/>
      <c r="E65" s="43">
        <v>6</v>
      </c>
      <c r="F65" s="43">
        <f t="shared" si="9"/>
        <v>6</v>
      </c>
      <c r="G65" s="43">
        <f t="shared" si="10"/>
        <v>12</v>
      </c>
      <c r="H65" s="44">
        <f t="shared" si="3"/>
        <v>31.232920065876979</v>
      </c>
      <c r="I65" s="55">
        <v>918</v>
      </c>
      <c r="J65" s="44">
        <f t="shared" si="12"/>
        <v>131.14285714285714</v>
      </c>
      <c r="K65" s="43">
        <v>155</v>
      </c>
      <c r="L65" s="44">
        <f t="shared" si="11"/>
        <v>5.4214448687405783</v>
      </c>
      <c r="M65" s="46">
        <f t="shared" si="5"/>
        <v>13.92</v>
      </c>
      <c r="N65" s="46"/>
      <c r="O65" s="46"/>
      <c r="P65" s="46"/>
      <c r="Q65" s="46"/>
      <c r="R65" s="46"/>
      <c r="S65" s="55">
        <v>1479</v>
      </c>
      <c r="T65" s="47">
        <v>198</v>
      </c>
    </row>
    <row r="66" spans="1:20" x14ac:dyDescent="0.25">
      <c r="A66" s="42" t="str">
        <f t="shared" si="7"/>
        <v>CARF  140*6.3</v>
      </c>
      <c r="B66" s="44">
        <f t="shared" si="8"/>
        <v>25.378730110018736</v>
      </c>
      <c r="C66" s="43">
        <v>140</v>
      </c>
      <c r="D66" s="43"/>
      <c r="E66" s="43">
        <v>6.3</v>
      </c>
      <c r="F66" s="43">
        <f t="shared" si="9"/>
        <v>9.4499999999999993</v>
      </c>
      <c r="G66" s="43">
        <f t="shared" si="10"/>
        <v>15.75</v>
      </c>
      <c r="H66" s="44">
        <f t="shared" si="3"/>
        <v>32.329592496839155</v>
      </c>
      <c r="I66" s="55">
        <v>937</v>
      </c>
      <c r="J66" s="44">
        <f t="shared" si="12"/>
        <v>133.85714285714286</v>
      </c>
      <c r="K66" s="43">
        <v>159</v>
      </c>
      <c r="L66" s="44">
        <f t="shared" si="11"/>
        <v>5.3835615190143793</v>
      </c>
      <c r="M66" s="46">
        <f t="shared" si="5"/>
        <v>13.670999999999999</v>
      </c>
      <c r="N66" s="46"/>
      <c r="O66" s="46"/>
      <c r="P66" s="46"/>
      <c r="Q66" s="46"/>
      <c r="R66" s="46"/>
      <c r="S66" s="55">
        <v>1550</v>
      </c>
      <c r="T66" s="47">
        <v>205</v>
      </c>
    </row>
    <row r="67" spans="1:20" x14ac:dyDescent="0.25">
      <c r="A67" s="42" t="str">
        <f t="shared" si="7"/>
        <v>CARF  140*8</v>
      </c>
      <c r="B67" s="44">
        <f t="shared" si="8"/>
        <v>31.433344596654056</v>
      </c>
      <c r="C67" s="43">
        <v>140</v>
      </c>
      <c r="D67" s="43"/>
      <c r="E67" s="43">
        <v>8</v>
      </c>
      <c r="F67" s="43">
        <f t="shared" si="9"/>
        <v>12</v>
      </c>
      <c r="G67" s="43">
        <f t="shared" si="10"/>
        <v>20</v>
      </c>
      <c r="H67" s="44">
        <f t="shared" si="3"/>
        <v>40.042477193189875</v>
      </c>
      <c r="I67" s="55">
        <v>1119</v>
      </c>
      <c r="J67" s="44">
        <f t="shared" si="12"/>
        <v>159.85714285714286</v>
      </c>
      <c r="K67" s="43">
        <v>194</v>
      </c>
      <c r="L67" s="44">
        <f t="shared" si="11"/>
        <v>5.2863337036942708</v>
      </c>
      <c r="M67" s="46">
        <f t="shared" si="5"/>
        <v>16</v>
      </c>
      <c r="N67" s="46"/>
      <c r="O67" s="46"/>
      <c r="P67" s="46"/>
      <c r="Q67" s="46"/>
      <c r="R67" s="46"/>
      <c r="S67" s="55">
        <v>1901</v>
      </c>
      <c r="T67" s="47">
        <v>248</v>
      </c>
    </row>
    <row r="68" spans="1:20" x14ac:dyDescent="0.25">
      <c r="A68" s="42" t="str">
        <f t="shared" si="7"/>
        <v>CARF  140*10</v>
      </c>
      <c r="B68" s="44">
        <f>(H68*7850)/10000</f>
        <v>38.124600932271953</v>
      </c>
      <c r="C68" s="43">
        <v>140</v>
      </c>
      <c r="D68" s="43"/>
      <c r="E68" s="43">
        <v>10</v>
      </c>
      <c r="F68" s="43">
        <f t="shared" si="9"/>
        <v>15</v>
      </c>
      <c r="G68" s="43">
        <f t="shared" si="10"/>
        <v>25</v>
      </c>
      <c r="H68" s="44">
        <f t="shared" ref="H68:H131" si="13">(4*(C68-2*G68)*E68+PI()*(G68^2-F68^2))*0.01</f>
        <v>48.56637061435918</v>
      </c>
      <c r="I68" s="55">
        <v>1296</v>
      </c>
      <c r="J68" s="44">
        <f t="shared" si="12"/>
        <v>185.14285714285714</v>
      </c>
      <c r="K68" s="43">
        <v>229</v>
      </c>
      <c r="L68" s="44">
        <f t="shared" si="11"/>
        <v>5.1657653626192754</v>
      </c>
      <c r="M68" s="46">
        <f t="shared" ref="M68:M131" si="14">2*(C68-2*G68)*E68*0.01</f>
        <v>18</v>
      </c>
      <c r="N68" s="46"/>
      <c r="O68" s="46"/>
      <c r="P68" s="46"/>
      <c r="Q68" s="46"/>
      <c r="R68" s="46"/>
      <c r="S68" s="55">
        <v>2274</v>
      </c>
      <c r="T68" s="47">
        <v>291</v>
      </c>
    </row>
    <row r="69" spans="1:20" x14ac:dyDescent="0.25">
      <c r="A69" s="42" t="str">
        <f t="shared" si="7"/>
        <v>CARF  140*12</v>
      </c>
      <c r="B69" s="44">
        <f>(H69*7850)/10000</f>
        <v>43.378681678089514</v>
      </c>
      <c r="C69" s="43">
        <v>140</v>
      </c>
      <c r="D69" s="43"/>
      <c r="E69" s="43">
        <v>12</v>
      </c>
      <c r="F69" s="43">
        <f t="shared" si="9"/>
        <v>24</v>
      </c>
      <c r="G69" s="43">
        <f t="shared" si="10"/>
        <v>36</v>
      </c>
      <c r="H69" s="44">
        <f t="shared" si="13"/>
        <v>55.259467105846511</v>
      </c>
      <c r="I69" s="55">
        <v>1361</v>
      </c>
      <c r="J69" s="44">
        <f t="shared" si="12"/>
        <v>194.42857142857142</v>
      </c>
      <c r="K69" s="43">
        <v>250</v>
      </c>
      <c r="L69" s="44">
        <f t="shared" si="11"/>
        <v>4.9627879191380906</v>
      </c>
      <c r="M69" s="46">
        <f t="shared" si="14"/>
        <v>16.32</v>
      </c>
      <c r="N69" s="46"/>
      <c r="O69" s="46"/>
      <c r="P69" s="46"/>
      <c r="Q69" s="46"/>
      <c r="R69" s="46"/>
      <c r="S69" s="55">
        <v>2567</v>
      </c>
      <c r="T69" s="47">
        <v>322</v>
      </c>
    </row>
    <row r="70" spans="1:20" x14ac:dyDescent="0.25">
      <c r="A70" s="48" t="str">
        <f t="shared" si="7"/>
        <v>CARF  140*12.5</v>
      </c>
      <c r="B70" s="50">
        <f>(H70*7850)/10000</f>
        <v>44.779298695843657</v>
      </c>
      <c r="C70" s="49">
        <v>140</v>
      </c>
      <c r="D70" s="49"/>
      <c r="E70" s="49">
        <v>12.5</v>
      </c>
      <c r="F70" s="49">
        <f t="shared" si="9"/>
        <v>25</v>
      </c>
      <c r="G70" s="49">
        <f t="shared" si="10"/>
        <v>37.5</v>
      </c>
      <c r="H70" s="50">
        <f t="shared" si="13"/>
        <v>57.043692606170261</v>
      </c>
      <c r="I70" s="56">
        <v>1383</v>
      </c>
      <c r="J70" s="50">
        <f t="shared" si="12"/>
        <v>197.57142857142858</v>
      </c>
      <c r="K70" s="49">
        <v>256</v>
      </c>
      <c r="L70" s="50">
        <f t="shared" si="11"/>
        <v>4.9238778958538338</v>
      </c>
      <c r="M70" s="52">
        <f t="shared" si="14"/>
        <v>16.25</v>
      </c>
      <c r="N70" s="52"/>
      <c r="O70" s="52"/>
      <c r="P70" s="52"/>
      <c r="Q70" s="52"/>
      <c r="R70" s="52"/>
      <c r="S70" s="56">
        <v>2634</v>
      </c>
      <c r="T70" s="53">
        <v>329</v>
      </c>
    </row>
    <row r="71" spans="1:20" x14ac:dyDescent="0.25">
      <c r="A71" s="32" t="str">
        <f t="shared" si="7"/>
        <v>CARF  150*4</v>
      </c>
      <c r="B71" s="33">
        <f t="shared" si="8"/>
        <v>18.014152111872633</v>
      </c>
      <c r="C71" s="17">
        <v>150</v>
      </c>
      <c r="E71" s="17">
        <v>4</v>
      </c>
      <c r="F71" s="17">
        <f t="shared" si="9"/>
        <v>4</v>
      </c>
      <c r="G71" s="17">
        <f t="shared" si="10"/>
        <v>8</v>
      </c>
      <c r="H71" s="33">
        <f t="shared" si="13"/>
        <v>22.947964473723101</v>
      </c>
      <c r="I71" s="57">
        <v>807</v>
      </c>
      <c r="J71" s="33">
        <f t="shared" si="12"/>
        <v>107.6</v>
      </c>
      <c r="K71" s="17">
        <v>125</v>
      </c>
      <c r="L71" s="33">
        <f t="shared" si="11"/>
        <v>5.9301364023408514</v>
      </c>
      <c r="M71" s="35">
        <f t="shared" si="14"/>
        <v>10.72</v>
      </c>
      <c r="N71" s="35"/>
      <c r="O71" s="35"/>
      <c r="P71" s="35"/>
      <c r="Q71" s="35"/>
      <c r="R71" s="35"/>
      <c r="S71" s="57">
        <v>1265</v>
      </c>
      <c r="T71" s="17">
        <v>162</v>
      </c>
    </row>
    <row r="72" spans="1:20" x14ac:dyDescent="0.25">
      <c r="A72" s="32" t="str">
        <f t="shared" si="7"/>
        <v>CARF  150*5</v>
      </c>
      <c r="B72" s="33">
        <f t="shared" si="8"/>
        <v>22.259612674800994</v>
      </c>
      <c r="C72" s="17">
        <v>150</v>
      </c>
      <c r="E72" s="17">
        <v>5</v>
      </c>
      <c r="F72" s="17">
        <f t="shared" si="9"/>
        <v>5</v>
      </c>
      <c r="G72" s="17">
        <f t="shared" si="10"/>
        <v>10</v>
      </c>
      <c r="H72" s="33">
        <f t="shared" si="13"/>
        <v>28.356194490192348</v>
      </c>
      <c r="I72" s="57">
        <v>981</v>
      </c>
      <c r="J72" s="33">
        <f t="shared" si="12"/>
        <v>130.80000000000001</v>
      </c>
      <c r="K72" s="17">
        <v>153</v>
      </c>
      <c r="L72" s="33">
        <f t="shared" si="11"/>
        <v>5.8818037575782061</v>
      </c>
      <c r="M72" s="35">
        <f t="shared" si="14"/>
        <v>13</v>
      </c>
      <c r="N72" s="35"/>
      <c r="O72" s="35"/>
      <c r="P72" s="35"/>
      <c r="Q72" s="35"/>
      <c r="R72" s="35"/>
      <c r="S72" s="57">
        <v>1554</v>
      </c>
      <c r="T72" s="17">
        <v>197</v>
      </c>
    </row>
    <row r="73" spans="1:20" x14ac:dyDescent="0.25">
      <c r="A73" s="32" t="str">
        <f t="shared" si="7"/>
        <v>CARF  150*6</v>
      </c>
      <c r="B73" s="33">
        <f t="shared" si="8"/>
        <v>26.401842251713429</v>
      </c>
      <c r="C73" s="17">
        <v>150</v>
      </c>
      <c r="E73" s="17">
        <v>6</v>
      </c>
      <c r="F73" s="17">
        <f t="shared" si="9"/>
        <v>6</v>
      </c>
      <c r="G73" s="17">
        <f t="shared" si="10"/>
        <v>12</v>
      </c>
      <c r="H73" s="33">
        <f t="shared" si="13"/>
        <v>33.632920065876981</v>
      </c>
      <c r="I73" s="57">
        <v>1143</v>
      </c>
      <c r="J73" s="33">
        <f t="shared" si="12"/>
        <v>152.4</v>
      </c>
      <c r="K73" s="17">
        <v>180</v>
      </c>
      <c r="L73" s="33">
        <f t="shared" si="11"/>
        <v>5.8296278010431708</v>
      </c>
      <c r="M73" s="35">
        <f t="shared" si="14"/>
        <v>15.120000000000001</v>
      </c>
      <c r="N73" s="35"/>
      <c r="O73" s="35"/>
      <c r="P73" s="35"/>
      <c r="Q73" s="35"/>
      <c r="R73" s="35"/>
      <c r="S73" s="57">
        <v>1833</v>
      </c>
      <c r="T73" s="17">
        <v>230</v>
      </c>
    </row>
    <row r="74" spans="1:20" x14ac:dyDescent="0.25">
      <c r="A74" s="32" t="str">
        <f t="shared" si="7"/>
        <v>CARF  150*6.3</v>
      </c>
      <c r="B74" s="33">
        <f t="shared" si="8"/>
        <v>27.356930110018741</v>
      </c>
      <c r="C74" s="17">
        <v>150</v>
      </c>
      <c r="E74" s="17">
        <v>6.3</v>
      </c>
      <c r="F74" s="17">
        <f t="shared" si="9"/>
        <v>9.4499999999999993</v>
      </c>
      <c r="G74" s="17">
        <f t="shared" si="10"/>
        <v>15.75</v>
      </c>
      <c r="H74" s="33">
        <f t="shared" si="13"/>
        <v>34.849592496839158</v>
      </c>
      <c r="I74" s="57">
        <v>1169</v>
      </c>
      <c r="J74" s="33">
        <f t="shared" si="12"/>
        <v>155.86666666666667</v>
      </c>
      <c r="K74" s="17">
        <v>185</v>
      </c>
      <c r="L74" s="33">
        <f t="shared" si="11"/>
        <v>5.7917312783651465</v>
      </c>
      <c r="M74" s="35">
        <f t="shared" si="14"/>
        <v>14.930999999999999</v>
      </c>
      <c r="N74" s="35"/>
      <c r="O74" s="35"/>
      <c r="P74" s="35"/>
      <c r="Q74" s="35"/>
      <c r="R74" s="35"/>
      <c r="S74" s="57">
        <v>1922</v>
      </c>
      <c r="T74" s="17">
        <v>239</v>
      </c>
    </row>
    <row r="75" spans="1:20" x14ac:dyDescent="0.25">
      <c r="A75" s="32" t="str">
        <f t="shared" si="7"/>
        <v>CARF  150*8</v>
      </c>
      <c r="B75" s="33">
        <f t="shared" si="8"/>
        <v>33.945344596654046</v>
      </c>
      <c r="C75" s="17">
        <v>150</v>
      </c>
      <c r="E75" s="17">
        <v>8</v>
      </c>
      <c r="F75" s="17">
        <f t="shared" si="9"/>
        <v>12</v>
      </c>
      <c r="G75" s="17">
        <f t="shared" si="10"/>
        <v>20</v>
      </c>
      <c r="H75" s="33">
        <f t="shared" si="13"/>
        <v>43.24247719318987</v>
      </c>
      <c r="I75" s="57">
        <v>1403</v>
      </c>
      <c r="J75" s="33">
        <f t="shared" si="12"/>
        <v>187.06666666666666</v>
      </c>
      <c r="K75" s="17">
        <v>225</v>
      </c>
      <c r="L75" s="33">
        <f t="shared" si="11"/>
        <v>5.6960468536769708</v>
      </c>
      <c r="M75" s="35">
        <f t="shared" si="14"/>
        <v>17.600000000000001</v>
      </c>
      <c r="N75" s="35"/>
      <c r="O75" s="35"/>
      <c r="P75" s="35"/>
      <c r="Q75" s="35"/>
      <c r="R75" s="35"/>
      <c r="S75" s="57">
        <v>2364</v>
      </c>
      <c r="T75" s="17">
        <v>289</v>
      </c>
    </row>
    <row r="76" spans="1:20" x14ac:dyDescent="0.25">
      <c r="A76" s="32" t="str">
        <f t="shared" si="7"/>
        <v>CARF  150*10</v>
      </c>
      <c r="B76" s="33">
        <f t="shared" si="8"/>
        <v>41.264600932271954</v>
      </c>
      <c r="C76" s="17">
        <v>150</v>
      </c>
      <c r="E76" s="17">
        <v>10</v>
      </c>
      <c r="F76" s="17">
        <f t="shared" si="9"/>
        <v>15</v>
      </c>
      <c r="G76" s="17">
        <f t="shared" si="10"/>
        <v>25</v>
      </c>
      <c r="H76" s="33">
        <f t="shared" si="13"/>
        <v>52.56637061435918</v>
      </c>
      <c r="I76" s="57">
        <v>1636</v>
      </c>
      <c r="J76" s="33">
        <f t="shared" si="12"/>
        <v>218.13333333333333</v>
      </c>
      <c r="K76" s="17">
        <v>268</v>
      </c>
      <c r="L76" s="33">
        <f t="shared" si="11"/>
        <v>5.5787596788464411</v>
      </c>
      <c r="M76" s="35">
        <f t="shared" si="14"/>
        <v>20</v>
      </c>
      <c r="N76" s="35"/>
      <c r="O76" s="35"/>
      <c r="P76" s="35"/>
      <c r="Q76" s="35"/>
      <c r="R76" s="35"/>
      <c r="S76" s="57">
        <v>2839</v>
      </c>
      <c r="T76" s="17">
        <v>341</v>
      </c>
    </row>
    <row r="77" spans="1:20" x14ac:dyDescent="0.25">
      <c r="A77" s="32" t="str">
        <f t="shared" si="7"/>
        <v>CARF  150*12</v>
      </c>
      <c r="B77" s="33">
        <f t="shared" si="8"/>
        <v>47.146681678089514</v>
      </c>
      <c r="C77" s="17">
        <v>150</v>
      </c>
      <c r="E77" s="17">
        <v>12</v>
      </c>
      <c r="F77" s="17">
        <f t="shared" si="9"/>
        <v>24</v>
      </c>
      <c r="G77" s="17">
        <f t="shared" si="10"/>
        <v>36</v>
      </c>
      <c r="H77" s="33">
        <f t="shared" si="13"/>
        <v>60.059467105846508</v>
      </c>
      <c r="I77" s="57">
        <v>1739</v>
      </c>
      <c r="J77" s="33">
        <f t="shared" si="12"/>
        <v>231.86666666666667</v>
      </c>
      <c r="K77" s="17">
        <v>295</v>
      </c>
      <c r="L77" s="33">
        <f t="shared" si="11"/>
        <v>5.3809512040229492</v>
      </c>
      <c r="M77" s="35">
        <f t="shared" si="14"/>
        <v>18.72</v>
      </c>
      <c r="N77" s="35"/>
      <c r="O77" s="35"/>
      <c r="P77" s="35"/>
      <c r="Q77" s="35"/>
      <c r="R77" s="35"/>
      <c r="S77" s="57">
        <v>3231</v>
      </c>
      <c r="T77" s="17">
        <v>380</v>
      </c>
    </row>
    <row r="78" spans="1:20" x14ac:dyDescent="0.25">
      <c r="A78" s="32" t="str">
        <f t="shared" si="7"/>
        <v>CARF  150*12.5</v>
      </c>
      <c r="B78" s="33">
        <f t="shared" si="8"/>
        <v>48.704298695843654</v>
      </c>
      <c r="C78" s="17">
        <v>150</v>
      </c>
      <c r="E78" s="17">
        <v>12.5</v>
      </c>
      <c r="F78" s="17">
        <f t="shared" si="9"/>
        <v>25</v>
      </c>
      <c r="G78" s="17">
        <f t="shared" si="10"/>
        <v>37.5</v>
      </c>
      <c r="H78" s="33">
        <f t="shared" si="13"/>
        <v>62.043692606170261</v>
      </c>
      <c r="I78" s="57">
        <v>1772</v>
      </c>
      <c r="J78" s="33">
        <f t="shared" si="12"/>
        <v>236.26666666666668</v>
      </c>
      <c r="K78" s="17">
        <v>302</v>
      </c>
      <c r="L78" s="33">
        <f t="shared" si="11"/>
        <v>5.3442041510989338</v>
      </c>
      <c r="M78" s="35">
        <f t="shared" si="14"/>
        <v>18.75</v>
      </c>
      <c r="N78" s="35"/>
      <c r="O78" s="35"/>
      <c r="P78" s="35"/>
      <c r="Q78" s="35"/>
      <c r="R78" s="35"/>
      <c r="S78" s="57">
        <v>3321</v>
      </c>
      <c r="T78" s="17">
        <v>389</v>
      </c>
    </row>
    <row r="79" spans="1:20" x14ac:dyDescent="0.25">
      <c r="A79" s="32" t="str">
        <f t="shared" si="7"/>
        <v>CARF  150*16</v>
      </c>
      <c r="B79" s="33">
        <f t="shared" si="8"/>
        <v>58.696322983270242</v>
      </c>
      <c r="C79" s="17">
        <v>150</v>
      </c>
      <c r="E79" s="17">
        <v>16</v>
      </c>
      <c r="F79" s="17">
        <f t="shared" si="9"/>
        <v>32</v>
      </c>
      <c r="G79" s="17">
        <f t="shared" si="10"/>
        <v>48</v>
      </c>
      <c r="H79" s="33">
        <f t="shared" si="13"/>
        <v>74.772385965949354</v>
      </c>
      <c r="I79" s="57">
        <v>1916</v>
      </c>
      <c r="J79" s="33">
        <f t="shared" si="12"/>
        <v>255.46666666666667</v>
      </c>
      <c r="K79" s="17">
        <v>344</v>
      </c>
      <c r="L79" s="33">
        <f t="shared" si="11"/>
        <v>5.0620581856030746</v>
      </c>
      <c r="M79" s="35">
        <f t="shared" si="14"/>
        <v>17.28</v>
      </c>
      <c r="N79" s="35"/>
      <c r="O79" s="35"/>
      <c r="P79" s="35"/>
      <c r="Q79" s="35"/>
      <c r="R79" s="35"/>
      <c r="S79" s="57">
        <v>3830</v>
      </c>
      <c r="T79" s="17">
        <v>440</v>
      </c>
    </row>
    <row r="80" spans="1:20" x14ac:dyDescent="0.25">
      <c r="A80" s="36" t="str">
        <f t="shared" si="7"/>
        <v>CARF  160*4</v>
      </c>
      <c r="B80" s="38">
        <f t="shared" si="8"/>
        <v>19.270152111872633</v>
      </c>
      <c r="C80" s="37">
        <v>160</v>
      </c>
      <c r="D80" s="37"/>
      <c r="E80" s="37">
        <v>4</v>
      </c>
      <c r="F80" s="37">
        <f t="shared" si="9"/>
        <v>4</v>
      </c>
      <c r="G80" s="37">
        <f t="shared" si="10"/>
        <v>8</v>
      </c>
      <c r="H80" s="38">
        <f t="shared" si="13"/>
        <v>24.547964473723102</v>
      </c>
      <c r="I80" s="54">
        <v>986</v>
      </c>
      <c r="J80" s="38">
        <f t="shared" si="12"/>
        <v>123.25</v>
      </c>
      <c r="K80" s="37">
        <v>143</v>
      </c>
      <c r="L80" s="38">
        <f t="shared" si="11"/>
        <v>6.3376859432634047</v>
      </c>
      <c r="M80" s="54">
        <f t="shared" si="14"/>
        <v>11.52</v>
      </c>
      <c r="N80" s="54"/>
      <c r="O80" s="54"/>
      <c r="P80" s="54"/>
      <c r="Q80" s="54"/>
      <c r="R80" s="54"/>
      <c r="S80" s="54">
        <v>1541</v>
      </c>
      <c r="T80" s="41">
        <v>185</v>
      </c>
    </row>
    <row r="81" spans="1:20" x14ac:dyDescent="0.25">
      <c r="A81" s="42" t="str">
        <f t="shared" si="7"/>
        <v>CARF  160*5</v>
      </c>
      <c r="B81" s="44">
        <f t="shared" si="8"/>
        <v>23.829612674800995</v>
      </c>
      <c r="C81" s="43">
        <v>160</v>
      </c>
      <c r="D81" s="43"/>
      <c r="E81" s="43">
        <v>5</v>
      </c>
      <c r="F81" s="43">
        <f t="shared" si="9"/>
        <v>5</v>
      </c>
      <c r="G81" s="43">
        <f>IF(E81&lt;=6,2*E81,IF(E81&lt;=10,2.5*E81,3*E81))</f>
        <v>10</v>
      </c>
      <c r="H81" s="44">
        <f t="shared" si="13"/>
        <v>30.356194490192348</v>
      </c>
      <c r="I81" s="55">
        <v>1201</v>
      </c>
      <c r="J81" s="44">
        <f t="shared" ref="J81:J144" si="15">I81/(0.5*C81*0.1)</f>
        <v>150.125</v>
      </c>
      <c r="K81" s="43">
        <v>175</v>
      </c>
      <c r="L81" s="44">
        <f t="shared" si="11"/>
        <v>6.2899593735155692</v>
      </c>
      <c r="M81" s="55">
        <f t="shared" si="14"/>
        <v>14</v>
      </c>
      <c r="N81" s="55"/>
      <c r="O81" s="55"/>
      <c r="P81" s="55"/>
      <c r="Q81" s="55"/>
      <c r="R81" s="55"/>
      <c r="S81" s="55">
        <v>1896</v>
      </c>
      <c r="T81" s="47">
        <v>226</v>
      </c>
    </row>
    <row r="82" spans="1:20" x14ac:dyDescent="0.25">
      <c r="A82" s="42" t="str">
        <f t="shared" si="7"/>
        <v>CARF  160*6</v>
      </c>
      <c r="B82" s="44">
        <f t="shared" si="8"/>
        <v>28.285842251713429</v>
      </c>
      <c r="C82" s="43">
        <v>160</v>
      </c>
      <c r="D82" s="43"/>
      <c r="E82" s="43">
        <v>6</v>
      </c>
      <c r="F82" s="43">
        <f t="shared" si="9"/>
        <v>6</v>
      </c>
      <c r="G82" s="43">
        <f t="shared" si="10"/>
        <v>12</v>
      </c>
      <c r="H82" s="44">
        <f t="shared" si="13"/>
        <v>36.032920065876979</v>
      </c>
      <c r="I82" s="55">
        <v>1403</v>
      </c>
      <c r="J82" s="44">
        <f t="shared" si="15"/>
        <v>175.375</v>
      </c>
      <c r="K82" s="43">
        <v>206</v>
      </c>
      <c r="L82" s="44">
        <f t="shared" si="11"/>
        <v>6.2399212156944186</v>
      </c>
      <c r="M82" s="55">
        <f t="shared" si="14"/>
        <v>16.32</v>
      </c>
      <c r="N82" s="55"/>
      <c r="O82" s="55"/>
      <c r="P82" s="55"/>
      <c r="Q82" s="55"/>
      <c r="R82" s="55"/>
      <c r="S82" s="55">
        <v>2239</v>
      </c>
      <c r="T82" s="47">
        <v>264</v>
      </c>
    </row>
    <row r="83" spans="1:20" x14ac:dyDescent="0.25">
      <c r="A83" s="42" t="str">
        <f t="shared" si="7"/>
        <v>CARF  160*6.3</v>
      </c>
      <c r="B83" s="44">
        <f t="shared" si="8"/>
        <v>29.335130110018735</v>
      </c>
      <c r="C83" s="43">
        <v>160</v>
      </c>
      <c r="D83" s="43"/>
      <c r="E83" s="43">
        <v>6.3</v>
      </c>
      <c r="F83" s="43">
        <f t="shared" si="9"/>
        <v>9.4499999999999993</v>
      </c>
      <c r="G83" s="43">
        <f t="shared" si="10"/>
        <v>15.75</v>
      </c>
      <c r="H83" s="44">
        <f t="shared" si="13"/>
        <v>37.369592496839154</v>
      </c>
      <c r="I83" s="55">
        <v>1438</v>
      </c>
      <c r="J83" s="44">
        <f t="shared" si="15"/>
        <v>179.75</v>
      </c>
      <c r="K83" s="43">
        <v>212</v>
      </c>
      <c r="L83" s="44">
        <f t="shared" si="11"/>
        <v>6.2032639662624076</v>
      </c>
      <c r="M83" s="55">
        <f t="shared" si="14"/>
        <v>16.190999999999999</v>
      </c>
      <c r="N83" s="55"/>
      <c r="O83" s="55"/>
      <c r="P83" s="55"/>
      <c r="Q83" s="55"/>
      <c r="R83" s="55"/>
      <c r="S83" s="55">
        <v>2349</v>
      </c>
      <c r="T83" s="47">
        <v>275</v>
      </c>
    </row>
    <row r="84" spans="1:20" x14ac:dyDescent="0.25">
      <c r="A84" s="42" t="str">
        <f t="shared" si="7"/>
        <v>CARF  160*8</v>
      </c>
      <c r="B84" s="44">
        <f t="shared" si="8"/>
        <v>36.457344596654046</v>
      </c>
      <c r="C84" s="43">
        <v>160</v>
      </c>
      <c r="D84" s="43"/>
      <c r="E84" s="43">
        <v>8</v>
      </c>
      <c r="F84" s="43">
        <f t="shared" si="9"/>
        <v>12</v>
      </c>
      <c r="G84" s="43">
        <f t="shared" si="10"/>
        <v>20</v>
      </c>
      <c r="H84" s="44">
        <f t="shared" si="13"/>
        <v>46.442477193189873</v>
      </c>
      <c r="I84" s="55">
        <v>1732</v>
      </c>
      <c r="J84" s="44">
        <f t="shared" si="15"/>
        <v>216.5</v>
      </c>
      <c r="K84" s="43">
        <v>260</v>
      </c>
      <c r="L84" s="44">
        <f t="shared" si="11"/>
        <v>6.1068359786664503</v>
      </c>
      <c r="M84" s="55">
        <f t="shared" si="14"/>
        <v>19.2</v>
      </c>
      <c r="N84" s="55"/>
      <c r="O84" s="55"/>
      <c r="P84" s="55"/>
      <c r="Q84" s="55"/>
      <c r="R84" s="55"/>
      <c r="S84" s="55">
        <v>2897</v>
      </c>
      <c r="T84" s="47">
        <v>334</v>
      </c>
    </row>
    <row r="85" spans="1:20" x14ac:dyDescent="0.25">
      <c r="A85" s="42" t="str">
        <f t="shared" si="7"/>
        <v>CARF  160*10</v>
      </c>
      <c r="B85" s="44">
        <f t="shared" si="8"/>
        <v>44.404600932271954</v>
      </c>
      <c r="C85" s="43">
        <v>160</v>
      </c>
      <c r="D85" s="43"/>
      <c r="E85" s="43">
        <v>10</v>
      </c>
      <c r="F85" s="43">
        <f t="shared" si="9"/>
        <v>15</v>
      </c>
      <c r="G85" s="43">
        <f t="shared" si="10"/>
        <v>25</v>
      </c>
      <c r="H85" s="44">
        <f t="shared" si="13"/>
        <v>56.56637061435918</v>
      </c>
      <c r="I85" s="55">
        <v>2030</v>
      </c>
      <c r="J85" s="44">
        <f t="shared" si="15"/>
        <v>253.75</v>
      </c>
      <c r="K85" s="43">
        <v>310</v>
      </c>
      <c r="L85" s="44">
        <f t="shared" si="11"/>
        <v>5.9905798538080557</v>
      </c>
      <c r="M85" s="55">
        <f t="shared" si="14"/>
        <v>22</v>
      </c>
      <c r="N85" s="55"/>
      <c r="O85" s="55"/>
      <c r="P85" s="55"/>
      <c r="Q85" s="55"/>
      <c r="R85" s="55"/>
      <c r="S85" s="55">
        <v>3490</v>
      </c>
      <c r="T85" s="47">
        <v>395</v>
      </c>
    </row>
    <row r="86" spans="1:20" x14ac:dyDescent="0.25">
      <c r="A86" s="42" t="str">
        <f t="shared" si="7"/>
        <v>CARF  160*12</v>
      </c>
      <c r="B86" s="44">
        <f t="shared" si="8"/>
        <v>50.914681678089508</v>
      </c>
      <c r="C86" s="43">
        <v>160</v>
      </c>
      <c r="D86" s="43"/>
      <c r="E86" s="43">
        <v>12</v>
      </c>
      <c r="F86" s="43">
        <f t="shared" si="9"/>
        <v>24</v>
      </c>
      <c r="G86" s="43">
        <f t="shared" si="10"/>
        <v>36</v>
      </c>
      <c r="H86" s="44">
        <f t="shared" si="13"/>
        <v>64.859467105846505</v>
      </c>
      <c r="I86" s="55">
        <v>2181</v>
      </c>
      <c r="J86" s="44">
        <f t="shared" si="15"/>
        <v>272.625</v>
      </c>
      <c r="K86" s="43">
        <v>343</v>
      </c>
      <c r="L86" s="44">
        <f t="shared" si="11"/>
        <v>5.7988402502910867</v>
      </c>
      <c r="M86" s="55">
        <f t="shared" si="14"/>
        <v>21.12</v>
      </c>
      <c r="N86" s="55"/>
      <c r="O86" s="55"/>
      <c r="P86" s="55"/>
      <c r="Q86" s="55"/>
      <c r="R86" s="55"/>
      <c r="S86" s="55">
        <v>3997</v>
      </c>
      <c r="T86" s="47">
        <v>443</v>
      </c>
    </row>
    <row r="87" spans="1:20" x14ac:dyDescent="0.25">
      <c r="A87" s="42" t="str">
        <f t="shared" si="7"/>
        <v>CARF  160*12.5</v>
      </c>
      <c r="B87" s="44">
        <f t="shared" si="8"/>
        <v>52.629298695843659</v>
      </c>
      <c r="C87" s="43">
        <v>160</v>
      </c>
      <c r="D87" s="43"/>
      <c r="E87" s="43">
        <v>12.5</v>
      </c>
      <c r="F87" s="43">
        <f t="shared" si="9"/>
        <v>25</v>
      </c>
      <c r="G87" s="43">
        <f t="shared" si="10"/>
        <v>37.5</v>
      </c>
      <c r="H87" s="44">
        <f t="shared" si="13"/>
        <v>67.043692606170268</v>
      </c>
      <c r="I87" s="55">
        <v>2226</v>
      </c>
      <c r="J87" s="44">
        <f t="shared" si="15"/>
        <v>278.25</v>
      </c>
      <c r="K87" s="43">
        <v>352</v>
      </c>
      <c r="L87" s="44">
        <f t="shared" si="11"/>
        <v>5.7621374922167723</v>
      </c>
      <c r="M87" s="55">
        <f t="shared" si="14"/>
        <v>21.25</v>
      </c>
      <c r="N87" s="55"/>
      <c r="O87" s="55"/>
      <c r="P87" s="55"/>
      <c r="Q87" s="55"/>
      <c r="R87" s="55"/>
      <c r="S87" s="55">
        <v>4114</v>
      </c>
      <c r="T87" s="47">
        <v>455</v>
      </c>
    </row>
    <row r="88" spans="1:20" x14ac:dyDescent="0.25">
      <c r="A88" s="48" t="str">
        <f t="shared" si="7"/>
        <v>CARF  160*16</v>
      </c>
      <c r="B88" s="50">
        <f t="shared" si="8"/>
        <v>63.720322983270243</v>
      </c>
      <c r="C88" s="49">
        <v>160</v>
      </c>
      <c r="D88" s="49"/>
      <c r="E88" s="49">
        <v>16</v>
      </c>
      <c r="F88" s="49">
        <f t="shared" si="9"/>
        <v>32</v>
      </c>
      <c r="G88" s="49">
        <f t="shared" si="10"/>
        <v>48</v>
      </c>
      <c r="H88" s="50">
        <f t="shared" si="13"/>
        <v>81.17238596594936</v>
      </c>
      <c r="I88" s="56">
        <v>2446</v>
      </c>
      <c r="J88" s="50">
        <f t="shared" si="15"/>
        <v>305.75</v>
      </c>
      <c r="K88" s="49">
        <v>406</v>
      </c>
      <c r="L88" s="50">
        <f t="shared" si="11"/>
        <v>5.489389793474805</v>
      </c>
      <c r="M88" s="56">
        <f t="shared" si="14"/>
        <v>20.48</v>
      </c>
      <c r="N88" s="56"/>
      <c r="O88" s="56"/>
      <c r="P88" s="56"/>
      <c r="Q88" s="56"/>
      <c r="R88" s="56"/>
      <c r="S88" s="56">
        <v>4799</v>
      </c>
      <c r="T88" s="53">
        <v>520</v>
      </c>
    </row>
    <row r="89" spans="1:20" x14ac:dyDescent="0.25">
      <c r="A89" s="32" t="str">
        <f t="shared" si="7"/>
        <v>CARF  180*4</v>
      </c>
      <c r="B89" s="33">
        <f t="shared" si="8"/>
        <v>21.782152111872634</v>
      </c>
      <c r="C89" s="17">
        <v>180</v>
      </c>
      <c r="E89" s="17">
        <v>4</v>
      </c>
      <c r="F89" s="17">
        <f t="shared" si="9"/>
        <v>4</v>
      </c>
      <c r="G89" s="17">
        <f t="shared" si="10"/>
        <v>8</v>
      </c>
      <c r="H89" s="33">
        <f t="shared" si="13"/>
        <v>27.747964473723101</v>
      </c>
      <c r="I89" s="57">
        <v>1421</v>
      </c>
      <c r="J89" s="33">
        <f t="shared" si="15"/>
        <v>157.88888888888889</v>
      </c>
      <c r="K89" s="17">
        <v>182</v>
      </c>
      <c r="L89" s="33">
        <f t="shared" si="11"/>
        <v>7.156183595261326</v>
      </c>
      <c r="M89" s="35">
        <f t="shared" si="14"/>
        <v>13.120000000000001</v>
      </c>
      <c r="N89" s="35"/>
      <c r="O89" s="35"/>
      <c r="P89" s="35"/>
      <c r="Q89" s="35"/>
      <c r="R89" s="35"/>
      <c r="S89" s="57">
        <v>2210</v>
      </c>
      <c r="T89" s="17">
        <v>237</v>
      </c>
    </row>
    <row r="90" spans="1:20" x14ac:dyDescent="0.25">
      <c r="A90" s="32" t="str">
        <f t="shared" si="7"/>
        <v>CARF  180*5</v>
      </c>
      <c r="B90" s="33">
        <f t="shared" si="8"/>
        <v>26.969612674800992</v>
      </c>
      <c r="C90" s="17">
        <v>180</v>
      </c>
      <c r="E90" s="17">
        <v>5</v>
      </c>
      <c r="F90" s="17">
        <f t="shared" si="9"/>
        <v>5</v>
      </c>
      <c r="G90" s="17">
        <f t="shared" si="10"/>
        <v>10</v>
      </c>
      <c r="H90" s="33">
        <f t="shared" si="13"/>
        <v>34.356194490192351</v>
      </c>
      <c r="I90" s="57">
        <v>1735</v>
      </c>
      <c r="J90" s="33">
        <f t="shared" si="15"/>
        <v>192.77777777777777</v>
      </c>
      <c r="K90" s="17">
        <v>224</v>
      </c>
      <c r="L90" s="33">
        <f t="shared" si="11"/>
        <v>7.1063601421646423</v>
      </c>
      <c r="M90" s="35">
        <f t="shared" si="14"/>
        <v>16</v>
      </c>
      <c r="N90" s="35"/>
      <c r="O90" s="35"/>
      <c r="P90" s="35"/>
      <c r="Q90" s="35"/>
      <c r="R90" s="35"/>
      <c r="S90" s="57">
        <v>2724</v>
      </c>
      <c r="T90" s="17">
        <v>290</v>
      </c>
    </row>
    <row r="91" spans="1:20" x14ac:dyDescent="0.25">
      <c r="A91" s="32" t="str">
        <f t="shared" si="7"/>
        <v>CARF  180*6</v>
      </c>
      <c r="B91" s="33">
        <f t="shared" si="8"/>
        <v>32.053842251713426</v>
      </c>
      <c r="C91" s="17">
        <v>180</v>
      </c>
      <c r="E91" s="17">
        <v>6</v>
      </c>
      <c r="F91" s="17">
        <f t="shared" si="9"/>
        <v>6</v>
      </c>
      <c r="G91" s="17">
        <f t="shared" si="10"/>
        <v>12</v>
      </c>
      <c r="H91" s="33">
        <f t="shared" si="13"/>
        <v>40.832920065876976</v>
      </c>
      <c r="I91" s="57">
        <v>2034</v>
      </c>
      <c r="J91" s="33">
        <f t="shared" si="15"/>
        <v>226</v>
      </c>
      <c r="K91" s="17">
        <v>264</v>
      </c>
      <c r="L91" s="33">
        <f t="shared" si="11"/>
        <v>7.057814749949614</v>
      </c>
      <c r="M91" s="35">
        <f t="shared" si="14"/>
        <v>18.72</v>
      </c>
      <c r="N91" s="35"/>
      <c r="O91" s="35"/>
      <c r="P91" s="35"/>
      <c r="Q91" s="35"/>
      <c r="R91" s="35"/>
      <c r="S91" s="57">
        <v>3223</v>
      </c>
      <c r="T91" s="17">
        <v>340</v>
      </c>
    </row>
    <row r="92" spans="1:20" x14ac:dyDescent="0.25">
      <c r="A92" s="32" t="str">
        <f t="shared" si="7"/>
        <v>CARF  180*6.3</v>
      </c>
      <c r="B92" s="33">
        <f t="shared" si="8"/>
        <v>33.291530110018741</v>
      </c>
      <c r="C92" s="17">
        <v>180</v>
      </c>
      <c r="E92" s="17">
        <v>6.3</v>
      </c>
      <c r="F92" s="17">
        <f t="shared" si="9"/>
        <v>9.4499999999999993</v>
      </c>
      <c r="G92" s="17">
        <f t="shared" si="10"/>
        <v>15.75</v>
      </c>
      <c r="H92" s="33">
        <f t="shared" si="13"/>
        <v>42.40959249683916</v>
      </c>
      <c r="I92" s="57">
        <v>2090</v>
      </c>
      <c r="J92" s="33">
        <f t="shared" si="15"/>
        <v>232.22222222222223</v>
      </c>
      <c r="K92" s="17">
        <v>273</v>
      </c>
      <c r="L92" s="33">
        <f>SQRT(I92/H92)</f>
        <v>7.0200643529876947</v>
      </c>
      <c r="M92" s="35">
        <f t="shared" si="14"/>
        <v>18.710999999999999</v>
      </c>
      <c r="N92" s="35"/>
      <c r="O92" s="35"/>
      <c r="P92" s="35"/>
      <c r="Q92" s="35"/>
      <c r="R92" s="35"/>
      <c r="S92" s="57">
        <v>3383</v>
      </c>
      <c r="T92" s="17">
        <v>354</v>
      </c>
    </row>
    <row r="93" spans="1:20" x14ac:dyDescent="0.25">
      <c r="A93" s="32" t="str">
        <f t="shared" si="7"/>
        <v>CARF  180*8</v>
      </c>
      <c r="B93" s="33">
        <f t="shared" si="8"/>
        <v>41.481344596654047</v>
      </c>
      <c r="C93" s="17">
        <v>180</v>
      </c>
      <c r="E93" s="17">
        <v>8</v>
      </c>
      <c r="F93" s="17">
        <f t="shared" si="9"/>
        <v>12</v>
      </c>
      <c r="G93" s="17">
        <f t="shared" si="10"/>
        <v>20</v>
      </c>
      <c r="H93" s="33">
        <f t="shared" si="13"/>
        <v>52.842477193189872</v>
      </c>
      <c r="I93" s="57">
        <v>2535</v>
      </c>
      <c r="J93" s="33">
        <f t="shared" si="15"/>
        <v>281.66666666666669</v>
      </c>
      <c r="K93" s="17">
        <v>335</v>
      </c>
      <c r="L93" s="33">
        <f t="shared" si="11"/>
        <v>6.926237789203209</v>
      </c>
      <c r="M93" s="35">
        <f t="shared" si="14"/>
        <v>22.400000000000002</v>
      </c>
      <c r="N93" s="35"/>
      <c r="O93" s="35"/>
      <c r="P93" s="35"/>
      <c r="Q93" s="35"/>
      <c r="R93" s="35"/>
      <c r="S93" s="57">
        <v>4189</v>
      </c>
      <c r="T93" s="17">
        <v>432</v>
      </c>
    </row>
    <row r="94" spans="1:20" x14ac:dyDescent="0.25">
      <c r="A94" s="32" t="str">
        <f t="shared" si="7"/>
        <v>CARF  180*10</v>
      </c>
      <c r="B94" s="33">
        <f t="shared" si="8"/>
        <v>50.684600932271955</v>
      </c>
      <c r="C94" s="17">
        <v>180</v>
      </c>
      <c r="E94" s="17">
        <v>10</v>
      </c>
      <c r="F94" s="17">
        <f t="shared" si="9"/>
        <v>15</v>
      </c>
      <c r="G94" s="17">
        <f t="shared" si="10"/>
        <v>25</v>
      </c>
      <c r="H94" s="33">
        <f t="shared" si="13"/>
        <v>64.566370614359172</v>
      </c>
      <c r="I94" s="57">
        <v>2996</v>
      </c>
      <c r="J94" s="33">
        <f t="shared" si="15"/>
        <v>332.88888888888891</v>
      </c>
      <c r="K94" s="17">
        <v>402</v>
      </c>
      <c r="L94" s="33">
        <f t="shared" si="11"/>
        <v>6.811891426171484</v>
      </c>
      <c r="M94" s="35">
        <f t="shared" si="14"/>
        <v>26</v>
      </c>
      <c r="N94" s="35"/>
      <c r="O94" s="35"/>
      <c r="P94" s="35"/>
      <c r="Q94" s="35"/>
      <c r="R94" s="35"/>
      <c r="S94" s="57">
        <v>5074</v>
      </c>
      <c r="T94" s="17">
        <v>515</v>
      </c>
    </row>
    <row r="95" spans="1:20" x14ac:dyDescent="0.25">
      <c r="A95" s="32" t="str">
        <f t="shared" si="7"/>
        <v>CARF  180*12</v>
      </c>
      <c r="B95" s="33">
        <f t="shared" si="8"/>
        <v>58.450681678089509</v>
      </c>
      <c r="C95" s="17">
        <v>180</v>
      </c>
      <c r="E95" s="17">
        <v>12</v>
      </c>
      <c r="F95" s="17">
        <f t="shared" si="9"/>
        <v>24</v>
      </c>
      <c r="G95" s="17">
        <f t="shared" si="10"/>
        <v>36</v>
      </c>
      <c r="H95" s="33">
        <f t="shared" si="13"/>
        <v>74.459467105846514</v>
      </c>
      <c r="I95" s="57">
        <v>3273</v>
      </c>
      <c r="J95" s="33">
        <f t="shared" si="15"/>
        <v>363.66666666666669</v>
      </c>
      <c r="K95" s="17">
        <v>451</v>
      </c>
      <c r="L95" s="33">
        <f t="shared" si="11"/>
        <v>6.6299925560752238</v>
      </c>
      <c r="M95" s="35">
        <f t="shared" si="14"/>
        <v>25.92</v>
      </c>
      <c r="N95" s="35"/>
      <c r="O95" s="35"/>
      <c r="P95" s="35"/>
      <c r="Q95" s="35"/>
      <c r="R95" s="35"/>
      <c r="S95" s="57">
        <v>5865</v>
      </c>
      <c r="T95" s="17">
        <v>584</v>
      </c>
    </row>
    <row r="96" spans="1:20" x14ac:dyDescent="0.25">
      <c r="A96" s="32" t="str">
        <f t="shared" si="7"/>
        <v>CARF  180*12.5</v>
      </c>
      <c r="B96" s="33">
        <f t="shared" si="8"/>
        <v>60.479298695843653</v>
      </c>
      <c r="C96" s="17">
        <v>180</v>
      </c>
      <c r="E96" s="17">
        <v>12.5</v>
      </c>
      <c r="F96" s="17">
        <f t="shared" si="9"/>
        <v>25</v>
      </c>
      <c r="G96" s="17">
        <f t="shared" si="10"/>
        <v>37.5</v>
      </c>
      <c r="H96" s="33">
        <f t="shared" si="13"/>
        <v>77.043692606170268</v>
      </c>
      <c r="I96" s="57">
        <v>3350</v>
      </c>
      <c r="J96" s="33">
        <f t="shared" si="15"/>
        <v>372.22222222222223</v>
      </c>
      <c r="K96" s="17">
        <v>464</v>
      </c>
      <c r="L96" s="33">
        <f t="shared" si="11"/>
        <v>6.5940746384153739</v>
      </c>
      <c r="M96" s="35">
        <f t="shared" si="14"/>
        <v>26.25</v>
      </c>
      <c r="N96" s="35"/>
      <c r="O96" s="35"/>
      <c r="P96" s="35"/>
      <c r="Q96" s="35"/>
      <c r="R96" s="35"/>
      <c r="S96" s="57">
        <v>6050</v>
      </c>
      <c r="T96" s="17">
        <v>600</v>
      </c>
    </row>
    <row r="97" spans="1:20" x14ac:dyDescent="0.25">
      <c r="A97" s="32" t="str">
        <f t="shared" si="7"/>
        <v>CARF  180*16</v>
      </c>
      <c r="B97" s="33">
        <f t="shared" si="8"/>
        <v>73.768322983270238</v>
      </c>
      <c r="C97" s="17">
        <v>180</v>
      </c>
      <c r="E97" s="17">
        <v>16</v>
      </c>
      <c r="F97" s="17">
        <f t="shared" si="9"/>
        <v>32</v>
      </c>
      <c r="G97" s="17">
        <f t="shared" si="10"/>
        <v>48</v>
      </c>
      <c r="H97" s="33">
        <f t="shared" si="13"/>
        <v>93.972385965949357</v>
      </c>
      <c r="I97" s="57">
        <v>3772</v>
      </c>
      <c r="J97" s="33">
        <f t="shared" si="15"/>
        <v>419.11111111111109</v>
      </c>
      <c r="K97" s="17">
        <v>542</v>
      </c>
      <c r="L97" s="33">
        <f t="shared" si="11"/>
        <v>6.3355703131856593</v>
      </c>
      <c r="M97" s="35">
        <f t="shared" si="14"/>
        <v>26.88</v>
      </c>
      <c r="N97" s="35"/>
      <c r="O97" s="35"/>
      <c r="P97" s="35"/>
      <c r="Q97" s="35"/>
      <c r="R97" s="35"/>
      <c r="S97" s="57">
        <v>7178</v>
      </c>
      <c r="T97" s="17">
        <v>698</v>
      </c>
    </row>
    <row r="98" spans="1:20" x14ac:dyDescent="0.25">
      <c r="A98" s="36" t="str">
        <f t="shared" si="7"/>
        <v>CARF  200*4</v>
      </c>
      <c r="B98" s="38">
        <f t="shared" si="8"/>
        <v>24.294152111872634</v>
      </c>
      <c r="C98" s="37">
        <v>200</v>
      </c>
      <c r="D98" s="37"/>
      <c r="E98" s="37">
        <v>4</v>
      </c>
      <c r="F98" s="37">
        <f t="shared" si="9"/>
        <v>4</v>
      </c>
      <c r="G98" s="37">
        <f t="shared" si="10"/>
        <v>8</v>
      </c>
      <c r="H98" s="38">
        <f t="shared" si="13"/>
        <v>30.947964473723101</v>
      </c>
      <c r="I98" s="54">
        <v>1967</v>
      </c>
      <c r="J98" s="38">
        <f t="shared" si="15"/>
        <v>196.7</v>
      </c>
      <c r="K98" s="37">
        <v>226</v>
      </c>
      <c r="L98" s="38">
        <f t="shared" si="11"/>
        <v>7.9723459322599224</v>
      </c>
      <c r="M98" s="54">
        <f t="shared" si="14"/>
        <v>14.72</v>
      </c>
      <c r="N98" s="54"/>
      <c r="O98" s="54"/>
      <c r="P98" s="54"/>
      <c r="Q98" s="54"/>
      <c r="R98" s="54"/>
      <c r="S98" s="54">
        <v>3049</v>
      </c>
      <c r="T98" s="41">
        <v>295</v>
      </c>
    </row>
    <row r="99" spans="1:20" x14ac:dyDescent="0.25">
      <c r="A99" s="42" t="str">
        <f t="shared" si="7"/>
        <v>CARF  200*5</v>
      </c>
      <c r="B99" s="44">
        <f t="shared" si="8"/>
        <v>30.109612674800992</v>
      </c>
      <c r="C99" s="43">
        <v>200</v>
      </c>
      <c r="D99" s="43"/>
      <c r="E99" s="43">
        <v>5</v>
      </c>
      <c r="F99" s="43">
        <f t="shared" si="9"/>
        <v>5</v>
      </c>
      <c r="G99" s="43">
        <f t="shared" si="10"/>
        <v>10</v>
      </c>
      <c r="H99" s="44">
        <f t="shared" si="13"/>
        <v>38.356194490192351</v>
      </c>
      <c r="I99" s="55">
        <v>2408</v>
      </c>
      <c r="J99" s="44">
        <f t="shared" si="15"/>
        <v>240.8</v>
      </c>
      <c r="K99" s="43">
        <v>279</v>
      </c>
      <c r="L99" s="44">
        <f t="shared" si="11"/>
        <v>7.9233800061956368</v>
      </c>
      <c r="M99" s="55">
        <f t="shared" si="14"/>
        <v>18</v>
      </c>
      <c r="N99" s="55"/>
      <c r="O99" s="55"/>
      <c r="P99" s="55"/>
      <c r="Q99" s="55"/>
      <c r="R99" s="55"/>
      <c r="S99" s="55">
        <v>6763</v>
      </c>
      <c r="T99" s="47">
        <v>362</v>
      </c>
    </row>
    <row r="100" spans="1:20" x14ac:dyDescent="0.25">
      <c r="A100" s="42" t="str">
        <f t="shared" si="7"/>
        <v>CARF  200*6</v>
      </c>
      <c r="B100" s="44">
        <f t="shared" si="8"/>
        <v>35.821842251713427</v>
      </c>
      <c r="C100" s="43">
        <v>200</v>
      </c>
      <c r="D100" s="43"/>
      <c r="E100" s="43">
        <v>6</v>
      </c>
      <c r="F100" s="43">
        <f t="shared" si="9"/>
        <v>6</v>
      </c>
      <c r="G100" s="43">
        <f t="shared" si="10"/>
        <v>12</v>
      </c>
      <c r="H100" s="44">
        <f t="shared" si="13"/>
        <v>45.632920065876981</v>
      </c>
      <c r="I100" s="55">
        <v>2830</v>
      </c>
      <c r="J100" s="44">
        <f t="shared" si="15"/>
        <v>283</v>
      </c>
      <c r="K100" s="43">
        <v>330</v>
      </c>
      <c r="L100" s="44">
        <f t="shared" si="11"/>
        <v>7.8750639212065892</v>
      </c>
      <c r="M100" s="55">
        <f t="shared" si="14"/>
        <v>21.12</v>
      </c>
      <c r="N100" s="55"/>
      <c r="O100" s="55"/>
      <c r="P100" s="55"/>
      <c r="Q100" s="55"/>
      <c r="R100" s="55"/>
      <c r="S100" s="55">
        <v>4459</v>
      </c>
      <c r="T100" s="47">
        <v>426</v>
      </c>
    </row>
    <row r="101" spans="1:20" x14ac:dyDescent="0.25">
      <c r="A101" s="42" t="str">
        <f t="shared" si="7"/>
        <v>CARF  200*6.3</v>
      </c>
      <c r="B101" s="44">
        <f t="shared" si="8"/>
        <v>37.247930110018743</v>
      </c>
      <c r="C101" s="43">
        <v>200</v>
      </c>
      <c r="D101" s="43"/>
      <c r="E101" s="43">
        <v>6.3</v>
      </c>
      <c r="F101" s="43">
        <f t="shared" si="9"/>
        <v>9.4499999999999993</v>
      </c>
      <c r="G101" s="43">
        <f t="shared" si="10"/>
        <v>15.75</v>
      </c>
      <c r="H101" s="44">
        <f t="shared" si="13"/>
        <v>47.449592496839159</v>
      </c>
      <c r="I101" s="55">
        <v>2916</v>
      </c>
      <c r="J101" s="44">
        <f t="shared" si="15"/>
        <v>291.60000000000002</v>
      </c>
      <c r="K101" s="43">
        <v>341</v>
      </c>
      <c r="L101" s="44">
        <f t="shared" si="11"/>
        <v>7.839304181639779</v>
      </c>
      <c r="M101" s="55">
        <f t="shared" si="14"/>
        <v>21.230999999999998</v>
      </c>
      <c r="N101" s="55"/>
      <c r="O101" s="55"/>
      <c r="P101" s="55"/>
      <c r="Q101" s="55"/>
      <c r="R101" s="55"/>
      <c r="S101" s="55">
        <v>4682</v>
      </c>
      <c r="T101" s="47">
        <v>444</v>
      </c>
    </row>
    <row r="102" spans="1:20" x14ac:dyDescent="0.25">
      <c r="A102" s="42" t="str">
        <f t="shared" si="7"/>
        <v>CARF  200*8</v>
      </c>
      <c r="B102" s="44">
        <f t="shared" si="8"/>
        <v>46.505344596654048</v>
      </c>
      <c r="C102" s="43">
        <v>200</v>
      </c>
      <c r="D102" s="43"/>
      <c r="E102" s="43">
        <v>8</v>
      </c>
      <c r="F102" s="43">
        <f t="shared" si="9"/>
        <v>12</v>
      </c>
      <c r="G102" s="43">
        <f t="shared" si="10"/>
        <v>20</v>
      </c>
      <c r="H102" s="44">
        <f t="shared" si="13"/>
        <v>59.24247719318987</v>
      </c>
      <c r="I102" s="55">
        <v>3554</v>
      </c>
      <c r="J102" s="44">
        <f t="shared" si="15"/>
        <v>355.4</v>
      </c>
      <c r="K102" s="43">
        <v>420</v>
      </c>
      <c r="L102" s="44">
        <f t="shared" si="11"/>
        <v>7.74536888852084</v>
      </c>
      <c r="M102" s="55">
        <f t="shared" si="14"/>
        <v>25.6</v>
      </c>
      <c r="N102" s="55"/>
      <c r="O102" s="55"/>
      <c r="P102" s="55"/>
      <c r="Q102" s="55"/>
      <c r="R102" s="55"/>
      <c r="S102" s="55">
        <v>5815</v>
      </c>
      <c r="T102" s="47">
        <v>544</v>
      </c>
    </row>
    <row r="103" spans="1:20" x14ac:dyDescent="0.25">
      <c r="A103" s="42" t="str">
        <f t="shared" si="7"/>
        <v>CARF  200*10</v>
      </c>
      <c r="B103" s="44">
        <f t="shared" si="8"/>
        <v>56.964600932271956</v>
      </c>
      <c r="C103" s="43">
        <v>200</v>
      </c>
      <c r="D103" s="43"/>
      <c r="E103" s="43">
        <v>10</v>
      </c>
      <c r="F103" s="43">
        <f t="shared" si="9"/>
        <v>15</v>
      </c>
      <c r="G103" s="43">
        <f t="shared" si="10"/>
        <v>25</v>
      </c>
      <c r="H103" s="44">
        <f t="shared" si="13"/>
        <v>72.566370614359172</v>
      </c>
      <c r="I103" s="55">
        <v>4228</v>
      </c>
      <c r="J103" s="44">
        <f t="shared" si="15"/>
        <v>422.8</v>
      </c>
      <c r="K103" s="43">
        <v>507</v>
      </c>
      <c r="L103" s="44">
        <f t="shared" si="11"/>
        <v>7.6330795420832347</v>
      </c>
      <c r="M103" s="55">
        <f t="shared" si="14"/>
        <v>30</v>
      </c>
      <c r="N103" s="55"/>
      <c r="O103" s="55"/>
      <c r="P103" s="55"/>
      <c r="Q103" s="55"/>
      <c r="R103" s="55"/>
      <c r="S103" s="55">
        <v>7072</v>
      </c>
      <c r="T103" s="47">
        <v>651</v>
      </c>
    </row>
    <row r="104" spans="1:20" x14ac:dyDescent="0.25">
      <c r="A104" s="42" t="str">
        <f t="shared" si="7"/>
        <v>CARF  200*12</v>
      </c>
      <c r="B104" s="44">
        <f t="shared" si="8"/>
        <v>65.986681678089511</v>
      </c>
      <c r="C104" s="43">
        <v>200</v>
      </c>
      <c r="D104" s="43"/>
      <c r="E104" s="43">
        <v>12</v>
      </c>
      <c r="F104" s="43">
        <f t="shared" si="9"/>
        <v>24</v>
      </c>
      <c r="G104" s="43">
        <f t="shared" si="10"/>
        <v>36</v>
      </c>
      <c r="H104" s="44">
        <f t="shared" si="13"/>
        <v>84.059467105846508</v>
      </c>
      <c r="I104" s="55">
        <v>4675</v>
      </c>
      <c r="J104" s="44">
        <f t="shared" si="15"/>
        <v>467.5</v>
      </c>
      <c r="K104" s="43">
        <v>573</v>
      </c>
      <c r="L104" s="44">
        <f t="shared" si="11"/>
        <v>7.4575726244798908</v>
      </c>
      <c r="M104" s="55">
        <f t="shared" si="14"/>
        <v>30.72</v>
      </c>
      <c r="N104" s="55"/>
      <c r="O104" s="55"/>
      <c r="P104" s="55"/>
      <c r="Q104" s="55"/>
      <c r="R104" s="55"/>
      <c r="S104" s="55">
        <v>8230</v>
      </c>
      <c r="T104" s="47">
        <v>743</v>
      </c>
    </row>
    <row r="105" spans="1:20" x14ac:dyDescent="0.25">
      <c r="A105" s="42" t="str">
        <f t="shared" si="7"/>
        <v>CARF  200*12.5</v>
      </c>
      <c r="B105" s="44">
        <f t="shared" si="8"/>
        <v>68.329298695843661</v>
      </c>
      <c r="C105" s="43">
        <v>200</v>
      </c>
      <c r="D105" s="43"/>
      <c r="E105" s="43">
        <v>12.5</v>
      </c>
      <c r="F105" s="43">
        <f t="shared" si="9"/>
        <v>25</v>
      </c>
      <c r="G105" s="43">
        <f t="shared" si="10"/>
        <v>37.5</v>
      </c>
      <c r="H105" s="44">
        <f t="shared" si="13"/>
        <v>87.043692606170268</v>
      </c>
      <c r="I105" s="55">
        <v>4797</v>
      </c>
      <c r="J105" s="44">
        <f t="shared" si="15"/>
        <v>479.7</v>
      </c>
      <c r="K105" s="43">
        <v>590</v>
      </c>
      <c r="L105" s="44">
        <f t="shared" si="11"/>
        <v>7.4236280820717111</v>
      </c>
      <c r="M105" s="55">
        <f t="shared" si="14"/>
        <v>31.25</v>
      </c>
      <c r="N105" s="55"/>
      <c r="O105" s="55"/>
      <c r="P105" s="55"/>
      <c r="Q105" s="55"/>
      <c r="R105" s="55"/>
      <c r="S105" s="55">
        <v>8502</v>
      </c>
      <c r="T105" s="47">
        <v>765</v>
      </c>
    </row>
    <row r="106" spans="1:20" x14ac:dyDescent="0.25">
      <c r="A106" s="48" t="str">
        <f t="shared" si="7"/>
        <v>CARF  200*16</v>
      </c>
      <c r="B106" s="50">
        <f t="shared" si="8"/>
        <v>83.816322983270254</v>
      </c>
      <c r="C106" s="49">
        <v>200</v>
      </c>
      <c r="D106" s="49"/>
      <c r="E106" s="49">
        <v>16</v>
      </c>
      <c r="F106" s="49">
        <f t="shared" si="9"/>
        <v>32</v>
      </c>
      <c r="G106" s="49">
        <f t="shared" si="10"/>
        <v>48</v>
      </c>
      <c r="H106" s="50">
        <f t="shared" si="13"/>
        <v>106.77238596594937</v>
      </c>
      <c r="I106" s="56">
        <v>5496</v>
      </c>
      <c r="J106" s="50">
        <f t="shared" si="15"/>
        <v>549.6</v>
      </c>
      <c r="K106" s="49">
        <v>699</v>
      </c>
      <c r="L106" s="50">
        <f t="shared" si="11"/>
        <v>7.1745371409282139</v>
      </c>
      <c r="M106" s="56">
        <f t="shared" si="14"/>
        <v>33.28</v>
      </c>
      <c r="N106" s="56"/>
      <c r="O106" s="56"/>
      <c r="P106" s="56"/>
      <c r="Q106" s="56"/>
      <c r="R106" s="56"/>
      <c r="S106" s="56">
        <v>10210</v>
      </c>
      <c r="T106" s="53">
        <v>901</v>
      </c>
    </row>
    <row r="107" spans="1:20" x14ac:dyDescent="0.25">
      <c r="A107" s="32" t="str">
        <f t="shared" si="7"/>
        <v>CARF  220*5</v>
      </c>
      <c r="B107" s="33">
        <f t="shared" si="8"/>
        <v>33.249612674800993</v>
      </c>
      <c r="C107" s="17">
        <v>220</v>
      </c>
      <c r="E107" s="17">
        <v>5</v>
      </c>
      <c r="F107" s="17">
        <f t="shared" si="9"/>
        <v>5</v>
      </c>
      <c r="G107" s="17">
        <f t="shared" si="10"/>
        <v>10</v>
      </c>
      <c r="H107" s="33">
        <f t="shared" si="13"/>
        <v>42.356194490192351</v>
      </c>
      <c r="I107" s="57">
        <v>3236</v>
      </c>
      <c r="J107" s="33">
        <f t="shared" si="15"/>
        <v>294.18181818181819</v>
      </c>
      <c r="K107" s="17">
        <v>340</v>
      </c>
      <c r="L107" s="33">
        <f t="shared" si="11"/>
        <v>8.7406914465119137</v>
      </c>
      <c r="M107" s="35">
        <f t="shared" si="14"/>
        <v>20</v>
      </c>
      <c r="N107" s="35"/>
      <c r="O107" s="35"/>
      <c r="P107" s="35"/>
      <c r="Q107" s="35"/>
      <c r="R107" s="35"/>
      <c r="S107" s="57">
        <v>5038</v>
      </c>
      <c r="T107" s="17">
        <v>442</v>
      </c>
    </row>
    <row r="108" spans="1:20" x14ac:dyDescent="0.25">
      <c r="A108" s="32" t="str">
        <f t="shared" si="7"/>
        <v>CARF  220*6</v>
      </c>
      <c r="B108" s="33">
        <f t="shared" si="8"/>
        <v>39.589842251713428</v>
      </c>
      <c r="C108" s="17">
        <v>220</v>
      </c>
      <c r="E108" s="17">
        <v>6</v>
      </c>
      <c r="F108" s="17">
        <f t="shared" si="9"/>
        <v>6</v>
      </c>
      <c r="G108" s="17">
        <f t="shared" si="10"/>
        <v>12</v>
      </c>
      <c r="H108" s="33">
        <f t="shared" si="13"/>
        <v>50.432920065876978</v>
      </c>
      <c r="I108" s="57">
        <v>3810</v>
      </c>
      <c r="J108" s="33">
        <f t="shared" si="15"/>
        <v>346.36363636363637</v>
      </c>
      <c r="K108" s="17">
        <v>402</v>
      </c>
      <c r="L108" s="33">
        <f t="shared" si="11"/>
        <v>8.6917140621163504</v>
      </c>
      <c r="M108" s="35">
        <f t="shared" si="14"/>
        <v>23.52</v>
      </c>
      <c r="N108" s="35"/>
      <c r="O108" s="35"/>
      <c r="P108" s="35"/>
      <c r="Q108" s="35"/>
      <c r="R108" s="35"/>
      <c r="S108" s="57">
        <v>5976</v>
      </c>
      <c r="T108" s="17">
        <v>521</v>
      </c>
    </row>
    <row r="109" spans="1:20" x14ac:dyDescent="0.25">
      <c r="A109" s="32" t="str">
        <f t="shared" si="7"/>
        <v>CARF  220*6.3</v>
      </c>
      <c r="B109" s="33">
        <f t="shared" si="8"/>
        <v>41.204330110018738</v>
      </c>
      <c r="C109" s="17">
        <v>220</v>
      </c>
      <c r="E109" s="17">
        <v>6.3</v>
      </c>
      <c r="F109" s="17">
        <f t="shared" si="9"/>
        <v>9.4499999999999993</v>
      </c>
      <c r="G109" s="17">
        <f t="shared" si="10"/>
        <v>15.75</v>
      </c>
      <c r="H109" s="33">
        <f t="shared" si="13"/>
        <v>52.489592496839158</v>
      </c>
      <c r="I109" s="57">
        <v>3934</v>
      </c>
      <c r="J109" s="33">
        <f t="shared" si="15"/>
        <v>357.63636363636363</v>
      </c>
      <c r="K109" s="17">
        <v>416</v>
      </c>
      <c r="L109" s="33">
        <f t="shared" si="11"/>
        <v>8.6572623227239749</v>
      </c>
      <c r="M109" s="35">
        <f t="shared" si="14"/>
        <v>23.751000000000001</v>
      </c>
      <c r="N109" s="35"/>
      <c r="O109" s="35"/>
      <c r="P109" s="35"/>
      <c r="Q109" s="35"/>
      <c r="R109" s="35"/>
      <c r="S109" s="57">
        <v>6277</v>
      </c>
      <c r="T109" s="17">
        <v>543</v>
      </c>
    </row>
    <row r="110" spans="1:20" x14ac:dyDescent="0.25">
      <c r="A110" s="32" t="str">
        <f t="shared" si="7"/>
        <v>CARF  220*8</v>
      </c>
      <c r="B110" s="33">
        <f t="shared" si="8"/>
        <v>51.529344596654056</v>
      </c>
      <c r="C110" s="17">
        <v>220</v>
      </c>
      <c r="E110" s="17">
        <v>8</v>
      </c>
      <c r="F110" s="17">
        <f t="shared" si="9"/>
        <v>12</v>
      </c>
      <c r="G110" s="17">
        <f t="shared" si="10"/>
        <v>20</v>
      </c>
      <c r="H110" s="33">
        <f t="shared" si="13"/>
        <v>65.642477193189876</v>
      </c>
      <c r="I110" s="57">
        <v>4815</v>
      </c>
      <c r="J110" s="33">
        <f t="shared" si="15"/>
        <v>437.72727272727275</v>
      </c>
      <c r="K110" s="17">
        <v>515</v>
      </c>
      <c r="L110" s="33">
        <f t="shared" si="11"/>
        <v>8.5645720009020394</v>
      </c>
      <c r="M110" s="35">
        <f t="shared" si="14"/>
        <v>28.8</v>
      </c>
      <c r="N110" s="35"/>
      <c r="O110" s="35"/>
      <c r="P110" s="35"/>
      <c r="Q110" s="35"/>
      <c r="R110" s="35"/>
      <c r="S110" s="57">
        <v>7815</v>
      </c>
      <c r="T110" s="17">
        <v>668</v>
      </c>
    </row>
    <row r="111" spans="1:20" x14ac:dyDescent="0.25">
      <c r="A111" s="32" t="str">
        <f t="shared" si="7"/>
        <v>CARF  220*10</v>
      </c>
      <c r="B111" s="33">
        <f t="shared" si="8"/>
        <v>63.24460093227195</v>
      </c>
      <c r="C111" s="17">
        <v>220</v>
      </c>
      <c r="E111" s="17">
        <v>10</v>
      </c>
      <c r="F111" s="17">
        <f t="shared" si="9"/>
        <v>15</v>
      </c>
      <c r="G111" s="17">
        <f t="shared" si="10"/>
        <v>25</v>
      </c>
      <c r="H111" s="33">
        <f t="shared" si="13"/>
        <v>80.566370614359172</v>
      </c>
      <c r="I111" s="57">
        <v>5757</v>
      </c>
      <c r="J111" s="33">
        <f t="shared" si="15"/>
        <v>523.36363636363637</v>
      </c>
      <c r="K111" s="17">
        <v>623</v>
      </c>
      <c r="L111" s="33">
        <f t="shared" si="11"/>
        <v>8.4532013713406062</v>
      </c>
      <c r="M111" s="35">
        <f t="shared" si="14"/>
        <v>34</v>
      </c>
      <c r="N111" s="35"/>
      <c r="O111" s="35"/>
      <c r="P111" s="35"/>
      <c r="Q111" s="35"/>
      <c r="R111" s="35"/>
      <c r="S111" s="57">
        <v>9533</v>
      </c>
      <c r="T111" s="17">
        <v>804</v>
      </c>
    </row>
    <row r="112" spans="1:20" x14ac:dyDescent="0.25">
      <c r="A112" s="32" t="str">
        <f t="shared" si="7"/>
        <v>CARF  220*12</v>
      </c>
      <c r="B112" s="33">
        <f t="shared" si="8"/>
        <v>73.522681678089498</v>
      </c>
      <c r="C112" s="17">
        <v>220</v>
      </c>
      <c r="E112" s="17">
        <v>12</v>
      </c>
      <c r="F112" s="17">
        <f t="shared" si="9"/>
        <v>24</v>
      </c>
      <c r="G112" s="17">
        <f t="shared" si="10"/>
        <v>36</v>
      </c>
      <c r="H112" s="33">
        <f t="shared" si="13"/>
        <v>93.659467105846502</v>
      </c>
      <c r="I112" s="57">
        <v>6425</v>
      </c>
      <c r="J112" s="33">
        <f t="shared" si="15"/>
        <v>584.09090909090912</v>
      </c>
      <c r="K112" s="17">
        <v>709</v>
      </c>
      <c r="L112" s="33">
        <f t="shared" si="11"/>
        <v>8.2824862730380246</v>
      </c>
      <c r="M112" s="35">
        <f t="shared" si="14"/>
        <v>35.520000000000003</v>
      </c>
      <c r="N112" s="35"/>
      <c r="O112" s="35"/>
      <c r="P112" s="35"/>
      <c r="Q112" s="35"/>
      <c r="R112" s="35"/>
      <c r="S112" s="57">
        <v>11149</v>
      </c>
      <c r="T112" s="17">
        <v>922</v>
      </c>
    </row>
    <row r="113" spans="1:20" x14ac:dyDescent="0.25">
      <c r="A113" s="32" t="str">
        <f t="shared" si="7"/>
        <v>CARF  220*12.5</v>
      </c>
      <c r="B113" s="33">
        <f t="shared" si="8"/>
        <v>76.179298695843656</v>
      </c>
      <c r="C113" s="17">
        <v>220</v>
      </c>
      <c r="E113" s="17">
        <v>12.5</v>
      </c>
      <c r="F113" s="17">
        <f t="shared" si="9"/>
        <v>25</v>
      </c>
      <c r="G113" s="17">
        <f t="shared" si="10"/>
        <v>37.5</v>
      </c>
      <c r="H113" s="33">
        <f t="shared" si="13"/>
        <v>97.043692606170268</v>
      </c>
      <c r="I113" s="57">
        <v>6605</v>
      </c>
      <c r="J113" s="33">
        <f t="shared" si="15"/>
        <v>600.4545454545455</v>
      </c>
      <c r="K113" s="17">
        <v>732</v>
      </c>
      <c r="L113" s="33">
        <f t="shared" si="11"/>
        <v>8.2499773122766626</v>
      </c>
      <c r="M113" s="35">
        <f t="shared" si="14"/>
        <v>36.25</v>
      </c>
      <c r="N113" s="35"/>
      <c r="O113" s="35"/>
      <c r="P113" s="35"/>
      <c r="Q113" s="35"/>
      <c r="R113" s="35"/>
      <c r="S113" s="57">
        <v>11530</v>
      </c>
      <c r="T113" s="17">
        <v>951</v>
      </c>
    </row>
    <row r="114" spans="1:20" x14ac:dyDescent="0.25">
      <c r="A114" s="32" t="str">
        <f t="shared" si="7"/>
        <v>CARF  220*16</v>
      </c>
      <c r="B114" s="33">
        <f t="shared" si="8"/>
        <v>93.864322983270256</v>
      </c>
      <c r="C114" s="17">
        <v>220</v>
      </c>
      <c r="E114" s="17">
        <v>16</v>
      </c>
      <c r="F114" s="17">
        <f t="shared" si="9"/>
        <v>32</v>
      </c>
      <c r="G114" s="17">
        <f t="shared" si="10"/>
        <v>48</v>
      </c>
      <c r="H114" s="33">
        <f t="shared" si="13"/>
        <v>119.57238596594937</v>
      </c>
      <c r="I114" s="57">
        <v>7669</v>
      </c>
      <c r="J114" s="33">
        <f t="shared" si="15"/>
        <v>697.18181818181813</v>
      </c>
      <c r="K114" s="17">
        <v>874</v>
      </c>
      <c r="L114" s="33">
        <f t="shared" si="11"/>
        <v>8.0085505507190593</v>
      </c>
      <c r="M114" s="35">
        <f t="shared" si="14"/>
        <v>39.68</v>
      </c>
      <c r="N114" s="35"/>
      <c r="O114" s="35"/>
      <c r="P114" s="35"/>
      <c r="Q114" s="35"/>
      <c r="R114" s="35"/>
      <c r="S114" s="57">
        <v>13971</v>
      </c>
      <c r="T114" s="17">
        <v>1129</v>
      </c>
    </row>
    <row r="115" spans="1:20" x14ac:dyDescent="0.25">
      <c r="A115" s="36" t="str">
        <f t="shared" si="7"/>
        <v>CARF  250*5</v>
      </c>
      <c r="B115" s="38">
        <f t="shared" si="8"/>
        <v>37.959612674800994</v>
      </c>
      <c r="C115" s="37">
        <v>250</v>
      </c>
      <c r="D115" s="37"/>
      <c r="E115" s="37">
        <v>5</v>
      </c>
      <c r="F115" s="37">
        <f t="shared" si="9"/>
        <v>5</v>
      </c>
      <c r="G115" s="37">
        <f t="shared" si="10"/>
        <v>10</v>
      </c>
      <c r="H115" s="38">
        <f t="shared" si="13"/>
        <v>48.356194490192351</v>
      </c>
      <c r="I115" s="54">
        <v>4803</v>
      </c>
      <c r="J115" s="38">
        <f t="shared" si="15"/>
        <v>384.24</v>
      </c>
      <c r="K115" s="37">
        <v>442</v>
      </c>
      <c r="L115" s="38">
        <f t="shared" si="11"/>
        <v>9.9662146229410027</v>
      </c>
      <c r="M115" s="54">
        <f t="shared" si="14"/>
        <v>23</v>
      </c>
      <c r="N115" s="54"/>
      <c r="O115" s="54"/>
      <c r="P115" s="54"/>
      <c r="Q115" s="54"/>
      <c r="R115" s="54"/>
      <c r="S115" s="54">
        <v>7443</v>
      </c>
      <c r="T115" s="41">
        <v>577</v>
      </c>
    </row>
    <row r="116" spans="1:20" x14ac:dyDescent="0.25">
      <c r="A116" s="42" t="str">
        <f t="shared" si="7"/>
        <v>CARF  250*6</v>
      </c>
      <c r="B116" s="44">
        <f t="shared" si="8"/>
        <v>45.241842251713429</v>
      </c>
      <c r="C116" s="43">
        <v>250</v>
      </c>
      <c r="D116" s="43"/>
      <c r="E116" s="43">
        <v>6</v>
      </c>
      <c r="F116" s="43">
        <f t="shared" si="9"/>
        <v>6</v>
      </c>
      <c r="G116" s="43">
        <f t="shared" si="10"/>
        <v>12</v>
      </c>
      <c r="H116" s="44">
        <f t="shared" si="13"/>
        <v>57.632920065876981</v>
      </c>
      <c r="I116" s="55">
        <v>5668</v>
      </c>
      <c r="J116" s="44">
        <f t="shared" si="15"/>
        <v>453.44</v>
      </c>
      <c r="K116" s="43">
        <v>524</v>
      </c>
      <c r="L116" s="44">
        <f t="shared" si="11"/>
        <v>9.9169839098775334</v>
      </c>
      <c r="M116" s="55">
        <f t="shared" si="14"/>
        <v>27.12</v>
      </c>
      <c r="N116" s="55"/>
      <c r="O116" s="55"/>
      <c r="P116" s="55"/>
      <c r="Q116" s="55"/>
      <c r="R116" s="55"/>
      <c r="S116" s="55">
        <v>8843</v>
      </c>
      <c r="T116" s="47">
        <v>681</v>
      </c>
    </row>
    <row r="117" spans="1:20" x14ac:dyDescent="0.25">
      <c r="A117" s="42" t="str">
        <f t="shared" si="7"/>
        <v>CARF  250*6.3</v>
      </c>
      <c r="B117" s="44">
        <f t="shared" si="8"/>
        <v>47.138930110018741</v>
      </c>
      <c r="C117" s="43">
        <v>250</v>
      </c>
      <c r="D117" s="43"/>
      <c r="E117" s="43">
        <v>6.3</v>
      </c>
      <c r="F117" s="43">
        <f t="shared" si="9"/>
        <v>9.4499999999999993</v>
      </c>
      <c r="G117" s="43">
        <f t="shared" si="10"/>
        <v>15.75</v>
      </c>
      <c r="H117" s="44">
        <f t="shared" si="13"/>
        <v>60.049592496839161</v>
      </c>
      <c r="I117" s="55">
        <v>5865</v>
      </c>
      <c r="J117" s="44">
        <f t="shared" si="15"/>
        <v>469.2</v>
      </c>
      <c r="K117" s="43">
        <v>544</v>
      </c>
      <c r="L117" s="44">
        <f t="shared" si="11"/>
        <v>9.8827765472083371</v>
      </c>
      <c r="M117" s="55">
        <f t="shared" si="14"/>
        <v>27.530999999999999</v>
      </c>
      <c r="N117" s="55"/>
      <c r="O117" s="55"/>
      <c r="P117" s="55"/>
      <c r="Q117" s="55"/>
      <c r="R117" s="55"/>
      <c r="S117" s="55">
        <v>9290</v>
      </c>
      <c r="T117" s="47">
        <v>711</v>
      </c>
    </row>
    <row r="118" spans="1:20" x14ac:dyDescent="0.25">
      <c r="A118" s="42" t="str">
        <f t="shared" si="7"/>
        <v>CARF  250*8</v>
      </c>
      <c r="B118" s="44">
        <f t="shared" si="8"/>
        <v>59.06534459665405</v>
      </c>
      <c r="C118" s="43">
        <v>250</v>
      </c>
      <c r="D118" s="43"/>
      <c r="E118" s="43">
        <v>8</v>
      </c>
      <c r="F118" s="43">
        <f t="shared" si="9"/>
        <v>12</v>
      </c>
      <c r="G118" s="43">
        <f t="shared" si="10"/>
        <v>20</v>
      </c>
      <c r="H118" s="44">
        <f t="shared" si="13"/>
        <v>75.24247719318987</v>
      </c>
      <c r="I118" s="55">
        <v>7214</v>
      </c>
      <c r="J118" s="44">
        <f t="shared" si="15"/>
        <v>577.12</v>
      </c>
      <c r="K118" s="43">
        <v>675</v>
      </c>
      <c r="L118" s="44">
        <f t="shared" si="11"/>
        <v>9.7916645423359832</v>
      </c>
      <c r="M118" s="55">
        <f t="shared" si="14"/>
        <v>33.6</v>
      </c>
      <c r="N118" s="55"/>
      <c r="O118" s="55"/>
      <c r="P118" s="55"/>
      <c r="Q118" s="55"/>
      <c r="R118" s="55"/>
      <c r="S118" s="55">
        <v>11598</v>
      </c>
      <c r="T118" s="47">
        <v>878</v>
      </c>
    </row>
    <row r="119" spans="1:20" x14ac:dyDescent="0.25">
      <c r="A119" s="42" t="str">
        <f t="shared" ref="A119:A145" si="16">$B$3&amp;"  "&amp;C119&amp;"*"&amp;E119</f>
        <v>CARF  250*10</v>
      </c>
      <c r="B119" s="44">
        <f t="shared" ref="B119:B145" si="17">(H119*7850)/10000</f>
        <v>72.664600932271952</v>
      </c>
      <c r="C119" s="43">
        <v>250</v>
      </c>
      <c r="D119" s="43"/>
      <c r="E119" s="43">
        <v>10</v>
      </c>
      <c r="F119" s="43">
        <f t="shared" ref="F119:F145" si="18">IF(E119&lt;=6,1*E119,IF(E119&lt;=10,1.5*E119,2*E119))</f>
        <v>15</v>
      </c>
      <c r="G119" s="43">
        <f t="shared" ref="G119:G145" si="19">IF(E119&lt;=6,2*E119,IF(E119&lt;=10,2.5*E119,3*E119))</f>
        <v>25</v>
      </c>
      <c r="H119" s="44">
        <f t="shared" si="13"/>
        <v>92.566370614359172</v>
      </c>
      <c r="I119" s="55">
        <v>8678</v>
      </c>
      <c r="J119" s="44">
        <f t="shared" si="15"/>
        <v>694.24</v>
      </c>
      <c r="K119" s="43">
        <v>821</v>
      </c>
      <c r="L119" s="44">
        <f t="shared" ref="L119:L145" si="20">SQRT(I119/H119)</f>
        <v>9.6824041154792688</v>
      </c>
      <c r="M119" s="55">
        <f t="shared" si="14"/>
        <v>40</v>
      </c>
      <c r="N119" s="55"/>
      <c r="O119" s="55"/>
      <c r="P119" s="55"/>
      <c r="Q119" s="55"/>
      <c r="R119" s="55"/>
      <c r="S119" s="55">
        <v>14197</v>
      </c>
      <c r="T119" s="47">
        <v>1062</v>
      </c>
    </row>
    <row r="120" spans="1:20" x14ac:dyDescent="0.25">
      <c r="A120" s="42" t="str">
        <f t="shared" si="16"/>
        <v>CARF  250*12</v>
      </c>
      <c r="B120" s="44">
        <f t="shared" si="17"/>
        <v>84.826681678089514</v>
      </c>
      <c r="C120" s="43">
        <v>250</v>
      </c>
      <c r="D120" s="43"/>
      <c r="E120" s="43">
        <v>12</v>
      </c>
      <c r="F120" s="43">
        <f t="shared" si="18"/>
        <v>24</v>
      </c>
      <c r="G120" s="43">
        <f t="shared" si="19"/>
        <v>36</v>
      </c>
      <c r="H120" s="44">
        <f t="shared" si="13"/>
        <v>108.05946710584651</v>
      </c>
      <c r="I120" s="55">
        <v>9789</v>
      </c>
      <c r="J120" s="44">
        <f t="shared" si="15"/>
        <v>783.12</v>
      </c>
      <c r="K120" s="43">
        <v>941</v>
      </c>
      <c r="L120" s="44">
        <f t="shared" si="20"/>
        <v>9.5178258361147652</v>
      </c>
      <c r="M120" s="55">
        <f t="shared" si="14"/>
        <v>42.72</v>
      </c>
      <c r="N120" s="55"/>
      <c r="O120" s="55"/>
      <c r="P120" s="55"/>
      <c r="Q120" s="55"/>
      <c r="R120" s="55"/>
      <c r="S120" s="55">
        <v>16691</v>
      </c>
      <c r="T120" s="47">
        <v>1226</v>
      </c>
    </row>
    <row r="121" spans="1:20" x14ac:dyDescent="0.25">
      <c r="A121" s="42" t="str">
        <f t="shared" si="16"/>
        <v>CARF  250*12.5</v>
      </c>
      <c r="B121" s="44">
        <f t="shared" si="17"/>
        <v>87.954298695843661</v>
      </c>
      <c r="C121" s="43">
        <v>250</v>
      </c>
      <c r="D121" s="43"/>
      <c r="E121" s="43">
        <v>12.5</v>
      </c>
      <c r="F121" s="43">
        <f t="shared" si="18"/>
        <v>25</v>
      </c>
      <c r="G121" s="43">
        <f t="shared" si="19"/>
        <v>37.5</v>
      </c>
      <c r="H121" s="44">
        <f t="shared" si="13"/>
        <v>112.04369260617027</v>
      </c>
      <c r="I121" s="55">
        <v>10082</v>
      </c>
      <c r="J121" s="44">
        <f t="shared" si="15"/>
        <v>806.56</v>
      </c>
      <c r="K121" s="43">
        <v>972</v>
      </c>
      <c r="L121" s="44">
        <f t="shared" si="20"/>
        <v>9.4859239792906376</v>
      </c>
      <c r="M121" s="55">
        <f t="shared" si="14"/>
        <v>43.75</v>
      </c>
      <c r="N121" s="55"/>
      <c r="O121" s="55"/>
      <c r="P121" s="55"/>
      <c r="Q121" s="55"/>
      <c r="R121" s="55"/>
      <c r="S121" s="55">
        <v>13283</v>
      </c>
      <c r="T121" s="47">
        <v>1266</v>
      </c>
    </row>
    <row r="122" spans="1:20" x14ac:dyDescent="0.25">
      <c r="A122" s="48" t="str">
        <f t="shared" si="16"/>
        <v>CARF  250*16</v>
      </c>
      <c r="B122" s="50">
        <f t="shared" si="17"/>
        <v>108.93632298327023</v>
      </c>
      <c r="C122" s="49">
        <v>250</v>
      </c>
      <c r="D122" s="49"/>
      <c r="E122" s="49">
        <v>16</v>
      </c>
      <c r="F122" s="49">
        <f t="shared" si="18"/>
        <v>32</v>
      </c>
      <c r="G122" s="49">
        <f t="shared" si="19"/>
        <v>48</v>
      </c>
      <c r="H122" s="50">
        <f t="shared" si="13"/>
        <v>138.77238596594935</v>
      </c>
      <c r="I122" s="56">
        <v>11883</v>
      </c>
      <c r="J122" s="50">
        <f t="shared" si="15"/>
        <v>950.64</v>
      </c>
      <c r="K122" s="49">
        <v>1173</v>
      </c>
      <c r="L122" s="50">
        <f t="shared" si="20"/>
        <v>9.2536170099099948</v>
      </c>
      <c r="M122" s="56">
        <f t="shared" si="14"/>
        <v>49.28</v>
      </c>
      <c r="N122" s="56"/>
      <c r="O122" s="56"/>
      <c r="P122" s="56"/>
      <c r="Q122" s="56"/>
      <c r="R122" s="56"/>
      <c r="S122" s="56">
        <v>21146</v>
      </c>
      <c r="T122" s="53">
        <v>1520</v>
      </c>
    </row>
    <row r="123" spans="1:20" x14ac:dyDescent="0.25">
      <c r="A123" s="32" t="str">
        <f t="shared" si="16"/>
        <v>CARF  260*6</v>
      </c>
      <c r="B123" s="33">
        <f t="shared" si="17"/>
        <v>47.125842251713429</v>
      </c>
      <c r="C123" s="17">
        <v>260</v>
      </c>
      <c r="E123" s="17">
        <v>6</v>
      </c>
      <c r="F123" s="17">
        <f t="shared" si="18"/>
        <v>6</v>
      </c>
      <c r="G123" s="17">
        <f t="shared" si="19"/>
        <v>12</v>
      </c>
      <c r="H123" s="33">
        <f t="shared" si="13"/>
        <v>60.032920065876979</v>
      </c>
      <c r="I123" s="57">
        <v>6400</v>
      </c>
      <c r="J123" s="33">
        <f t="shared" si="15"/>
        <v>492.30769230769232</v>
      </c>
      <c r="K123" s="17">
        <v>569</v>
      </c>
      <c r="L123" s="33">
        <f t="shared" si="20"/>
        <v>10.325123447108979</v>
      </c>
      <c r="M123" s="35">
        <f t="shared" si="14"/>
        <v>28.32</v>
      </c>
      <c r="N123" s="35"/>
      <c r="O123" s="35"/>
      <c r="P123" s="35"/>
      <c r="Q123" s="35"/>
      <c r="R123" s="35"/>
      <c r="S123" s="57">
        <v>9970</v>
      </c>
      <c r="T123" s="17">
        <v>739</v>
      </c>
    </row>
    <row r="124" spans="1:20" x14ac:dyDescent="0.25">
      <c r="A124" s="32" t="str">
        <f t="shared" si="16"/>
        <v>CARF  260*6.3</v>
      </c>
      <c r="B124" s="33">
        <f t="shared" si="17"/>
        <v>49.117130110018742</v>
      </c>
      <c r="C124" s="17">
        <v>260</v>
      </c>
      <c r="E124" s="17">
        <v>6.3</v>
      </c>
      <c r="F124" s="17">
        <f t="shared" si="18"/>
        <v>9.4499999999999993</v>
      </c>
      <c r="G124" s="17">
        <f t="shared" si="19"/>
        <v>15.75</v>
      </c>
      <c r="H124" s="33">
        <f t="shared" si="13"/>
        <v>62.569592496839164</v>
      </c>
      <c r="I124" s="57">
        <v>6627</v>
      </c>
      <c r="J124" s="33">
        <f t="shared" si="15"/>
        <v>509.76923076923077</v>
      </c>
      <c r="K124" s="17">
        <v>590</v>
      </c>
      <c r="L124" s="33">
        <f t="shared" si="20"/>
        <v>10.29145601021763</v>
      </c>
      <c r="M124" s="35">
        <f t="shared" si="14"/>
        <v>28.791</v>
      </c>
      <c r="N124" s="35"/>
      <c r="O124" s="35"/>
      <c r="P124" s="35"/>
      <c r="Q124" s="35"/>
      <c r="R124" s="35"/>
      <c r="S124" s="57">
        <v>10475</v>
      </c>
      <c r="T124" s="17">
        <v>772</v>
      </c>
    </row>
    <row r="125" spans="1:20" x14ac:dyDescent="0.25">
      <c r="A125" s="32" t="str">
        <f t="shared" si="16"/>
        <v>CARF  260*8</v>
      </c>
      <c r="B125" s="33">
        <f t="shared" si="17"/>
        <v>61.577344596654051</v>
      </c>
      <c r="C125" s="17">
        <v>260</v>
      </c>
      <c r="E125" s="17">
        <v>8</v>
      </c>
      <c r="F125" s="17">
        <f t="shared" si="18"/>
        <v>12</v>
      </c>
      <c r="G125" s="17">
        <f t="shared" si="19"/>
        <v>20</v>
      </c>
      <c r="H125" s="33">
        <f t="shared" si="13"/>
        <v>78.442477193189873</v>
      </c>
      <c r="I125" s="57">
        <v>8163</v>
      </c>
      <c r="J125" s="33">
        <f t="shared" si="15"/>
        <v>627.92307692307691</v>
      </c>
      <c r="K125" s="17">
        <v>733</v>
      </c>
      <c r="L125" s="33">
        <f t="shared" si="20"/>
        <v>10.201152692168279</v>
      </c>
      <c r="M125" s="35">
        <f t="shared" si="14"/>
        <v>35.200000000000003</v>
      </c>
      <c r="N125" s="35"/>
      <c r="O125" s="35"/>
      <c r="P125" s="35"/>
      <c r="Q125" s="35"/>
      <c r="R125" s="35"/>
      <c r="S125" s="57">
        <v>13087</v>
      </c>
      <c r="T125" s="17">
        <v>955</v>
      </c>
    </row>
    <row r="126" spans="1:20" x14ac:dyDescent="0.25">
      <c r="A126" s="32" t="str">
        <f t="shared" si="16"/>
        <v>CARF  260*10</v>
      </c>
      <c r="B126" s="33">
        <f t="shared" si="17"/>
        <v>75.804600932271953</v>
      </c>
      <c r="C126" s="17">
        <v>260</v>
      </c>
      <c r="E126" s="17">
        <v>10</v>
      </c>
      <c r="F126" s="17">
        <f t="shared" si="18"/>
        <v>15</v>
      </c>
      <c r="G126" s="17">
        <f t="shared" si="19"/>
        <v>25</v>
      </c>
      <c r="H126" s="33">
        <f t="shared" si="13"/>
        <v>96.566370614359172</v>
      </c>
      <c r="I126" s="57">
        <v>9835</v>
      </c>
      <c r="J126" s="33">
        <f t="shared" si="15"/>
        <v>756.53846153846155</v>
      </c>
      <c r="K126" s="17">
        <v>893</v>
      </c>
      <c r="L126" s="33">
        <f t="shared" si="20"/>
        <v>10.091929956437607</v>
      </c>
      <c r="M126" s="35">
        <f t="shared" si="14"/>
        <v>42</v>
      </c>
      <c r="N126" s="35"/>
      <c r="O126" s="35"/>
      <c r="P126" s="35"/>
      <c r="Q126" s="35"/>
      <c r="R126" s="35"/>
      <c r="S126" s="57">
        <v>16035</v>
      </c>
      <c r="T126" s="17">
        <v>1156</v>
      </c>
    </row>
    <row r="127" spans="1:20" x14ac:dyDescent="0.25">
      <c r="A127" s="32" t="str">
        <f t="shared" si="16"/>
        <v>CARF  260*12</v>
      </c>
      <c r="B127" s="33">
        <f t="shared" si="17"/>
        <v>88.594681678089515</v>
      </c>
      <c r="C127" s="17">
        <v>260</v>
      </c>
      <c r="E127" s="17">
        <v>12</v>
      </c>
      <c r="F127" s="17">
        <f t="shared" si="18"/>
        <v>24</v>
      </c>
      <c r="G127" s="17">
        <f t="shared" si="19"/>
        <v>36</v>
      </c>
      <c r="H127" s="33">
        <f t="shared" si="13"/>
        <v>112.85946710584651</v>
      </c>
      <c r="I127" s="57">
        <v>11126</v>
      </c>
      <c r="J127" s="33">
        <f t="shared" si="15"/>
        <v>855.84615384615381</v>
      </c>
      <c r="K127" s="17">
        <v>1025</v>
      </c>
      <c r="L127" s="33">
        <f t="shared" si="20"/>
        <v>9.9288861335398604</v>
      </c>
      <c r="M127" s="35">
        <f t="shared" si="14"/>
        <v>45.12</v>
      </c>
      <c r="N127" s="35"/>
      <c r="O127" s="35"/>
      <c r="P127" s="35"/>
      <c r="Q127" s="35"/>
      <c r="R127" s="35"/>
      <c r="S127" s="57">
        <v>18878</v>
      </c>
      <c r="T127" s="17">
        <v>1337</v>
      </c>
    </row>
    <row r="128" spans="1:20" x14ac:dyDescent="0.25">
      <c r="A128" s="32" t="str">
        <f t="shared" si="16"/>
        <v>CARF  260*12.5</v>
      </c>
      <c r="B128" s="33">
        <f t="shared" si="17"/>
        <v>91.879298695843659</v>
      </c>
      <c r="C128" s="17">
        <v>260</v>
      </c>
      <c r="E128" s="17">
        <v>12.5</v>
      </c>
      <c r="F128" s="17">
        <f t="shared" si="18"/>
        <v>25</v>
      </c>
      <c r="G128" s="17">
        <f t="shared" si="19"/>
        <v>37.5</v>
      </c>
      <c r="H128" s="33">
        <f t="shared" si="13"/>
        <v>117.04369260617027</v>
      </c>
      <c r="I128" s="57">
        <v>11465</v>
      </c>
      <c r="J128" s="33">
        <f t="shared" si="15"/>
        <v>881.92307692307691</v>
      </c>
      <c r="K128" s="17">
        <v>1059</v>
      </c>
      <c r="L128" s="33">
        <f t="shared" si="20"/>
        <v>9.8972153971806662</v>
      </c>
      <c r="M128" s="35">
        <f t="shared" si="14"/>
        <v>46.25</v>
      </c>
      <c r="N128" s="35"/>
      <c r="O128" s="35"/>
      <c r="P128" s="35"/>
      <c r="Q128" s="35"/>
      <c r="R128" s="35"/>
      <c r="S128" s="57">
        <v>19553</v>
      </c>
      <c r="T128" s="17">
        <v>1381</v>
      </c>
    </row>
    <row r="129" spans="1:20" x14ac:dyDescent="0.25">
      <c r="A129" s="32" t="str">
        <f t="shared" si="16"/>
        <v>CARF  260*16</v>
      </c>
      <c r="B129" s="33">
        <f t="shared" si="17"/>
        <v>113.96032298327026</v>
      </c>
      <c r="C129" s="17">
        <v>260</v>
      </c>
      <c r="E129" s="17">
        <v>16</v>
      </c>
      <c r="F129" s="17">
        <f t="shared" si="18"/>
        <v>32</v>
      </c>
      <c r="G129" s="17">
        <f t="shared" si="19"/>
        <v>48</v>
      </c>
      <c r="H129" s="33">
        <f t="shared" si="13"/>
        <v>145.17238596594936</v>
      </c>
      <c r="I129" s="57">
        <v>13568</v>
      </c>
      <c r="J129" s="33">
        <f t="shared" si="15"/>
        <v>1043.6923076923076</v>
      </c>
      <c r="K129" s="17">
        <v>1282</v>
      </c>
      <c r="L129" s="33">
        <f t="shared" si="20"/>
        <v>9.6675384961902413</v>
      </c>
      <c r="M129" s="35">
        <f t="shared" si="14"/>
        <v>52.480000000000004</v>
      </c>
      <c r="N129" s="35"/>
      <c r="O129" s="35"/>
      <c r="P129" s="35"/>
      <c r="Q129" s="35"/>
      <c r="R129" s="35"/>
      <c r="S129" s="57">
        <v>23986</v>
      </c>
      <c r="T129" s="17">
        <v>1663</v>
      </c>
    </row>
    <row r="130" spans="1:20" x14ac:dyDescent="0.25">
      <c r="A130" s="36" t="str">
        <f t="shared" si="16"/>
        <v>CARF  300*6</v>
      </c>
      <c r="B130" s="38">
        <f t="shared" si="17"/>
        <v>54.661842251713423</v>
      </c>
      <c r="C130" s="37">
        <v>300</v>
      </c>
      <c r="D130" s="37"/>
      <c r="E130" s="37">
        <v>6</v>
      </c>
      <c r="F130" s="37">
        <f t="shared" si="18"/>
        <v>6</v>
      </c>
      <c r="G130" s="37">
        <f t="shared" si="19"/>
        <v>12</v>
      </c>
      <c r="H130" s="38">
        <f t="shared" si="13"/>
        <v>69.632920065876974</v>
      </c>
      <c r="I130" s="54">
        <v>9959</v>
      </c>
      <c r="J130" s="38">
        <f t="shared" si="15"/>
        <v>663.93333333333328</v>
      </c>
      <c r="K130" s="37">
        <v>764</v>
      </c>
      <c r="L130" s="38">
        <f t="shared" si="20"/>
        <v>11.959156861191962</v>
      </c>
      <c r="M130" s="54">
        <f t="shared" si="14"/>
        <v>33.119999999999997</v>
      </c>
      <c r="N130" s="54"/>
      <c r="O130" s="54"/>
      <c r="P130" s="54"/>
      <c r="Q130" s="54"/>
      <c r="R130" s="54"/>
      <c r="S130" s="54">
        <v>15434</v>
      </c>
      <c r="T130" s="41">
        <v>997</v>
      </c>
    </row>
    <row r="131" spans="1:20" x14ac:dyDescent="0.25">
      <c r="A131" s="42" t="str">
        <f t="shared" si="16"/>
        <v>CARF  300*6.3</v>
      </c>
      <c r="B131" s="44">
        <f t="shared" si="17"/>
        <v>57.029930110018746</v>
      </c>
      <c r="C131" s="43">
        <v>300</v>
      </c>
      <c r="D131" s="43"/>
      <c r="E131" s="43">
        <v>6.3</v>
      </c>
      <c r="F131" s="43">
        <f t="shared" si="18"/>
        <v>9.4499999999999993</v>
      </c>
      <c r="G131" s="43">
        <f t="shared" si="19"/>
        <v>15.75</v>
      </c>
      <c r="H131" s="44">
        <f t="shared" si="13"/>
        <v>72.649592496839162</v>
      </c>
      <c r="I131" s="55">
        <v>10333</v>
      </c>
      <c r="J131" s="44">
        <f t="shared" si="15"/>
        <v>688.86666666666667</v>
      </c>
      <c r="K131" s="43">
        <v>795</v>
      </c>
      <c r="L131" s="44">
        <f t="shared" si="20"/>
        <v>11.926049933909507</v>
      </c>
      <c r="M131" s="55">
        <f t="shared" si="14"/>
        <v>33.831000000000003</v>
      </c>
      <c r="N131" s="55"/>
      <c r="O131" s="55"/>
      <c r="P131" s="55"/>
      <c r="Q131" s="55"/>
      <c r="R131" s="55"/>
      <c r="S131" s="55">
        <v>16218</v>
      </c>
      <c r="T131" s="47">
        <v>1042</v>
      </c>
    </row>
    <row r="132" spans="1:20" x14ac:dyDescent="0.25">
      <c r="A132" s="42" t="str">
        <f t="shared" si="16"/>
        <v>CARF  300*8</v>
      </c>
      <c r="B132" s="44">
        <f t="shared" si="17"/>
        <v>71.62534459665406</v>
      </c>
      <c r="C132" s="43">
        <v>300</v>
      </c>
      <c r="D132" s="43"/>
      <c r="E132" s="43">
        <v>8</v>
      </c>
      <c r="F132" s="43">
        <f t="shared" si="18"/>
        <v>12</v>
      </c>
      <c r="G132" s="43">
        <f t="shared" si="19"/>
        <v>20</v>
      </c>
      <c r="H132" s="44">
        <f t="shared" ref="H132:H145" si="21">(4*(C132-2*G132)*E132+PI()*(G132^2-F132^2))*0.01</f>
        <v>91.242477193189885</v>
      </c>
      <c r="I132" s="55">
        <v>12783</v>
      </c>
      <c r="J132" s="44">
        <f t="shared" si="15"/>
        <v>852.2</v>
      </c>
      <c r="K132" s="43">
        <v>990</v>
      </c>
      <c r="L132" s="44">
        <f t="shared" si="20"/>
        <v>11.836351686792376</v>
      </c>
      <c r="M132" s="55">
        <f t="shared" ref="M132:M145" si="22">2*(C132-2*G132)*E132*0.01</f>
        <v>41.6</v>
      </c>
      <c r="N132" s="55"/>
      <c r="O132" s="55"/>
      <c r="P132" s="55"/>
      <c r="Q132" s="55"/>
      <c r="R132" s="55"/>
      <c r="S132" s="55">
        <v>20312</v>
      </c>
      <c r="T132" s="47">
        <v>1293</v>
      </c>
    </row>
    <row r="133" spans="1:20" x14ac:dyDescent="0.25">
      <c r="A133" s="42" t="str">
        <f t="shared" si="16"/>
        <v>CARF  300*10</v>
      </c>
      <c r="B133" s="44">
        <f t="shared" si="17"/>
        <v>88.364600932271955</v>
      </c>
      <c r="C133" s="43">
        <v>300</v>
      </c>
      <c r="D133" s="43"/>
      <c r="E133" s="43">
        <v>10</v>
      </c>
      <c r="F133" s="43">
        <f t="shared" si="18"/>
        <v>15</v>
      </c>
      <c r="G133" s="43">
        <f t="shared" si="19"/>
        <v>25</v>
      </c>
      <c r="H133" s="44">
        <f t="shared" si="21"/>
        <v>112.56637061435917</v>
      </c>
      <c r="I133" s="55">
        <v>15484</v>
      </c>
      <c r="J133" s="44">
        <f t="shared" si="15"/>
        <v>1032.2666666666667</v>
      </c>
      <c r="K133" s="43">
        <v>1210</v>
      </c>
      <c r="L133" s="44">
        <f t="shared" si="20"/>
        <v>11.728358956804252</v>
      </c>
      <c r="M133" s="55">
        <f t="shared" si="22"/>
        <v>50</v>
      </c>
      <c r="N133" s="55"/>
      <c r="O133" s="55"/>
      <c r="P133" s="55"/>
      <c r="Q133" s="55"/>
      <c r="R133" s="55"/>
      <c r="S133" s="55">
        <v>24966</v>
      </c>
      <c r="T133" s="47">
        <v>1572</v>
      </c>
    </row>
    <row r="134" spans="1:20" x14ac:dyDescent="0.25">
      <c r="A134" s="42" t="str">
        <f t="shared" si="16"/>
        <v>CARF  300*12</v>
      </c>
      <c r="B134" s="44">
        <f t="shared" si="17"/>
        <v>103.66668167808952</v>
      </c>
      <c r="C134" s="43">
        <v>300</v>
      </c>
      <c r="D134" s="43"/>
      <c r="E134" s="43">
        <v>12</v>
      </c>
      <c r="F134" s="43">
        <f t="shared" si="18"/>
        <v>24</v>
      </c>
      <c r="G134" s="43">
        <f t="shared" si="19"/>
        <v>36</v>
      </c>
      <c r="H134" s="44">
        <f t="shared" si="21"/>
        <v>132.05946710584652</v>
      </c>
      <c r="I134" s="55">
        <v>17682</v>
      </c>
      <c r="J134" s="44">
        <f t="shared" si="15"/>
        <v>1178.8</v>
      </c>
      <c r="K134" s="43">
        <v>1399</v>
      </c>
      <c r="L134" s="44">
        <f t="shared" si="20"/>
        <v>11.571267216017194</v>
      </c>
      <c r="M134" s="55">
        <f t="shared" si="22"/>
        <v>54.72</v>
      </c>
      <c r="N134" s="55"/>
      <c r="O134" s="55"/>
      <c r="P134" s="55"/>
      <c r="Q134" s="55"/>
      <c r="R134" s="55"/>
      <c r="S134" s="55">
        <v>29514</v>
      </c>
      <c r="T134" s="47">
        <v>1829</v>
      </c>
    </row>
    <row r="135" spans="1:20" x14ac:dyDescent="0.25">
      <c r="A135" s="42" t="str">
        <f t="shared" si="16"/>
        <v>CARF  300*12.5</v>
      </c>
      <c r="B135" s="44">
        <f t="shared" si="17"/>
        <v>107.57929869584365</v>
      </c>
      <c r="C135" s="43">
        <v>300</v>
      </c>
      <c r="D135" s="43"/>
      <c r="E135" s="43">
        <v>12.5</v>
      </c>
      <c r="F135" s="43">
        <f t="shared" si="18"/>
        <v>25</v>
      </c>
      <c r="G135" s="43">
        <f t="shared" si="19"/>
        <v>37.5</v>
      </c>
      <c r="H135" s="44">
        <f t="shared" si="21"/>
        <v>137.04369260617025</v>
      </c>
      <c r="I135" s="55">
        <v>18252</v>
      </c>
      <c r="J135" s="44">
        <f t="shared" si="15"/>
        <v>1216.8</v>
      </c>
      <c r="K135" s="43">
        <v>1447</v>
      </c>
      <c r="L135" s="44">
        <f t="shared" si="20"/>
        <v>11.540528663964205</v>
      </c>
      <c r="M135" s="55">
        <f t="shared" si="22"/>
        <v>56.25</v>
      </c>
      <c r="N135" s="55"/>
      <c r="O135" s="55"/>
      <c r="P135" s="55"/>
      <c r="Q135" s="55"/>
      <c r="R135" s="55"/>
      <c r="S135" s="55">
        <v>30601</v>
      </c>
      <c r="T135" s="47">
        <v>1892</v>
      </c>
    </row>
    <row r="136" spans="1:20" x14ac:dyDescent="0.25">
      <c r="A136" s="48" t="str">
        <f t="shared" si="16"/>
        <v>CARF  300*16</v>
      </c>
      <c r="B136" s="50">
        <f t="shared" si="17"/>
        <v>134.05632298327023</v>
      </c>
      <c r="C136" s="49">
        <v>300</v>
      </c>
      <c r="D136" s="49"/>
      <c r="E136" s="49">
        <v>16</v>
      </c>
      <c r="F136" s="49">
        <f t="shared" si="18"/>
        <v>32</v>
      </c>
      <c r="G136" s="49">
        <f t="shared" si="19"/>
        <v>48</v>
      </c>
      <c r="H136" s="50">
        <f t="shared" si="21"/>
        <v>170.77238596594935</v>
      </c>
      <c r="I136" s="56">
        <v>21877</v>
      </c>
      <c r="J136" s="50">
        <f t="shared" si="15"/>
        <v>1458.4666666666667</v>
      </c>
      <c r="K136" s="49">
        <v>1767</v>
      </c>
      <c r="L136" s="50">
        <f t="shared" si="20"/>
        <v>11.318400576947388</v>
      </c>
      <c r="M136" s="56">
        <f t="shared" si="22"/>
        <v>65.28</v>
      </c>
      <c r="N136" s="56"/>
      <c r="O136" s="56"/>
      <c r="P136" s="56"/>
      <c r="Q136" s="56"/>
      <c r="R136" s="56"/>
      <c r="S136" s="56">
        <v>37837</v>
      </c>
      <c r="T136" s="53">
        <v>2299</v>
      </c>
    </row>
    <row r="137" spans="1:20" x14ac:dyDescent="0.25">
      <c r="A137" s="32" t="str">
        <f t="shared" si="16"/>
        <v>CARF  350*8</v>
      </c>
      <c r="B137" s="33">
        <f t="shared" si="17"/>
        <v>84.185344596654062</v>
      </c>
      <c r="C137" s="17">
        <v>350</v>
      </c>
      <c r="E137" s="17">
        <v>8</v>
      </c>
      <c r="F137" s="17">
        <f t="shared" si="18"/>
        <v>12</v>
      </c>
      <c r="G137" s="17">
        <f t="shared" si="19"/>
        <v>20</v>
      </c>
      <c r="H137" s="33">
        <f t="shared" si="21"/>
        <v>107.24247719318988</v>
      </c>
      <c r="I137" s="57">
        <v>20660</v>
      </c>
      <c r="J137" s="33">
        <f t="shared" si="15"/>
        <v>1180.5714285714287</v>
      </c>
      <c r="K137" s="17">
        <v>1365</v>
      </c>
      <c r="L137" s="33">
        <f t="shared" si="20"/>
        <v>13.879753076227047</v>
      </c>
      <c r="M137" s="35">
        <f t="shared" si="22"/>
        <v>49.6</v>
      </c>
      <c r="N137" s="35"/>
      <c r="O137" s="35"/>
      <c r="P137" s="35"/>
      <c r="Q137" s="35"/>
      <c r="R137" s="35"/>
      <c r="S137" s="57">
        <v>32577</v>
      </c>
      <c r="T137" s="17">
        <v>1787</v>
      </c>
    </row>
    <row r="138" spans="1:20" x14ac:dyDescent="0.25">
      <c r="A138" s="32" t="str">
        <f t="shared" si="16"/>
        <v>CARF  350*10</v>
      </c>
      <c r="B138" s="33">
        <f t="shared" si="17"/>
        <v>104.06460093227194</v>
      </c>
      <c r="C138" s="17">
        <v>350</v>
      </c>
      <c r="E138" s="17">
        <v>10</v>
      </c>
      <c r="F138" s="17">
        <f t="shared" si="18"/>
        <v>15</v>
      </c>
      <c r="G138" s="17">
        <f t="shared" si="19"/>
        <v>25</v>
      </c>
      <c r="H138" s="33">
        <f t="shared" si="21"/>
        <v>132.56637061435916</v>
      </c>
      <c r="I138" s="57">
        <v>25148</v>
      </c>
      <c r="J138" s="33">
        <f t="shared" si="15"/>
        <v>1437.0285714285715</v>
      </c>
      <c r="K138" s="17">
        <v>1674</v>
      </c>
      <c r="L138" s="33">
        <f t="shared" si="20"/>
        <v>13.773205985865605</v>
      </c>
      <c r="M138" s="35">
        <f t="shared" si="22"/>
        <v>60</v>
      </c>
      <c r="N138" s="35"/>
      <c r="O138" s="35"/>
      <c r="P138" s="35"/>
      <c r="Q138" s="35"/>
      <c r="R138" s="35"/>
      <c r="S138" s="57">
        <v>40127</v>
      </c>
      <c r="T138" s="17">
        <v>2182</v>
      </c>
    </row>
    <row r="139" spans="1:20" x14ac:dyDescent="0.25">
      <c r="A139" s="32" t="str">
        <f t="shared" si="16"/>
        <v>CARF  350*12</v>
      </c>
      <c r="B139" s="33">
        <f t="shared" si="17"/>
        <v>122.50668167808952</v>
      </c>
      <c r="C139" s="17">
        <v>350</v>
      </c>
      <c r="E139" s="17">
        <v>12</v>
      </c>
      <c r="F139" s="17">
        <f t="shared" si="18"/>
        <v>24</v>
      </c>
      <c r="G139" s="17">
        <f t="shared" si="19"/>
        <v>36</v>
      </c>
      <c r="H139" s="33">
        <f t="shared" si="21"/>
        <v>156.05946710584652</v>
      </c>
      <c r="I139" s="57">
        <v>28954</v>
      </c>
      <c r="J139" s="33">
        <f t="shared" si="15"/>
        <v>1654.5142857142857</v>
      </c>
      <c r="K139" s="17">
        <v>1946</v>
      </c>
      <c r="L139" s="33">
        <f t="shared" si="20"/>
        <v>13.621007285708819</v>
      </c>
      <c r="M139" s="35">
        <f t="shared" si="22"/>
        <v>66.72</v>
      </c>
      <c r="N139" s="35"/>
      <c r="O139" s="35"/>
      <c r="P139" s="35"/>
      <c r="Q139" s="35"/>
      <c r="R139" s="35"/>
      <c r="S139" s="57">
        <v>47598</v>
      </c>
      <c r="T139" s="17">
        <v>2552</v>
      </c>
    </row>
    <row r="140" spans="1:20" x14ac:dyDescent="0.25">
      <c r="A140" s="32" t="str">
        <f t="shared" si="16"/>
        <v>CARF  350*12.5</v>
      </c>
      <c r="B140" s="33">
        <f t="shared" si="17"/>
        <v>127.20429869584365</v>
      </c>
      <c r="C140" s="17">
        <v>350</v>
      </c>
      <c r="E140" s="17">
        <v>12.5</v>
      </c>
      <c r="F140" s="17">
        <f t="shared" si="18"/>
        <v>25</v>
      </c>
      <c r="G140" s="17">
        <f t="shared" si="19"/>
        <v>37.5</v>
      </c>
      <c r="H140" s="33">
        <f t="shared" si="21"/>
        <v>162.04369260617025</v>
      </c>
      <c r="I140" s="57">
        <v>29932</v>
      </c>
      <c r="J140" s="33">
        <f t="shared" si="15"/>
        <v>1710.4</v>
      </c>
      <c r="K140" s="17">
        <v>2016</v>
      </c>
      <c r="L140" s="33">
        <f t="shared" si="20"/>
        <v>13.591012211114407</v>
      </c>
      <c r="M140" s="35">
        <f t="shared" si="22"/>
        <v>68.75</v>
      </c>
      <c r="N140" s="35"/>
      <c r="O140" s="35"/>
      <c r="P140" s="35"/>
      <c r="Q140" s="35"/>
      <c r="R140" s="35"/>
      <c r="S140" s="57">
        <v>49393</v>
      </c>
      <c r="T140" s="17">
        <v>2642</v>
      </c>
    </row>
    <row r="141" spans="1:20" x14ac:dyDescent="0.25">
      <c r="A141" s="32" t="str">
        <f t="shared" si="16"/>
        <v>CARF  350*16</v>
      </c>
      <c r="B141" s="33">
        <f t="shared" si="17"/>
        <v>159.17632298327024</v>
      </c>
      <c r="C141" s="17">
        <v>350</v>
      </c>
      <c r="E141" s="17">
        <v>16</v>
      </c>
      <c r="F141" s="17">
        <f t="shared" si="18"/>
        <v>32</v>
      </c>
      <c r="G141" s="17">
        <f t="shared" si="19"/>
        <v>48</v>
      </c>
      <c r="H141" s="33">
        <f t="shared" si="21"/>
        <v>202.77238596594935</v>
      </c>
      <c r="I141" s="57">
        <v>36277</v>
      </c>
      <c r="J141" s="33">
        <f t="shared" si="15"/>
        <v>2072.9714285714285</v>
      </c>
      <c r="K141" s="17">
        <v>2481</v>
      </c>
      <c r="L141" s="33">
        <f t="shared" si="20"/>
        <v>13.375538531733842</v>
      </c>
      <c r="M141" s="35">
        <f t="shared" si="22"/>
        <v>81.28</v>
      </c>
      <c r="N141" s="35"/>
      <c r="O141" s="35"/>
      <c r="P141" s="35"/>
      <c r="Q141" s="35"/>
      <c r="R141" s="35"/>
      <c r="S141" s="57">
        <v>61481</v>
      </c>
      <c r="T141" s="17">
        <v>3238</v>
      </c>
    </row>
    <row r="142" spans="1:20" x14ac:dyDescent="0.25">
      <c r="A142" s="36" t="str">
        <f t="shared" si="16"/>
        <v>CARF  400*10</v>
      </c>
      <c r="B142" s="38">
        <f t="shared" si="17"/>
        <v>119.76460093227195</v>
      </c>
      <c r="C142" s="37">
        <v>400</v>
      </c>
      <c r="D142" s="37"/>
      <c r="E142" s="37">
        <v>10</v>
      </c>
      <c r="F142" s="37">
        <f t="shared" si="18"/>
        <v>15</v>
      </c>
      <c r="G142" s="37">
        <f t="shared" si="19"/>
        <v>25</v>
      </c>
      <c r="H142" s="38">
        <f t="shared" si="21"/>
        <v>152.56637061435916</v>
      </c>
      <c r="I142" s="54">
        <v>38169</v>
      </c>
      <c r="J142" s="38">
        <f t="shared" si="15"/>
        <v>1908.45</v>
      </c>
      <c r="K142" s="37">
        <v>2213</v>
      </c>
      <c r="L142" s="38">
        <f t="shared" si="20"/>
        <v>15.817068063361127</v>
      </c>
      <c r="M142" s="54">
        <f t="shared" si="22"/>
        <v>70</v>
      </c>
      <c r="N142" s="54"/>
      <c r="O142" s="54"/>
      <c r="P142" s="54"/>
      <c r="Q142" s="54"/>
      <c r="R142" s="54"/>
      <c r="S142" s="54">
        <v>60431</v>
      </c>
      <c r="T142" s="41">
        <v>2892</v>
      </c>
    </row>
    <row r="143" spans="1:20" x14ac:dyDescent="0.25">
      <c r="A143" s="42" t="str">
        <f t="shared" si="16"/>
        <v>CARF  400*12</v>
      </c>
      <c r="B143" s="44">
        <f t="shared" si="17"/>
        <v>141.34668167808951</v>
      </c>
      <c r="C143" s="43">
        <v>400</v>
      </c>
      <c r="D143" s="43"/>
      <c r="E143" s="43">
        <v>12</v>
      </c>
      <c r="F143" s="43">
        <f t="shared" si="18"/>
        <v>24</v>
      </c>
      <c r="G143" s="43">
        <f t="shared" si="19"/>
        <v>36</v>
      </c>
      <c r="H143" s="44">
        <f t="shared" si="21"/>
        <v>180.05946710584652</v>
      </c>
      <c r="I143" s="55">
        <v>44204</v>
      </c>
      <c r="J143" s="44">
        <f t="shared" si="15"/>
        <v>2210.1999999999998</v>
      </c>
      <c r="K143" s="43">
        <v>2584</v>
      </c>
      <c r="L143" s="44">
        <f t="shared" si="20"/>
        <v>15.668333426124926</v>
      </c>
      <c r="M143" s="55">
        <f t="shared" si="22"/>
        <v>78.72</v>
      </c>
      <c r="N143" s="55"/>
      <c r="O143" s="55"/>
      <c r="P143" s="55"/>
      <c r="Q143" s="55"/>
      <c r="R143" s="55"/>
      <c r="S143" s="55">
        <v>71843</v>
      </c>
      <c r="T143" s="47">
        <v>3395</v>
      </c>
    </row>
    <row r="144" spans="1:20" x14ac:dyDescent="0.25">
      <c r="A144" s="42" t="str">
        <f t="shared" si="16"/>
        <v>CARF  400*12.5</v>
      </c>
      <c r="B144" s="44">
        <f t="shared" si="17"/>
        <v>146.82929869584365</v>
      </c>
      <c r="C144" s="43">
        <v>400</v>
      </c>
      <c r="D144" s="43"/>
      <c r="E144" s="43">
        <v>12.5</v>
      </c>
      <c r="F144" s="43">
        <f t="shared" si="18"/>
        <v>25</v>
      </c>
      <c r="G144" s="43">
        <f t="shared" si="19"/>
        <v>37.5</v>
      </c>
      <c r="H144" s="44">
        <f t="shared" si="21"/>
        <v>187.04369260617025</v>
      </c>
      <c r="I144" s="55">
        <v>45746</v>
      </c>
      <c r="J144" s="44">
        <f t="shared" si="15"/>
        <v>2287.3000000000002</v>
      </c>
      <c r="K144" s="43">
        <v>2679</v>
      </c>
      <c r="L144" s="44">
        <f t="shared" si="20"/>
        <v>15.638857735918283</v>
      </c>
      <c r="M144" s="55">
        <f t="shared" si="22"/>
        <v>81.25</v>
      </c>
      <c r="N144" s="55"/>
      <c r="O144" s="55"/>
      <c r="P144" s="55"/>
      <c r="Q144" s="55"/>
      <c r="R144" s="55"/>
      <c r="S144" s="55">
        <v>74598</v>
      </c>
      <c r="T144" s="47">
        <v>3518</v>
      </c>
    </row>
    <row r="145" spans="1:20" ht="15.75" thickBot="1" x14ac:dyDescent="0.3">
      <c r="A145" s="42" t="str">
        <f t="shared" si="16"/>
        <v>CARF  400*16</v>
      </c>
      <c r="B145" s="44">
        <f t="shared" si="17"/>
        <v>184.29632298327024</v>
      </c>
      <c r="C145" s="43">
        <v>400</v>
      </c>
      <c r="D145" s="43"/>
      <c r="E145" s="43">
        <v>16</v>
      </c>
      <c r="F145" s="43">
        <f t="shared" si="18"/>
        <v>32</v>
      </c>
      <c r="G145" s="43">
        <f t="shared" si="19"/>
        <v>48</v>
      </c>
      <c r="H145" s="44">
        <f t="shared" si="21"/>
        <v>234.77238596594935</v>
      </c>
      <c r="I145" s="55">
        <v>55884</v>
      </c>
      <c r="J145" s="44">
        <f t="shared" ref="J145" si="23">I145/(0.5*C145*0.1)</f>
        <v>2794.2</v>
      </c>
      <c r="K145" s="43">
        <v>3315</v>
      </c>
      <c r="L145" s="44">
        <f t="shared" si="20"/>
        <v>15.428376738303486</v>
      </c>
      <c r="M145" s="55">
        <f t="shared" si="22"/>
        <v>97.28</v>
      </c>
      <c r="N145" s="55"/>
      <c r="O145" s="55"/>
      <c r="P145" s="55"/>
      <c r="Q145" s="55"/>
      <c r="R145" s="55"/>
      <c r="S145" s="55">
        <v>93279</v>
      </c>
      <c r="T145" s="47">
        <v>4336</v>
      </c>
    </row>
    <row r="146" spans="1:20" ht="16.5" thickBot="1" x14ac:dyDescent="0.3">
      <c r="A146" s="27"/>
      <c r="B146" s="28" t="s">
        <v>161</v>
      </c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30"/>
    </row>
    <row r="147" spans="1:20" x14ac:dyDescent="0.25">
      <c r="A147" s="32" t="str">
        <f>$B$146&amp;"  "&amp;C147&amp;"*"&amp;E147</f>
        <v>CARC  40*2.6</v>
      </c>
      <c r="B147" s="33">
        <f>(H147*7850)/10000</f>
        <v>2.8371976946942459</v>
      </c>
      <c r="C147" s="17">
        <v>40</v>
      </c>
      <c r="E147" s="17">
        <v>2.6</v>
      </c>
      <c r="F147" s="17">
        <f>1*E147</f>
        <v>2.6</v>
      </c>
      <c r="G147" s="17">
        <f>1.5*E147</f>
        <v>3.9000000000000004</v>
      </c>
      <c r="H147" s="33">
        <f t="shared" ref="H147:H206" si="24">(4*(C147-2*G147)*E147+PI()*(G147^2-F147^2))*0.01</f>
        <v>3.6142645792283385</v>
      </c>
      <c r="I147" s="17">
        <v>8.8000000000000007</v>
      </c>
      <c r="J147" s="33">
        <f t="shared" ref="J147:J206" si="25">I147/(0.5*C147*0.1)</f>
        <v>4.4000000000000004</v>
      </c>
      <c r="K147" s="17">
        <v>5.31</v>
      </c>
      <c r="L147" s="33">
        <f>SQRT(I147/H147)</f>
        <v>1.5603835575016916</v>
      </c>
      <c r="M147" s="58">
        <f t="shared" ref="M147:M210" si="26">2*(C147-2*G147)*E147*0.01</f>
        <v>1.6744000000000003</v>
      </c>
      <c r="N147" s="58"/>
      <c r="O147" s="58"/>
      <c r="P147" s="58"/>
      <c r="Q147" s="58"/>
      <c r="R147" s="58"/>
      <c r="S147" s="17">
        <v>14</v>
      </c>
      <c r="T147" s="17">
        <v>6.41</v>
      </c>
    </row>
    <row r="148" spans="1:20" x14ac:dyDescent="0.25">
      <c r="A148" s="32" t="str">
        <f t="shared" ref="A148:A238" si="27">$B$146&amp;"  "&amp;C148&amp;"*"&amp;E148</f>
        <v>CARC  40*3.2</v>
      </c>
      <c r="B148" s="33">
        <f t="shared" ref="B148:B190" si="28">(H148*7850)/10000</f>
        <v>3.370259229832703</v>
      </c>
      <c r="C148" s="17">
        <v>40</v>
      </c>
      <c r="E148" s="17">
        <v>3.2</v>
      </c>
      <c r="F148" s="17">
        <f>1*E148</f>
        <v>3.2</v>
      </c>
      <c r="G148" s="17">
        <f>1.5*E148</f>
        <v>4.8000000000000007</v>
      </c>
      <c r="H148" s="33">
        <f>(4*(C148-2*G148)*E148+PI()*(G148^2-F148^2))*0.01</f>
        <v>4.2933238596594938</v>
      </c>
      <c r="I148" s="17">
        <v>10.199999999999999</v>
      </c>
      <c r="J148" s="33">
        <f>I148/(0.5*C148*0.1)</f>
        <v>5.0999999999999996</v>
      </c>
      <c r="K148" s="17">
        <v>6.28</v>
      </c>
      <c r="L148" s="33">
        <f>SQRT(I148/H148)</f>
        <v>1.5413570773567649</v>
      </c>
      <c r="M148" s="58">
        <f t="shared" si="26"/>
        <v>1.9456</v>
      </c>
      <c r="N148" s="58"/>
      <c r="O148" s="58"/>
      <c r="P148" s="58"/>
      <c r="Q148" s="58"/>
      <c r="R148" s="58"/>
      <c r="S148" s="17">
        <v>16.5</v>
      </c>
      <c r="T148" s="17">
        <v>7.42</v>
      </c>
    </row>
    <row r="149" spans="1:20" x14ac:dyDescent="0.25">
      <c r="A149" s="32" t="str">
        <f t="shared" si="27"/>
        <v>CARC  40*4</v>
      </c>
      <c r="B149" s="33">
        <f t="shared" si="28"/>
        <v>4.0100300466135979</v>
      </c>
      <c r="C149" s="17">
        <v>40</v>
      </c>
      <c r="E149" s="17">
        <v>4</v>
      </c>
      <c r="F149" s="17">
        <f t="shared" ref="F149:F238" si="29">1*E149</f>
        <v>4</v>
      </c>
      <c r="G149" s="17">
        <f t="shared" ref="G149:G238" si="30">1.5*E149</f>
        <v>6</v>
      </c>
      <c r="H149" s="33">
        <f t="shared" si="24"/>
        <v>5.108318530717959</v>
      </c>
      <c r="I149" s="17">
        <v>11.8</v>
      </c>
      <c r="J149" s="33">
        <f t="shared" si="25"/>
        <v>5.9</v>
      </c>
      <c r="K149" s="17">
        <v>7.44</v>
      </c>
      <c r="L149" s="33">
        <f t="shared" ref="L149:L238" si="31">SQRT(I149/H149)</f>
        <v>1.5198545173841318</v>
      </c>
      <c r="M149" s="58">
        <f t="shared" si="26"/>
        <v>2.2400000000000002</v>
      </c>
      <c r="N149" s="58"/>
      <c r="O149" s="58"/>
      <c r="P149" s="58"/>
      <c r="Q149" s="58"/>
      <c r="R149" s="58"/>
      <c r="S149" s="17">
        <v>19.5</v>
      </c>
      <c r="T149" s="17">
        <v>8.5399999999999991</v>
      </c>
    </row>
    <row r="150" spans="1:20" x14ac:dyDescent="0.25">
      <c r="A150" s="32" t="str">
        <f>$B$146&amp;"  "&amp;C150&amp;"*"&amp;E150</f>
        <v>CARC  40*5</v>
      </c>
      <c r="B150" s="33">
        <f>(H150*7850)/10000</f>
        <v>4.6956719478337465</v>
      </c>
      <c r="C150" s="17">
        <v>40</v>
      </c>
      <c r="E150" s="17">
        <v>5</v>
      </c>
      <c r="F150" s="17">
        <f>1*E150</f>
        <v>5</v>
      </c>
      <c r="G150" s="17">
        <f>1.5*E150</f>
        <v>7.5</v>
      </c>
      <c r="H150" s="33">
        <f>(4*(C150-2*G150)*E150+PI()*(G150^2-F150^2))*0.01</f>
        <v>5.9817477042468106</v>
      </c>
      <c r="I150" s="17">
        <v>13.4</v>
      </c>
      <c r="J150" s="33">
        <f>I150/(0.5*C150*0.1)</f>
        <v>6.7</v>
      </c>
      <c r="K150" s="17">
        <v>8.66</v>
      </c>
      <c r="L150" s="33">
        <f>SQRT(I150/H150)</f>
        <v>1.4967123885007869</v>
      </c>
      <c r="M150" s="58">
        <f t="shared" si="26"/>
        <v>2.5</v>
      </c>
      <c r="N150" s="58"/>
      <c r="O150" s="58"/>
      <c r="P150" s="58"/>
      <c r="Q150" s="58"/>
      <c r="R150" s="58"/>
      <c r="S150" s="17">
        <v>22.5</v>
      </c>
      <c r="T150" s="17">
        <v>9.6</v>
      </c>
    </row>
    <row r="151" spans="1:20" x14ac:dyDescent="0.25">
      <c r="A151" s="36" t="str">
        <f t="shared" si="27"/>
        <v>CARC  50*2.6</v>
      </c>
      <c r="B151" s="38">
        <f t="shared" si="28"/>
        <v>3.6535976946942457</v>
      </c>
      <c r="C151" s="37">
        <v>50</v>
      </c>
      <c r="D151" s="37"/>
      <c r="E151" s="37">
        <v>2.6</v>
      </c>
      <c r="F151" s="37">
        <f t="shared" si="29"/>
        <v>2.6</v>
      </c>
      <c r="G151" s="37">
        <f t="shared" si="30"/>
        <v>3.9000000000000004</v>
      </c>
      <c r="H151" s="38">
        <f t="shared" si="24"/>
        <v>4.6542645792283386</v>
      </c>
      <c r="I151" s="37">
        <v>18</v>
      </c>
      <c r="J151" s="38">
        <f t="shared" si="25"/>
        <v>7.2</v>
      </c>
      <c r="K151" s="37">
        <v>5.58</v>
      </c>
      <c r="L151" s="38">
        <f t="shared" si="31"/>
        <v>1.9665759270443677</v>
      </c>
      <c r="M151" s="40">
        <f t="shared" si="26"/>
        <v>2.1944000000000004</v>
      </c>
      <c r="N151" s="40"/>
      <c r="O151" s="40"/>
      <c r="P151" s="40"/>
      <c r="Q151" s="40"/>
      <c r="R151" s="40"/>
      <c r="S151" s="37">
        <v>28.4</v>
      </c>
      <c r="T151" s="41">
        <v>10.6</v>
      </c>
    </row>
    <row r="152" spans="1:20" x14ac:dyDescent="0.25">
      <c r="A152" s="42" t="str">
        <f>$B$146&amp;"  "&amp;C152&amp;"*"&amp;E152</f>
        <v>CARC  50*3.2</v>
      </c>
      <c r="B152" s="44">
        <f>(H152*7850)/10000</f>
        <v>4.3750592298327025</v>
      </c>
      <c r="C152" s="43">
        <v>50</v>
      </c>
      <c r="D152" s="43"/>
      <c r="E152" s="43">
        <v>3.2</v>
      </c>
      <c r="F152" s="43">
        <f>1*E152</f>
        <v>3.2</v>
      </c>
      <c r="G152" s="43">
        <f>1.5*E152</f>
        <v>4.8000000000000007</v>
      </c>
      <c r="H152" s="44">
        <f>(4*(C152-2*G152)*E152+PI()*(G152^2-F152^2))*0.01</f>
        <v>5.5733238596594941</v>
      </c>
      <c r="I152" s="43">
        <v>21.2</v>
      </c>
      <c r="J152" s="44">
        <f>I152/(0.5*C152*0.1)</f>
        <v>8.48</v>
      </c>
      <c r="K152" s="43">
        <v>10.199999999999999</v>
      </c>
      <c r="L152" s="44">
        <f>SQRT(I152/H152)</f>
        <v>1.950342076928232</v>
      </c>
      <c r="M152" s="46">
        <f t="shared" si="26"/>
        <v>2.5855999999999999</v>
      </c>
      <c r="N152" s="46"/>
      <c r="O152" s="46"/>
      <c r="P152" s="46"/>
      <c r="Q152" s="46"/>
      <c r="R152" s="46"/>
      <c r="S152" s="43">
        <v>33.799999999999997</v>
      </c>
      <c r="T152" s="47">
        <v>12.4</v>
      </c>
    </row>
    <row r="153" spans="1:20" x14ac:dyDescent="0.25">
      <c r="A153" s="42" t="str">
        <f t="shared" si="27"/>
        <v>CARC  50*4</v>
      </c>
      <c r="B153" s="44">
        <f t="shared" si="28"/>
        <v>5.2660300466135972</v>
      </c>
      <c r="C153" s="43">
        <v>50</v>
      </c>
      <c r="D153" s="43"/>
      <c r="E153" s="43">
        <v>4</v>
      </c>
      <c r="F153" s="43">
        <f t="shared" si="29"/>
        <v>4</v>
      </c>
      <c r="G153" s="43">
        <f t="shared" si="30"/>
        <v>6</v>
      </c>
      <c r="H153" s="44">
        <f t="shared" si="24"/>
        <v>6.7083185307179587</v>
      </c>
      <c r="I153" s="43">
        <v>25</v>
      </c>
      <c r="J153" s="44">
        <f t="shared" si="25"/>
        <v>10</v>
      </c>
      <c r="K153" s="43">
        <v>12.3</v>
      </c>
      <c r="L153" s="44">
        <f t="shared" si="31"/>
        <v>1.9304704861536361</v>
      </c>
      <c r="M153" s="46">
        <f t="shared" si="26"/>
        <v>3.04</v>
      </c>
      <c r="N153" s="46"/>
      <c r="O153" s="46"/>
      <c r="P153" s="46"/>
      <c r="Q153" s="46"/>
      <c r="R153" s="46"/>
      <c r="S153" s="43">
        <v>40.4</v>
      </c>
      <c r="T153" s="47">
        <v>14.5</v>
      </c>
    </row>
    <row r="154" spans="1:20" x14ac:dyDescent="0.25">
      <c r="A154" s="42" t="str">
        <f t="shared" si="27"/>
        <v>CARC  50*5</v>
      </c>
      <c r="B154" s="44">
        <f t="shared" si="28"/>
        <v>6.2656719478337468</v>
      </c>
      <c r="C154" s="43">
        <v>50</v>
      </c>
      <c r="D154" s="43"/>
      <c r="E154" s="43">
        <v>5</v>
      </c>
      <c r="F154" s="43">
        <f t="shared" si="29"/>
        <v>5</v>
      </c>
      <c r="G154" s="43">
        <f t="shared" si="30"/>
        <v>7.5</v>
      </c>
      <c r="H154" s="44">
        <f t="shared" si="24"/>
        <v>7.9817477042468106</v>
      </c>
      <c r="I154" s="43">
        <v>28.9</v>
      </c>
      <c r="J154" s="44">
        <f t="shared" si="25"/>
        <v>11.559999999999999</v>
      </c>
      <c r="K154" s="43">
        <v>14.5</v>
      </c>
      <c r="L154" s="44">
        <f t="shared" si="31"/>
        <v>1.9028297085786354</v>
      </c>
      <c r="M154" s="46">
        <f t="shared" si="26"/>
        <v>3.5</v>
      </c>
      <c r="N154" s="46"/>
      <c r="O154" s="46"/>
      <c r="P154" s="46"/>
      <c r="Q154" s="46"/>
      <c r="R154" s="46"/>
      <c r="S154" s="43">
        <v>47.6</v>
      </c>
      <c r="T154" s="47">
        <v>16.7</v>
      </c>
    </row>
    <row r="155" spans="1:20" x14ac:dyDescent="0.25">
      <c r="A155" s="48" t="str">
        <f t="shared" si="27"/>
        <v>CARC  50*6.3</v>
      </c>
      <c r="B155" s="50">
        <f t="shared" si="28"/>
        <v>7.3757207843808557</v>
      </c>
      <c r="C155" s="49">
        <v>50</v>
      </c>
      <c r="D155" s="49"/>
      <c r="E155" s="49">
        <v>6.3</v>
      </c>
      <c r="F155" s="49">
        <f t="shared" si="29"/>
        <v>6.3</v>
      </c>
      <c r="G155" s="49">
        <f t="shared" si="30"/>
        <v>9.4499999999999993</v>
      </c>
      <c r="H155" s="50">
        <f t="shared" si="24"/>
        <v>9.3958226552622364</v>
      </c>
      <c r="I155" s="49">
        <v>32.799999999999997</v>
      </c>
      <c r="J155" s="50">
        <f t="shared" si="25"/>
        <v>13.12</v>
      </c>
      <c r="K155" s="49">
        <v>17</v>
      </c>
      <c r="L155" s="50">
        <f t="shared" si="31"/>
        <v>1.8683985276762396</v>
      </c>
      <c r="M155" s="52">
        <f t="shared" si="26"/>
        <v>3.9186000000000001</v>
      </c>
      <c r="N155" s="52"/>
      <c r="O155" s="52"/>
      <c r="P155" s="52"/>
      <c r="Q155" s="52"/>
      <c r="R155" s="52"/>
      <c r="S155" s="49">
        <v>55.2</v>
      </c>
      <c r="T155" s="53">
        <v>18.8</v>
      </c>
    </row>
    <row r="156" spans="1:20" x14ac:dyDescent="0.25">
      <c r="A156" s="32" t="str">
        <f>$B$146&amp;"  "&amp;C156&amp;"*"&amp;E156</f>
        <v>CARC  60*2.6</v>
      </c>
      <c r="B156" s="33">
        <f>(H156*7850)/10000</f>
        <v>4.4699976946942446</v>
      </c>
      <c r="C156" s="17">
        <v>60</v>
      </c>
      <c r="E156" s="17">
        <v>2.6</v>
      </c>
      <c r="F156" s="17">
        <f>1*E156</f>
        <v>2.6</v>
      </c>
      <c r="G156" s="17">
        <f>1.5*E156</f>
        <v>3.9000000000000004</v>
      </c>
      <c r="H156" s="33">
        <f>(4*(C156-2*G156)*E156+PI()*(G156^2-F156^2))*0.01</f>
        <v>5.6942645792283377</v>
      </c>
      <c r="I156" s="17">
        <v>32.200000000000003</v>
      </c>
      <c r="J156" s="33">
        <f>I156/(0.5*C156*0.1)</f>
        <v>10.733333333333334</v>
      </c>
      <c r="K156" s="17">
        <v>12.6</v>
      </c>
      <c r="L156" s="33">
        <f>SQRT(I156/H156)</f>
        <v>2.3779850209258555</v>
      </c>
      <c r="M156" s="58">
        <f t="shared" si="26"/>
        <v>2.7143999999999999</v>
      </c>
      <c r="N156" s="58"/>
      <c r="O156" s="58"/>
      <c r="P156" s="58"/>
      <c r="Q156" s="58"/>
      <c r="R156" s="58"/>
      <c r="S156" s="17">
        <v>50.2</v>
      </c>
      <c r="T156" s="17">
        <v>15.7</v>
      </c>
    </row>
    <row r="157" spans="1:20" x14ac:dyDescent="0.25">
      <c r="A157" s="32" t="str">
        <f t="shared" si="27"/>
        <v>CARC  60*3.2</v>
      </c>
      <c r="B157" s="33">
        <f t="shared" si="28"/>
        <v>5.3798592298327019</v>
      </c>
      <c r="C157" s="17">
        <v>60</v>
      </c>
      <c r="E157" s="17">
        <v>3.2</v>
      </c>
      <c r="F157" s="17">
        <f t="shared" si="29"/>
        <v>3.2</v>
      </c>
      <c r="G157" s="17">
        <f t="shared" si="30"/>
        <v>4.8000000000000007</v>
      </c>
      <c r="H157" s="33">
        <f t="shared" si="24"/>
        <v>6.8533238596594934</v>
      </c>
      <c r="I157" s="17">
        <v>38.200000000000003</v>
      </c>
      <c r="J157" s="33">
        <f t="shared" si="25"/>
        <v>12.733333333333334</v>
      </c>
      <c r="K157" s="17">
        <v>15.2</v>
      </c>
      <c r="L157" s="33">
        <f t="shared" si="31"/>
        <v>2.36091881821392</v>
      </c>
      <c r="M157" s="58">
        <f t="shared" si="26"/>
        <v>3.2256</v>
      </c>
      <c r="N157" s="58"/>
      <c r="O157" s="58"/>
      <c r="P157" s="58"/>
      <c r="Q157" s="58"/>
      <c r="R157" s="58"/>
      <c r="S157" s="17">
        <v>60.2</v>
      </c>
      <c r="T157" s="17">
        <v>18.600000000000001</v>
      </c>
    </row>
    <row r="158" spans="1:20" x14ac:dyDescent="0.25">
      <c r="A158" s="32" t="str">
        <f t="shared" si="27"/>
        <v>CARC  60*4</v>
      </c>
      <c r="B158" s="33">
        <f t="shared" si="28"/>
        <v>6.5220300466135974</v>
      </c>
      <c r="C158" s="17">
        <v>60</v>
      </c>
      <c r="E158" s="17">
        <v>4</v>
      </c>
      <c r="F158" s="17">
        <f t="shared" si="29"/>
        <v>4</v>
      </c>
      <c r="G158" s="17">
        <f t="shared" si="30"/>
        <v>6</v>
      </c>
      <c r="H158" s="33">
        <f t="shared" si="24"/>
        <v>8.3083185307179583</v>
      </c>
      <c r="I158" s="17">
        <v>45.4</v>
      </c>
      <c r="J158" s="33">
        <f t="shared" si="25"/>
        <v>15.133333333333333</v>
      </c>
      <c r="K158" s="17">
        <v>18.3</v>
      </c>
      <c r="L158" s="33">
        <f t="shared" si="31"/>
        <v>2.3376062361399264</v>
      </c>
      <c r="M158" s="58">
        <f t="shared" si="26"/>
        <v>3.84</v>
      </c>
      <c r="N158" s="58"/>
      <c r="O158" s="58"/>
      <c r="P158" s="58"/>
      <c r="Q158" s="58"/>
      <c r="R158" s="58"/>
      <c r="S158" s="17">
        <v>72.5</v>
      </c>
      <c r="T158" s="17">
        <v>22</v>
      </c>
    </row>
    <row r="159" spans="1:20" x14ac:dyDescent="0.25">
      <c r="A159" s="32" t="str">
        <f t="shared" si="27"/>
        <v>CARC  60*5</v>
      </c>
      <c r="B159" s="33">
        <f t="shared" si="28"/>
        <v>7.8356719478337462</v>
      </c>
      <c r="C159" s="17">
        <v>60</v>
      </c>
      <c r="E159" s="17">
        <v>5</v>
      </c>
      <c r="F159" s="17">
        <f t="shared" si="29"/>
        <v>5</v>
      </c>
      <c r="G159" s="17">
        <f t="shared" si="30"/>
        <v>7.5</v>
      </c>
      <c r="H159" s="33">
        <f t="shared" si="24"/>
        <v>9.9817477042468106</v>
      </c>
      <c r="I159" s="17">
        <v>53.3</v>
      </c>
      <c r="J159" s="33">
        <f t="shared" si="25"/>
        <v>17.766666666666666</v>
      </c>
      <c r="K159" s="17">
        <v>21.9</v>
      </c>
      <c r="L159" s="33">
        <f t="shared" si="31"/>
        <v>2.3107890995942419</v>
      </c>
      <c r="M159" s="58">
        <f t="shared" si="26"/>
        <v>4.5</v>
      </c>
      <c r="N159" s="58"/>
      <c r="O159" s="58"/>
      <c r="P159" s="58"/>
      <c r="Q159" s="58"/>
      <c r="R159" s="58"/>
      <c r="S159" s="17">
        <v>86.4</v>
      </c>
      <c r="T159" s="17">
        <v>25.7</v>
      </c>
    </row>
    <row r="160" spans="1:20" x14ac:dyDescent="0.25">
      <c r="A160" s="32" t="str">
        <f>$B$146&amp;"  "&amp;C160&amp;"*"&amp;E160</f>
        <v>CARC  60*6.3</v>
      </c>
      <c r="B160" s="33">
        <f>(H160*7850)/10000</f>
        <v>9.3539207843808558</v>
      </c>
      <c r="C160" s="17">
        <v>60</v>
      </c>
      <c r="E160" s="17">
        <v>6.3</v>
      </c>
      <c r="F160" s="17">
        <f>1*E160</f>
        <v>6.3</v>
      </c>
      <c r="G160" s="17">
        <f>1.5*E160</f>
        <v>9.4499999999999993</v>
      </c>
      <c r="H160" s="33">
        <f>(4*(C160-2*G160)*E160+PI()*(G160^2-F160^2))*0.01</f>
        <v>11.915822655262236</v>
      </c>
      <c r="I160" s="17">
        <v>61.6</v>
      </c>
      <c r="J160" s="33">
        <f>I160/(0.5*C160*0.1)</f>
        <v>20.533333333333335</v>
      </c>
      <c r="K160" s="17">
        <v>26</v>
      </c>
      <c r="L160" s="33">
        <f>SQRT(I160/H160)</f>
        <v>2.2736747594550994</v>
      </c>
      <c r="M160" s="58">
        <f t="shared" si="26"/>
        <v>5.1786000000000003</v>
      </c>
      <c r="N160" s="58"/>
      <c r="O160" s="58"/>
      <c r="P160" s="58"/>
      <c r="Q160" s="58"/>
      <c r="R160" s="58"/>
      <c r="S160" s="17">
        <v>102</v>
      </c>
      <c r="T160" s="17">
        <v>29.6</v>
      </c>
    </row>
    <row r="161" spans="1:20" x14ac:dyDescent="0.25">
      <c r="A161" s="32" t="str">
        <f>$B$146&amp;"  "&amp;C161&amp;"*"&amp;E161</f>
        <v>CARC  60*8</v>
      </c>
      <c r="B161" s="33">
        <f>(H161*7850)/10000</f>
        <v>11.016120186454391</v>
      </c>
      <c r="C161" s="17">
        <v>60</v>
      </c>
      <c r="E161" s="17">
        <v>8</v>
      </c>
      <c r="F161" s="17">
        <f>1*E161</f>
        <v>8</v>
      </c>
      <c r="G161" s="17">
        <f>1.5*E161</f>
        <v>12</v>
      </c>
      <c r="H161" s="33">
        <f>(4*(C161-2*G161)*E161+PI()*(G161^2-F161^2))*0.01</f>
        <v>14.033274122871836</v>
      </c>
      <c r="I161" s="17">
        <v>69.7</v>
      </c>
      <c r="J161" s="33">
        <f>I161/(0.5*C161*0.1)</f>
        <v>23.233333333333334</v>
      </c>
      <c r="K161" s="17">
        <v>30.4</v>
      </c>
      <c r="L161" s="33">
        <f>SQRT(I161/H161)</f>
        <v>2.2286244186435762</v>
      </c>
      <c r="M161" s="58">
        <f t="shared" si="26"/>
        <v>5.76</v>
      </c>
      <c r="N161" s="58"/>
      <c r="O161" s="58"/>
      <c r="P161" s="58"/>
      <c r="Q161" s="58"/>
      <c r="R161" s="58"/>
      <c r="S161" s="17">
        <v>118</v>
      </c>
      <c r="T161" s="17">
        <v>33.4</v>
      </c>
    </row>
    <row r="162" spans="1:20" x14ac:dyDescent="0.25">
      <c r="A162" s="36" t="str">
        <f>$B$146&amp;"  "&amp;C162&amp;"*"&amp;E162</f>
        <v>CARC  70*3.2</v>
      </c>
      <c r="B162" s="38">
        <f>(H162*7850)/10000</f>
        <v>6.3846592298327032</v>
      </c>
      <c r="C162" s="37">
        <v>70</v>
      </c>
      <c r="D162" s="37"/>
      <c r="E162" s="37">
        <v>3.2</v>
      </c>
      <c r="F162" s="37">
        <f>1*E162</f>
        <v>3.2</v>
      </c>
      <c r="G162" s="37">
        <f>1.5*E162</f>
        <v>4.8000000000000007</v>
      </c>
      <c r="H162" s="38">
        <f>(4*(C162-2*G162)*E162+PI()*(G162^2-F162^2))*0.01</f>
        <v>8.1333238596594946</v>
      </c>
      <c r="I162" s="37">
        <v>62.3</v>
      </c>
      <c r="J162" s="38">
        <f>I162/(0.5*C162*0.1)</f>
        <v>17.8</v>
      </c>
      <c r="K162" s="37">
        <v>21</v>
      </c>
      <c r="L162" s="38">
        <f>SQRT(I162/H162)</f>
        <v>2.7676424963730946</v>
      </c>
      <c r="M162" s="40">
        <f t="shared" si="26"/>
        <v>3.8656000000000001</v>
      </c>
      <c r="N162" s="40"/>
      <c r="O162" s="40"/>
      <c r="P162" s="40"/>
      <c r="Q162" s="40"/>
      <c r="R162" s="40"/>
      <c r="S162" s="37">
        <v>97.6</v>
      </c>
      <c r="T162" s="41">
        <v>26.1</v>
      </c>
    </row>
    <row r="163" spans="1:20" x14ac:dyDescent="0.25">
      <c r="A163" s="42" t="str">
        <f t="shared" si="27"/>
        <v>CARC  70*4</v>
      </c>
      <c r="B163" s="44">
        <f t="shared" si="28"/>
        <v>7.7780300466135985</v>
      </c>
      <c r="C163" s="43">
        <v>70</v>
      </c>
      <c r="D163" s="43"/>
      <c r="E163" s="43">
        <v>4</v>
      </c>
      <c r="F163" s="43">
        <f t="shared" si="29"/>
        <v>4</v>
      </c>
      <c r="G163" s="43">
        <f t="shared" si="30"/>
        <v>6</v>
      </c>
      <c r="H163" s="44">
        <f t="shared" si="24"/>
        <v>9.9083185307179598</v>
      </c>
      <c r="I163" s="43">
        <v>74.7</v>
      </c>
      <c r="J163" s="44">
        <f t="shared" si="25"/>
        <v>21.342857142857145</v>
      </c>
      <c r="K163" s="43">
        <v>25.5</v>
      </c>
      <c r="L163" s="44">
        <f t="shared" si="31"/>
        <v>2.7457457561921932</v>
      </c>
      <c r="M163" s="46">
        <f t="shared" si="26"/>
        <v>4.6399999999999997</v>
      </c>
      <c r="N163" s="46"/>
      <c r="O163" s="46"/>
      <c r="P163" s="46"/>
      <c r="Q163" s="46"/>
      <c r="R163" s="46"/>
      <c r="S163" s="43">
        <v>118</v>
      </c>
      <c r="T163" s="47">
        <v>31.2</v>
      </c>
    </row>
    <row r="164" spans="1:20" x14ac:dyDescent="0.25">
      <c r="A164" s="42" t="str">
        <f t="shared" si="27"/>
        <v>CARC  70*5</v>
      </c>
      <c r="B164" s="44">
        <f t="shared" si="28"/>
        <v>9.4056719478337474</v>
      </c>
      <c r="C164" s="43">
        <v>70</v>
      </c>
      <c r="D164" s="43"/>
      <c r="E164" s="43">
        <v>5</v>
      </c>
      <c r="F164" s="43">
        <f t="shared" si="29"/>
        <v>5</v>
      </c>
      <c r="G164" s="43">
        <f t="shared" si="30"/>
        <v>7.5</v>
      </c>
      <c r="H164" s="44">
        <f t="shared" si="24"/>
        <v>11.981747704246812</v>
      </c>
      <c r="I164" s="43">
        <v>88.5</v>
      </c>
      <c r="J164" s="44">
        <f t="shared" si="25"/>
        <v>25.285714285714285</v>
      </c>
      <c r="K164" s="43">
        <v>30.8</v>
      </c>
      <c r="L164" s="44">
        <f t="shared" si="31"/>
        <v>2.7177628014484299</v>
      </c>
      <c r="M164" s="46">
        <f t="shared" si="26"/>
        <v>5.5</v>
      </c>
      <c r="N164" s="46"/>
      <c r="O164" s="46"/>
      <c r="P164" s="46"/>
      <c r="Q164" s="46"/>
      <c r="R164" s="46"/>
      <c r="S164" s="43">
        <v>142</v>
      </c>
      <c r="T164" s="47">
        <v>36.799999999999997</v>
      </c>
    </row>
    <row r="165" spans="1:20" x14ac:dyDescent="0.25">
      <c r="A165" s="42" t="str">
        <f>$B$146&amp;"  "&amp;C165&amp;"*"&amp;E165</f>
        <v>CARC  70*6.3</v>
      </c>
      <c r="B165" s="44">
        <f>(H165*7850)/10000</f>
        <v>11.332120784380855</v>
      </c>
      <c r="C165" s="43">
        <v>70</v>
      </c>
      <c r="D165" s="43"/>
      <c r="E165" s="43">
        <v>6.3</v>
      </c>
      <c r="F165" s="43">
        <f>1*E165</f>
        <v>6.3</v>
      </c>
      <c r="G165" s="43">
        <f>1.5*E165</f>
        <v>9.4499999999999993</v>
      </c>
      <c r="H165" s="44">
        <f>(4*(C165-2*G165)*E165+PI()*(G165^2-F165^2))*0.01</f>
        <v>14.435822655262237</v>
      </c>
      <c r="I165" s="43">
        <v>104</v>
      </c>
      <c r="J165" s="44">
        <f>I165/(0.5*C165*0.1)</f>
        <v>29.714285714285715</v>
      </c>
      <c r="K165" s="43">
        <v>36.9</v>
      </c>
      <c r="L165" s="44">
        <f>SQRT(I165/H165)</f>
        <v>2.6840827478037994</v>
      </c>
      <c r="M165" s="46">
        <f t="shared" si="26"/>
        <v>6.4386000000000001</v>
      </c>
      <c r="N165" s="46"/>
      <c r="O165" s="46"/>
      <c r="P165" s="46"/>
      <c r="Q165" s="46"/>
      <c r="R165" s="46"/>
      <c r="S165" s="43">
        <v>169</v>
      </c>
      <c r="T165" s="47">
        <v>42.9</v>
      </c>
    </row>
    <row r="166" spans="1:20" x14ac:dyDescent="0.25">
      <c r="A166" s="48" t="str">
        <f>$B$146&amp;"  "&amp;C166&amp;"*"&amp;E166</f>
        <v>CARC  70*8</v>
      </c>
      <c r="B166" s="50">
        <f>(H166*7850)/10000</f>
        <v>13.528120186454393</v>
      </c>
      <c r="C166" s="49">
        <v>70</v>
      </c>
      <c r="D166" s="49"/>
      <c r="E166" s="49">
        <v>8</v>
      </c>
      <c r="F166" s="49">
        <f>1*E166</f>
        <v>8</v>
      </c>
      <c r="G166" s="49">
        <f>1.5*E166</f>
        <v>12</v>
      </c>
      <c r="H166" s="50">
        <f>(4*(C166-2*G166)*E166+PI()*(G166^2-F166^2))*0.01</f>
        <v>17.233274122871837</v>
      </c>
      <c r="I166" s="49">
        <v>120</v>
      </c>
      <c r="J166" s="50">
        <f>I166/(0.5*C166*0.1)</f>
        <v>34.285714285714285</v>
      </c>
      <c r="K166" s="49">
        <v>43.8</v>
      </c>
      <c r="L166" s="50">
        <f>SQRT(I166/H166)</f>
        <v>2.6388015160156582</v>
      </c>
      <c r="M166" s="52">
        <f t="shared" si="26"/>
        <v>7.36</v>
      </c>
      <c r="N166" s="52"/>
      <c r="O166" s="52"/>
      <c r="P166" s="52"/>
      <c r="Q166" s="52"/>
      <c r="R166" s="52"/>
      <c r="S166" s="49">
        <v>200</v>
      </c>
      <c r="T166" s="53">
        <v>49.2</v>
      </c>
    </row>
    <row r="167" spans="1:20" x14ac:dyDescent="0.25">
      <c r="A167" s="32" t="str">
        <f>$B$146&amp;"  "&amp;C167&amp;"*"&amp;E167</f>
        <v>CARC  80*3.2</v>
      </c>
      <c r="B167" s="33">
        <f>(H167*7850)/10000</f>
        <v>7.3894592298327044</v>
      </c>
      <c r="C167" s="17">
        <v>80</v>
      </c>
      <c r="E167" s="17">
        <v>3.2</v>
      </c>
      <c r="F167" s="17">
        <f>1*E167</f>
        <v>3.2</v>
      </c>
      <c r="G167" s="17">
        <f>1.5*E167</f>
        <v>4.8000000000000007</v>
      </c>
      <c r="H167" s="33">
        <f>(4*(C167-2*G167)*E167+PI()*(G167^2-F167^2))*0.01</f>
        <v>9.4133238596594957</v>
      </c>
      <c r="I167" s="17">
        <v>95</v>
      </c>
      <c r="J167" s="33">
        <f>I167/(0.5*C167*0.1)</f>
        <v>23.75</v>
      </c>
      <c r="K167" s="17">
        <v>27.9</v>
      </c>
      <c r="L167" s="33">
        <f>SQRT(I167/H167)</f>
        <v>3.1768031329369522</v>
      </c>
      <c r="M167" s="58">
        <f t="shared" si="26"/>
        <v>4.5056000000000003</v>
      </c>
      <c r="N167" s="58"/>
      <c r="O167" s="58"/>
      <c r="P167" s="58"/>
      <c r="Q167" s="58"/>
      <c r="R167" s="58"/>
      <c r="S167" s="17">
        <v>148</v>
      </c>
      <c r="T167" s="17">
        <v>34.9</v>
      </c>
    </row>
    <row r="168" spans="1:20" x14ac:dyDescent="0.25">
      <c r="A168" s="32" t="str">
        <f t="shared" si="27"/>
        <v>CARC  80*4</v>
      </c>
      <c r="B168" s="33">
        <f t="shared" si="28"/>
        <v>9.0340300466135997</v>
      </c>
      <c r="C168" s="17">
        <v>80</v>
      </c>
      <c r="E168" s="17">
        <v>4</v>
      </c>
      <c r="F168" s="17">
        <f t="shared" si="29"/>
        <v>4</v>
      </c>
      <c r="G168" s="17">
        <f t="shared" si="30"/>
        <v>6</v>
      </c>
      <c r="H168" s="33">
        <f t="shared" si="24"/>
        <v>11.508318530717959</v>
      </c>
      <c r="I168" s="17">
        <v>114</v>
      </c>
      <c r="J168" s="33">
        <f t="shared" si="25"/>
        <v>28.5</v>
      </c>
      <c r="K168" s="17">
        <v>34</v>
      </c>
      <c r="L168" s="33">
        <f t="shared" si="31"/>
        <v>3.1473604903860952</v>
      </c>
      <c r="M168" s="58">
        <f t="shared" si="26"/>
        <v>5.44</v>
      </c>
      <c r="N168" s="58"/>
      <c r="O168" s="58"/>
      <c r="P168" s="58"/>
      <c r="Q168" s="58"/>
      <c r="R168" s="58"/>
      <c r="S168" s="17">
        <v>180</v>
      </c>
      <c r="T168" s="17">
        <v>41.9</v>
      </c>
    </row>
    <row r="169" spans="1:20" x14ac:dyDescent="0.25">
      <c r="A169" s="32" t="str">
        <f t="shared" si="27"/>
        <v>CARC  80*5</v>
      </c>
      <c r="B169" s="33">
        <f t="shared" si="28"/>
        <v>10.975671947833748</v>
      </c>
      <c r="C169" s="17">
        <v>80</v>
      </c>
      <c r="E169" s="17">
        <v>5</v>
      </c>
      <c r="F169" s="17">
        <f t="shared" si="29"/>
        <v>5</v>
      </c>
      <c r="G169" s="17">
        <f t="shared" si="30"/>
        <v>7.5</v>
      </c>
      <c r="H169" s="33">
        <f t="shared" si="24"/>
        <v>13.981747704246812</v>
      </c>
      <c r="I169" s="17">
        <v>137</v>
      </c>
      <c r="J169" s="33">
        <f t="shared" si="25"/>
        <v>34.25</v>
      </c>
      <c r="K169" s="17">
        <v>41.1</v>
      </c>
      <c r="L169" s="33">
        <f t="shared" si="31"/>
        <v>3.1302538112262601</v>
      </c>
      <c r="M169" s="58">
        <f t="shared" si="26"/>
        <v>6.5</v>
      </c>
      <c r="N169" s="58"/>
      <c r="O169" s="58"/>
      <c r="P169" s="58"/>
      <c r="Q169" s="58"/>
      <c r="R169" s="58"/>
      <c r="S169" s="17">
        <v>217</v>
      </c>
      <c r="T169" s="17">
        <v>49.8</v>
      </c>
    </row>
    <row r="170" spans="1:20" x14ac:dyDescent="0.25">
      <c r="A170" s="32" t="str">
        <f t="shared" si="27"/>
        <v>CARC  80*6.3</v>
      </c>
      <c r="B170" s="33">
        <f t="shared" si="28"/>
        <v>13.310320784380854</v>
      </c>
      <c r="C170" s="17">
        <v>80</v>
      </c>
      <c r="E170" s="17">
        <v>6.3</v>
      </c>
      <c r="F170" s="17">
        <f t="shared" si="29"/>
        <v>6.3</v>
      </c>
      <c r="G170" s="17">
        <f t="shared" si="30"/>
        <v>9.4499999999999993</v>
      </c>
      <c r="H170" s="33">
        <f t="shared" si="24"/>
        <v>16.955822655262235</v>
      </c>
      <c r="I170" s="17">
        <v>162</v>
      </c>
      <c r="J170" s="33">
        <f t="shared" si="25"/>
        <v>40.5</v>
      </c>
      <c r="K170" s="17">
        <v>49.7</v>
      </c>
      <c r="L170" s="33">
        <f t="shared" si="31"/>
        <v>3.0909933769380529</v>
      </c>
      <c r="M170" s="58">
        <f t="shared" si="26"/>
        <v>7.6985999999999999</v>
      </c>
      <c r="N170" s="58"/>
      <c r="O170" s="58"/>
      <c r="P170" s="58"/>
      <c r="Q170" s="58"/>
      <c r="R170" s="58"/>
      <c r="S170" s="17">
        <v>262</v>
      </c>
      <c r="T170" s="17">
        <v>58.7</v>
      </c>
    </row>
    <row r="171" spans="1:20" x14ac:dyDescent="0.25">
      <c r="A171" s="32" t="str">
        <f t="shared" si="27"/>
        <v>CARC  80*8</v>
      </c>
      <c r="B171" s="33">
        <f t="shared" si="28"/>
        <v>16.040120186454391</v>
      </c>
      <c r="C171" s="17">
        <v>80</v>
      </c>
      <c r="E171" s="17">
        <v>8</v>
      </c>
      <c r="F171" s="17">
        <f t="shared" si="29"/>
        <v>8</v>
      </c>
      <c r="G171" s="17">
        <f t="shared" si="30"/>
        <v>12</v>
      </c>
      <c r="H171" s="33">
        <f t="shared" si="24"/>
        <v>20.433274122871836</v>
      </c>
      <c r="I171" s="17">
        <v>189</v>
      </c>
      <c r="J171" s="33">
        <f t="shared" si="25"/>
        <v>47.25</v>
      </c>
      <c r="K171" s="17">
        <v>39.5</v>
      </c>
      <c r="L171" s="33">
        <f t="shared" si="31"/>
        <v>3.0413186239913452</v>
      </c>
      <c r="M171" s="58">
        <f t="shared" si="26"/>
        <v>8.9600000000000009</v>
      </c>
      <c r="N171" s="58"/>
      <c r="O171" s="58"/>
      <c r="P171" s="58"/>
      <c r="Q171" s="58"/>
      <c r="R171" s="58"/>
      <c r="S171" s="17">
        <v>312</v>
      </c>
      <c r="T171" s="17">
        <v>68.3</v>
      </c>
    </row>
    <row r="172" spans="1:20" x14ac:dyDescent="0.25">
      <c r="A172" s="36" t="str">
        <f t="shared" si="27"/>
        <v>CARC  90*4</v>
      </c>
      <c r="B172" s="38">
        <f t="shared" si="28"/>
        <v>10.290030046613598</v>
      </c>
      <c r="C172" s="37">
        <v>90</v>
      </c>
      <c r="D172" s="37"/>
      <c r="E172" s="37">
        <v>4</v>
      </c>
      <c r="F172" s="37">
        <f t="shared" si="29"/>
        <v>4</v>
      </c>
      <c r="G172" s="37">
        <f t="shared" si="30"/>
        <v>6</v>
      </c>
      <c r="H172" s="38">
        <f t="shared" si="24"/>
        <v>13.108318530717959</v>
      </c>
      <c r="I172" s="37">
        <v>166</v>
      </c>
      <c r="J172" s="38">
        <f t="shared" si="25"/>
        <v>36.888888888888886</v>
      </c>
      <c r="K172" s="37">
        <v>43.6</v>
      </c>
      <c r="L172" s="38">
        <f t="shared" si="31"/>
        <v>3.5586112792710942</v>
      </c>
      <c r="M172" s="40">
        <f t="shared" si="26"/>
        <v>6.24</v>
      </c>
      <c r="N172" s="40"/>
      <c r="O172" s="40"/>
      <c r="P172" s="40"/>
      <c r="Q172" s="40"/>
      <c r="R172" s="40"/>
      <c r="S172" s="37">
        <v>260</v>
      </c>
      <c r="T172" s="41">
        <v>54.2</v>
      </c>
    </row>
    <row r="173" spans="1:20" x14ac:dyDescent="0.25">
      <c r="A173" s="42" t="str">
        <f t="shared" si="27"/>
        <v>CARC  90*5</v>
      </c>
      <c r="B173" s="44">
        <f t="shared" si="28"/>
        <v>12.545671947833748</v>
      </c>
      <c r="C173" s="43">
        <v>90</v>
      </c>
      <c r="D173" s="43"/>
      <c r="E173" s="43">
        <v>5</v>
      </c>
      <c r="F173" s="43">
        <f t="shared" si="29"/>
        <v>5</v>
      </c>
      <c r="G173" s="43">
        <f t="shared" si="30"/>
        <v>7.5</v>
      </c>
      <c r="H173" s="44">
        <f t="shared" si="24"/>
        <v>15.981747704246812</v>
      </c>
      <c r="I173" s="43">
        <v>200</v>
      </c>
      <c r="J173" s="44">
        <f t="shared" si="25"/>
        <v>44.444444444444443</v>
      </c>
      <c r="K173" s="43">
        <v>53</v>
      </c>
      <c r="L173" s="44">
        <f t="shared" si="31"/>
        <v>3.5375522457688651</v>
      </c>
      <c r="M173" s="46">
        <f t="shared" si="26"/>
        <v>7.5</v>
      </c>
      <c r="N173" s="46"/>
      <c r="O173" s="46"/>
      <c r="P173" s="46"/>
      <c r="Q173" s="46"/>
      <c r="R173" s="46"/>
      <c r="S173" s="43">
        <v>316</v>
      </c>
      <c r="T173" s="47">
        <v>64.8</v>
      </c>
    </row>
    <row r="174" spans="1:20" x14ac:dyDescent="0.25">
      <c r="A174" s="42" t="str">
        <f>$B$146&amp;"  "&amp;C174&amp;"*"&amp;E174</f>
        <v>CARC  90*6.3</v>
      </c>
      <c r="B174" s="44">
        <f>(H174*7850)/10000</f>
        <v>15.288520784380854</v>
      </c>
      <c r="C174" s="43">
        <v>90</v>
      </c>
      <c r="D174" s="43"/>
      <c r="E174" s="43">
        <v>6.3</v>
      </c>
      <c r="F174" s="43">
        <f>1*E174</f>
        <v>6.3</v>
      </c>
      <c r="G174" s="43">
        <f>1.5*E174</f>
        <v>9.4499999999999993</v>
      </c>
      <c r="H174" s="44">
        <f>(4*(C174-2*G174)*E174+PI()*(G174^2-F174^2))*0.01</f>
        <v>19.475822655262235</v>
      </c>
      <c r="I174" s="43">
        <v>238</v>
      </c>
      <c r="J174" s="44">
        <f>I174/(0.5*C174*0.1)</f>
        <v>52.888888888888886</v>
      </c>
      <c r="K174" s="43">
        <v>64.3</v>
      </c>
      <c r="L174" s="44">
        <f>SQRT(I174/H174)</f>
        <v>3.4957516627956897</v>
      </c>
      <c r="M174" s="46">
        <f t="shared" si="26"/>
        <v>8.9585999999999988</v>
      </c>
      <c r="N174" s="46"/>
      <c r="O174" s="46"/>
      <c r="P174" s="46"/>
      <c r="Q174" s="46"/>
      <c r="R174" s="46"/>
      <c r="S174" s="43">
        <v>382</v>
      </c>
      <c r="T174" s="47">
        <v>77</v>
      </c>
    </row>
    <row r="175" spans="1:20" x14ac:dyDescent="0.25">
      <c r="A175" s="48" t="str">
        <f t="shared" si="27"/>
        <v>CARC  90*8</v>
      </c>
      <c r="B175" s="50">
        <f t="shared" si="28"/>
        <v>18.552120186454388</v>
      </c>
      <c r="C175" s="49">
        <v>90</v>
      </c>
      <c r="D175" s="49"/>
      <c r="E175" s="49">
        <v>8</v>
      </c>
      <c r="F175" s="49">
        <f t="shared" si="29"/>
        <v>8</v>
      </c>
      <c r="G175" s="49">
        <f t="shared" si="30"/>
        <v>12</v>
      </c>
      <c r="H175" s="50">
        <f t="shared" si="24"/>
        <v>23.633274122871835</v>
      </c>
      <c r="I175" s="49">
        <v>281</v>
      </c>
      <c r="J175" s="50">
        <f t="shared" si="25"/>
        <v>62.444444444444443</v>
      </c>
      <c r="K175" s="49">
        <v>77.599999999999994</v>
      </c>
      <c r="L175" s="50">
        <f t="shared" si="31"/>
        <v>3.4481902042412766</v>
      </c>
      <c r="M175" s="52">
        <f t="shared" si="26"/>
        <v>10.56</v>
      </c>
      <c r="N175" s="52"/>
      <c r="O175" s="52"/>
      <c r="P175" s="52"/>
      <c r="Q175" s="52"/>
      <c r="R175" s="52"/>
      <c r="S175" s="49">
        <v>459</v>
      </c>
      <c r="T175" s="53">
        <v>90.5</v>
      </c>
    </row>
    <row r="176" spans="1:20" x14ac:dyDescent="0.25">
      <c r="A176" s="32" t="str">
        <f t="shared" si="27"/>
        <v>CARC  100*4</v>
      </c>
      <c r="B176" s="33">
        <f t="shared" si="28"/>
        <v>11.546030046613597</v>
      </c>
      <c r="C176" s="17">
        <v>100</v>
      </c>
      <c r="E176" s="17">
        <v>4</v>
      </c>
      <c r="F176" s="17">
        <f t="shared" si="29"/>
        <v>4</v>
      </c>
      <c r="G176" s="17">
        <f t="shared" si="30"/>
        <v>6</v>
      </c>
      <c r="H176" s="33">
        <f t="shared" si="24"/>
        <v>14.708318530717959</v>
      </c>
      <c r="I176" s="17">
        <v>232</v>
      </c>
      <c r="J176" s="33">
        <f t="shared" si="25"/>
        <v>46.4</v>
      </c>
      <c r="K176" s="17">
        <v>54.4</v>
      </c>
      <c r="L176" s="33">
        <f t="shared" si="31"/>
        <v>3.9715723560464053</v>
      </c>
      <c r="M176" s="58">
        <f t="shared" si="26"/>
        <v>7.04</v>
      </c>
      <c r="N176" s="58"/>
      <c r="O176" s="58"/>
      <c r="P176" s="58"/>
      <c r="Q176" s="58"/>
      <c r="R176" s="58"/>
      <c r="S176" s="17">
        <v>361</v>
      </c>
      <c r="T176" s="17">
        <v>68.2</v>
      </c>
    </row>
    <row r="177" spans="1:20" x14ac:dyDescent="0.25">
      <c r="A177" s="32" t="str">
        <f t="shared" si="27"/>
        <v>CARC  100*5</v>
      </c>
      <c r="B177" s="33">
        <f t="shared" si="28"/>
        <v>14.115671947833746</v>
      </c>
      <c r="C177" s="17">
        <v>100</v>
      </c>
      <c r="E177" s="17">
        <v>5</v>
      </c>
      <c r="F177" s="17">
        <f t="shared" si="29"/>
        <v>5</v>
      </c>
      <c r="G177" s="17">
        <f t="shared" si="30"/>
        <v>7.5</v>
      </c>
      <c r="H177" s="33">
        <f t="shared" si="24"/>
        <v>17.981747704246811</v>
      </c>
      <c r="I177" s="17">
        <v>279</v>
      </c>
      <c r="J177" s="33">
        <f t="shared" si="25"/>
        <v>55.8</v>
      </c>
      <c r="K177" s="17">
        <v>66.400000000000006</v>
      </c>
      <c r="L177" s="33">
        <f t="shared" si="31"/>
        <v>3.9390015496833954</v>
      </c>
      <c r="M177" s="58">
        <f t="shared" si="26"/>
        <v>8.5</v>
      </c>
      <c r="N177" s="58"/>
      <c r="O177" s="58"/>
      <c r="P177" s="58"/>
      <c r="Q177" s="58"/>
      <c r="R177" s="58"/>
      <c r="S177" s="17">
        <v>439</v>
      </c>
      <c r="T177" s="17">
        <v>81.8</v>
      </c>
    </row>
    <row r="178" spans="1:20" x14ac:dyDescent="0.25">
      <c r="A178" s="32" t="str">
        <f t="shared" si="27"/>
        <v>CARC  100*6.3</v>
      </c>
      <c r="B178" s="33">
        <f t="shared" si="28"/>
        <v>17.266720784380851</v>
      </c>
      <c r="C178" s="17">
        <v>100</v>
      </c>
      <c r="E178" s="17">
        <v>6.3</v>
      </c>
      <c r="F178" s="17">
        <f t="shared" si="29"/>
        <v>6.3</v>
      </c>
      <c r="G178" s="17">
        <f t="shared" si="30"/>
        <v>9.4499999999999993</v>
      </c>
      <c r="H178" s="33">
        <f t="shared" si="24"/>
        <v>21.995822655262231</v>
      </c>
      <c r="I178" s="17">
        <v>336</v>
      </c>
      <c r="J178" s="33">
        <f t="shared" si="25"/>
        <v>67.2</v>
      </c>
      <c r="K178" s="17">
        <v>80.900000000000006</v>
      </c>
      <c r="L178" s="33">
        <f t="shared" si="31"/>
        <v>3.908404763882106</v>
      </c>
      <c r="M178" s="58">
        <f t="shared" si="26"/>
        <v>10.218599999999999</v>
      </c>
      <c r="N178" s="58"/>
      <c r="O178" s="58"/>
      <c r="P178" s="58"/>
      <c r="Q178" s="58"/>
      <c r="R178" s="58"/>
      <c r="S178" s="17">
        <v>534</v>
      </c>
      <c r="T178" s="17">
        <v>97.8</v>
      </c>
    </row>
    <row r="179" spans="1:20" x14ac:dyDescent="0.25">
      <c r="A179" s="32" t="str">
        <f t="shared" si="27"/>
        <v>CARC  100*8</v>
      </c>
      <c r="B179" s="33">
        <f t="shared" si="28"/>
        <v>21.064120186454389</v>
      </c>
      <c r="C179" s="17">
        <v>100</v>
      </c>
      <c r="E179" s="17">
        <v>8</v>
      </c>
      <c r="F179" s="17">
        <f t="shared" si="29"/>
        <v>8</v>
      </c>
      <c r="G179" s="17">
        <f t="shared" si="30"/>
        <v>12</v>
      </c>
      <c r="H179" s="33">
        <f t="shared" si="24"/>
        <v>26.833274122871835</v>
      </c>
      <c r="I179" s="17">
        <v>400</v>
      </c>
      <c r="J179" s="33">
        <f t="shared" si="25"/>
        <v>80</v>
      </c>
      <c r="K179" s="17">
        <v>98.2</v>
      </c>
      <c r="L179" s="33">
        <f t="shared" si="31"/>
        <v>3.8609409723072723</v>
      </c>
      <c r="M179" s="58">
        <f t="shared" si="26"/>
        <v>12.16</v>
      </c>
      <c r="N179" s="58"/>
      <c r="O179" s="58"/>
      <c r="P179" s="58"/>
      <c r="Q179" s="58"/>
      <c r="R179" s="58"/>
      <c r="S179" s="17">
        <v>646</v>
      </c>
      <c r="T179" s="17">
        <v>116</v>
      </c>
    </row>
    <row r="180" spans="1:20" x14ac:dyDescent="0.25">
      <c r="A180" s="32" t="str">
        <f t="shared" si="27"/>
        <v>CARC  100*10</v>
      </c>
      <c r="B180" s="33">
        <f t="shared" si="28"/>
        <v>25.062687791334987</v>
      </c>
      <c r="C180" s="17">
        <v>100</v>
      </c>
      <c r="E180" s="17">
        <v>10</v>
      </c>
      <c r="F180" s="17">
        <f t="shared" si="29"/>
        <v>10</v>
      </c>
      <c r="G180" s="17">
        <f t="shared" si="30"/>
        <v>15</v>
      </c>
      <c r="H180" s="33">
        <f t="shared" si="24"/>
        <v>31.926990816987242</v>
      </c>
      <c r="I180" s="17">
        <v>462</v>
      </c>
      <c r="J180" s="33">
        <f t="shared" si="25"/>
        <v>92.4</v>
      </c>
      <c r="K180" s="17">
        <v>116</v>
      </c>
      <c r="L180" s="33">
        <f t="shared" si="31"/>
        <v>3.8040130145636031</v>
      </c>
      <c r="M180" s="58">
        <f t="shared" si="26"/>
        <v>14</v>
      </c>
      <c r="N180" s="58"/>
      <c r="O180" s="58"/>
      <c r="P180" s="58"/>
      <c r="Q180" s="58"/>
      <c r="R180" s="58"/>
      <c r="S180" s="17">
        <v>761</v>
      </c>
      <c r="T180" s="17">
        <v>133</v>
      </c>
    </row>
    <row r="181" spans="1:20" x14ac:dyDescent="0.25">
      <c r="A181" s="36" t="str">
        <f t="shared" si="27"/>
        <v>CARC  120*5</v>
      </c>
      <c r="B181" s="38">
        <f t="shared" si="28"/>
        <v>17.255671947833747</v>
      </c>
      <c r="C181" s="37">
        <v>120</v>
      </c>
      <c r="D181" s="37"/>
      <c r="E181" s="37">
        <v>5</v>
      </c>
      <c r="F181" s="37">
        <f t="shared" si="29"/>
        <v>5</v>
      </c>
      <c r="G181" s="37">
        <f t="shared" si="30"/>
        <v>7.5</v>
      </c>
      <c r="H181" s="38">
        <f t="shared" si="24"/>
        <v>21.981747704246811</v>
      </c>
      <c r="I181" s="54">
        <v>498</v>
      </c>
      <c r="J181" s="38">
        <f t="shared" si="25"/>
        <v>83</v>
      </c>
      <c r="K181" s="37">
        <v>97.6</v>
      </c>
      <c r="L181" s="38">
        <f t="shared" si="31"/>
        <v>4.7597436364847567</v>
      </c>
      <c r="M181" s="40">
        <f t="shared" si="26"/>
        <v>10.5</v>
      </c>
      <c r="N181" s="40"/>
      <c r="O181" s="40"/>
      <c r="P181" s="40"/>
      <c r="Q181" s="40"/>
      <c r="R181" s="40"/>
      <c r="S181" s="37">
        <v>777</v>
      </c>
      <c r="T181" s="41">
        <v>122</v>
      </c>
    </row>
    <row r="182" spans="1:20" x14ac:dyDescent="0.25">
      <c r="A182" s="42" t="str">
        <f t="shared" si="27"/>
        <v>CARC  120*6.3</v>
      </c>
      <c r="B182" s="44">
        <f t="shared" si="28"/>
        <v>21.223120784380853</v>
      </c>
      <c r="C182" s="43">
        <v>120</v>
      </c>
      <c r="D182" s="43"/>
      <c r="E182" s="43">
        <v>6.3</v>
      </c>
      <c r="F182" s="43">
        <f t="shared" si="29"/>
        <v>6.3</v>
      </c>
      <c r="G182" s="43">
        <f t="shared" si="30"/>
        <v>9.4499999999999993</v>
      </c>
      <c r="H182" s="44">
        <f t="shared" si="24"/>
        <v>27.035822655262233</v>
      </c>
      <c r="I182" s="55">
        <v>603</v>
      </c>
      <c r="J182" s="44">
        <f t="shared" si="25"/>
        <v>100.5</v>
      </c>
      <c r="K182" s="43">
        <v>120</v>
      </c>
      <c r="L182" s="44">
        <f t="shared" si="31"/>
        <v>4.7226837189793729</v>
      </c>
      <c r="M182" s="46">
        <f t="shared" si="26"/>
        <v>12.7386</v>
      </c>
      <c r="N182" s="46"/>
      <c r="O182" s="46"/>
      <c r="P182" s="46"/>
      <c r="Q182" s="46"/>
      <c r="R182" s="46"/>
      <c r="S182" s="43">
        <v>950</v>
      </c>
      <c r="T182" s="47">
        <v>147</v>
      </c>
    </row>
    <row r="183" spans="1:20" x14ac:dyDescent="0.25">
      <c r="A183" s="42" t="str">
        <f t="shared" si="27"/>
        <v>CARC  120*8</v>
      </c>
      <c r="B183" s="44">
        <f t="shared" si="28"/>
        <v>26.08812018645439</v>
      </c>
      <c r="C183" s="43">
        <v>120</v>
      </c>
      <c r="D183" s="43"/>
      <c r="E183" s="43">
        <v>8</v>
      </c>
      <c r="F183" s="43">
        <f t="shared" si="29"/>
        <v>8</v>
      </c>
      <c r="G183" s="43">
        <f t="shared" si="30"/>
        <v>12</v>
      </c>
      <c r="H183" s="44">
        <f t="shared" si="24"/>
        <v>33.233274122871833</v>
      </c>
      <c r="I183" s="55">
        <v>726</v>
      </c>
      <c r="J183" s="44">
        <f t="shared" si="25"/>
        <v>121</v>
      </c>
      <c r="K183" s="43">
        <v>146</v>
      </c>
      <c r="L183" s="44">
        <f t="shared" si="31"/>
        <v>4.6739250669209325</v>
      </c>
      <c r="M183" s="46">
        <f t="shared" si="26"/>
        <v>15.36</v>
      </c>
      <c r="N183" s="46"/>
      <c r="O183" s="46"/>
      <c r="P183" s="46"/>
      <c r="Q183" s="46"/>
      <c r="R183" s="46"/>
      <c r="S183" s="43">
        <v>1160</v>
      </c>
      <c r="T183" s="47">
        <v>176</v>
      </c>
    </row>
    <row r="184" spans="1:20" x14ac:dyDescent="0.25">
      <c r="A184" s="42" t="str">
        <f t="shared" si="27"/>
        <v>CARC  120*10</v>
      </c>
      <c r="B184" s="44">
        <f t="shared" si="28"/>
        <v>31.342687791334985</v>
      </c>
      <c r="C184" s="43">
        <v>120</v>
      </c>
      <c r="D184" s="43"/>
      <c r="E184" s="43">
        <v>10</v>
      </c>
      <c r="F184" s="43">
        <f t="shared" si="29"/>
        <v>10</v>
      </c>
      <c r="G184" s="43">
        <f t="shared" si="30"/>
        <v>15</v>
      </c>
      <c r="H184" s="44">
        <f t="shared" si="24"/>
        <v>39.926990816987242</v>
      </c>
      <c r="I184" s="55">
        <v>852</v>
      </c>
      <c r="J184" s="44">
        <f t="shared" si="25"/>
        <v>142</v>
      </c>
      <c r="K184" s="43">
        <v>175</v>
      </c>
      <c r="L184" s="44">
        <f t="shared" si="31"/>
        <v>4.6194099709672516</v>
      </c>
      <c r="M184" s="46">
        <f t="shared" si="26"/>
        <v>18</v>
      </c>
      <c r="N184" s="46"/>
      <c r="O184" s="46"/>
      <c r="P184" s="46"/>
      <c r="Q184" s="46"/>
      <c r="R184" s="46"/>
      <c r="S184" s="43">
        <v>1382</v>
      </c>
      <c r="T184" s="47">
        <v>206</v>
      </c>
    </row>
    <row r="185" spans="1:20" x14ac:dyDescent="0.25">
      <c r="A185" s="48" t="str">
        <f t="shared" si="27"/>
        <v>CARC  120*12.5</v>
      </c>
      <c r="B185" s="50">
        <f t="shared" si="28"/>
        <v>37.197949673960913</v>
      </c>
      <c r="C185" s="49">
        <v>120</v>
      </c>
      <c r="D185" s="49"/>
      <c r="E185" s="49">
        <v>12.5</v>
      </c>
      <c r="F185" s="49">
        <f t="shared" si="29"/>
        <v>12.5</v>
      </c>
      <c r="G185" s="49">
        <f t="shared" si="30"/>
        <v>18.75</v>
      </c>
      <c r="H185" s="50">
        <f t="shared" si="24"/>
        <v>47.385923151542563</v>
      </c>
      <c r="I185" s="56">
        <v>982</v>
      </c>
      <c r="J185" s="50">
        <f t="shared" si="25"/>
        <v>163.66666666666666</v>
      </c>
      <c r="K185" s="49">
        <v>207</v>
      </c>
      <c r="L185" s="50">
        <f t="shared" si="31"/>
        <v>4.5523020580677036</v>
      </c>
      <c r="M185" s="52">
        <f t="shared" si="26"/>
        <v>20.625</v>
      </c>
      <c r="N185" s="52"/>
      <c r="O185" s="52"/>
      <c r="P185" s="52"/>
      <c r="Q185" s="52"/>
      <c r="R185" s="52"/>
      <c r="S185" s="49">
        <v>1623</v>
      </c>
      <c r="T185" s="53">
        <v>236</v>
      </c>
    </row>
    <row r="186" spans="1:20" x14ac:dyDescent="0.25">
      <c r="A186" s="32" t="str">
        <f t="shared" si="27"/>
        <v>CARC  140*5</v>
      </c>
      <c r="B186" s="33">
        <f t="shared" si="28"/>
        <v>20.395671947833748</v>
      </c>
      <c r="C186" s="17">
        <v>140</v>
      </c>
      <c r="E186" s="17">
        <v>5</v>
      </c>
      <c r="F186" s="17">
        <f t="shared" si="29"/>
        <v>5</v>
      </c>
      <c r="G186" s="17">
        <f t="shared" si="30"/>
        <v>7.5</v>
      </c>
      <c r="H186" s="33">
        <f t="shared" si="24"/>
        <v>25.981747704246811</v>
      </c>
      <c r="I186" s="57">
        <v>807</v>
      </c>
      <c r="J186" s="33">
        <f t="shared" si="25"/>
        <v>115.28571428571429</v>
      </c>
      <c r="K186" s="17">
        <v>135</v>
      </c>
      <c r="L186" s="33">
        <f t="shared" si="31"/>
        <v>5.5731737994294894</v>
      </c>
      <c r="M186" s="58">
        <f t="shared" si="26"/>
        <v>12.5</v>
      </c>
      <c r="N186" s="58"/>
      <c r="O186" s="58"/>
      <c r="P186" s="58"/>
      <c r="Q186" s="58"/>
      <c r="R186" s="58"/>
      <c r="S186" s="17">
        <v>1253</v>
      </c>
      <c r="T186" s="17">
        <v>170</v>
      </c>
    </row>
    <row r="187" spans="1:20" x14ac:dyDescent="0.25">
      <c r="A187" s="32" t="str">
        <f t="shared" si="27"/>
        <v>CARC  140*6.3</v>
      </c>
      <c r="B187" s="33">
        <f t="shared" si="28"/>
        <v>25.179520784380848</v>
      </c>
      <c r="C187" s="17">
        <v>140</v>
      </c>
      <c r="E187" s="17">
        <v>6.3</v>
      </c>
      <c r="F187" s="17">
        <f t="shared" si="29"/>
        <v>6.3</v>
      </c>
      <c r="G187" s="17">
        <f t="shared" si="30"/>
        <v>9.4499999999999993</v>
      </c>
      <c r="H187" s="33">
        <f t="shared" si="24"/>
        <v>32.075822655262229</v>
      </c>
      <c r="I187" s="57">
        <v>984</v>
      </c>
      <c r="J187" s="33">
        <f t="shared" si="25"/>
        <v>140.57142857142858</v>
      </c>
      <c r="K187" s="17">
        <v>166</v>
      </c>
      <c r="L187" s="33">
        <f t="shared" si="31"/>
        <v>5.5387102650159044</v>
      </c>
      <c r="M187" s="58">
        <f t="shared" si="26"/>
        <v>15.258599999999999</v>
      </c>
      <c r="N187" s="58"/>
      <c r="O187" s="58"/>
      <c r="P187" s="58"/>
      <c r="Q187" s="58"/>
      <c r="R187" s="58"/>
      <c r="S187" s="17">
        <v>1540</v>
      </c>
      <c r="T187" s="17">
        <v>206</v>
      </c>
    </row>
    <row r="188" spans="1:20" x14ac:dyDescent="0.25">
      <c r="A188" s="32" t="str">
        <f t="shared" si="27"/>
        <v>CARC  140*8</v>
      </c>
      <c r="B188" s="33">
        <f t="shared" si="28"/>
        <v>31.112120186454394</v>
      </c>
      <c r="C188" s="17">
        <v>140</v>
      </c>
      <c r="E188" s="17">
        <v>8</v>
      </c>
      <c r="F188" s="17">
        <f t="shared" si="29"/>
        <v>8</v>
      </c>
      <c r="G188" s="17">
        <f t="shared" si="30"/>
        <v>12</v>
      </c>
      <c r="H188" s="33">
        <f t="shared" si="24"/>
        <v>39.633274122871839</v>
      </c>
      <c r="I188" s="57">
        <v>1195</v>
      </c>
      <c r="J188" s="33">
        <f t="shared" si="25"/>
        <v>170.71428571428572</v>
      </c>
      <c r="K188" s="17">
        <v>204</v>
      </c>
      <c r="L188" s="33">
        <f t="shared" si="31"/>
        <v>5.4910320310203735</v>
      </c>
      <c r="M188" s="58">
        <f t="shared" si="26"/>
        <v>18.559999999999999</v>
      </c>
      <c r="N188" s="58"/>
      <c r="O188" s="58"/>
      <c r="P188" s="58"/>
      <c r="Q188" s="58"/>
      <c r="R188" s="58"/>
      <c r="S188" s="17">
        <v>1892</v>
      </c>
      <c r="T188" s="17">
        <v>249</v>
      </c>
    </row>
    <row r="189" spans="1:20" x14ac:dyDescent="0.25">
      <c r="A189" s="32" t="str">
        <f t="shared" si="27"/>
        <v>CARC  140*10</v>
      </c>
      <c r="B189" s="33">
        <f t="shared" si="28"/>
        <v>37.62268779133499</v>
      </c>
      <c r="C189" s="17">
        <v>140</v>
      </c>
      <c r="E189" s="17">
        <v>10</v>
      </c>
      <c r="F189" s="17">
        <f t="shared" si="29"/>
        <v>10</v>
      </c>
      <c r="G189" s="17">
        <f t="shared" si="30"/>
        <v>15</v>
      </c>
      <c r="H189" s="33">
        <f t="shared" si="24"/>
        <v>47.926990816987249</v>
      </c>
      <c r="I189" s="57">
        <v>1416</v>
      </c>
      <c r="J189" s="33">
        <f t="shared" si="25"/>
        <v>202.28571428571428</v>
      </c>
      <c r="K189" s="17">
        <v>246</v>
      </c>
      <c r="L189" s="33">
        <f t="shared" si="31"/>
        <v>5.4355256028968597</v>
      </c>
      <c r="M189" s="58">
        <f t="shared" si="26"/>
        <v>22</v>
      </c>
      <c r="N189" s="58"/>
      <c r="O189" s="58"/>
      <c r="P189" s="58"/>
      <c r="Q189" s="58"/>
      <c r="R189" s="58"/>
      <c r="S189" s="17">
        <v>2272</v>
      </c>
      <c r="T189" s="17">
        <v>294</v>
      </c>
    </row>
    <row r="190" spans="1:20" x14ac:dyDescent="0.25">
      <c r="A190" s="32" t="str">
        <f t="shared" si="27"/>
        <v>CARC  140*12.5</v>
      </c>
      <c r="B190" s="33">
        <f t="shared" si="28"/>
        <v>45.047949673960908</v>
      </c>
      <c r="C190" s="17">
        <v>140</v>
      </c>
      <c r="E190" s="17">
        <v>12.5</v>
      </c>
      <c r="F190" s="17">
        <f t="shared" si="29"/>
        <v>12.5</v>
      </c>
      <c r="G190" s="17">
        <f t="shared" si="30"/>
        <v>18.75</v>
      </c>
      <c r="H190" s="33">
        <f t="shared" si="24"/>
        <v>57.385923151542563</v>
      </c>
      <c r="I190" s="57">
        <v>1653</v>
      </c>
      <c r="J190" s="33">
        <f t="shared" si="25"/>
        <v>236.14285714285714</v>
      </c>
      <c r="K190" s="17">
        <v>293</v>
      </c>
      <c r="L190" s="33">
        <f t="shared" si="31"/>
        <v>5.367026511556138</v>
      </c>
      <c r="M190" s="58">
        <f t="shared" si="26"/>
        <v>25.625</v>
      </c>
      <c r="N190" s="58"/>
      <c r="O190" s="58"/>
      <c r="P190" s="58"/>
      <c r="Q190" s="58"/>
      <c r="R190" s="58"/>
      <c r="S190" s="17">
        <v>2696</v>
      </c>
      <c r="T190" s="17">
        <v>342</v>
      </c>
    </row>
    <row r="191" spans="1:20" x14ac:dyDescent="0.25">
      <c r="A191" s="36" t="str">
        <f t="shared" si="27"/>
        <v>CARC  150*5</v>
      </c>
      <c r="B191" s="38">
        <f>(H191*7850)/10000</f>
        <v>21.965671947833748</v>
      </c>
      <c r="C191" s="37">
        <v>150</v>
      </c>
      <c r="D191" s="37"/>
      <c r="E191" s="37">
        <v>5</v>
      </c>
      <c r="F191" s="37">
        <f t="shared" si="29"/>
        <v>5</v>
      </c>
      <c r="G191" s="37">
        <f t="shared" si="30"/>
        <v>7.5</v>
      </c>
      <c r="H191" s="38">
        <f t="shared" si="24"/>
        <v>27.981747704246811</v>
      </c>
      <c r="I191" s="54">
        <v>1002</v>
      </c>
      <c r="J191" s="38">
        <f t="shared" si="25"/>
        <v>133.6</v>
      </c>
      <c r="K191" s="37">
        <v>156</v>
      </c>
      <c r="L191" s="38">
        <f t="shared" si="31"/>
        <v>5.9840669325777833</v>
      </c>
      <c r="M191" s="40">
        <f t="shared" si="26"/>
        <v>13.5</v>
      </c>
      <c r="N191" s="40"/>
      <c r="O191" s="40"/>
      <c r="P191" s="40"/>
      <c r="Q191" s="40"/>
      <c r="R191" s="40"/>
      <c r="S191" s="37">
        <v>1550</v>
      </c>
      <c r="T191" s="41">
        <v>197</v>
      </c>
    </row>
    <row r="192" spans="1:20" x14ac:dyDescent="0.25">
      <c r="A192" s="42" t="str">
        <f t="shared" si="27"/>
        <v>CARC  150*6.3</v>
      </c>
      <c r="B192" s="44">
        <f t="shared" ref="B192:B252" si="32">(H192*7850)/10000</f>
        <v>27.157720784380853</v>
      </c>
      <c r="C192" s="43">
        <v>150</v>
      </c>
      <c r="D192" s="43"/>
      <c r="E192" s="43">
        <v>6.3</v>
      </c>
      <c r="F192" s="43">
        <f t="shared" si="29"/>
        <v>6.3</v>
      </c>
      <c r="G192" s="43">
        <f t="shared" si="30"/>
        <v>9.4499999999999993</v>
      </c>
      <c r="H192" s="44">
        <f t="shared" si="24"/>
        <v>34.595822655262232</v>
      </c>
      <c r="I192" s="55">
        <v>1223</v>
      </c>
      <c r="J192" s="44">
        <f t="shared" si="25"/>
        <v>163.06666666666666</v>
      </c>
      <c r="K192" s="43">
        <v>192</v>
      </c>
      <c r="L192" s="44">
        <f t="shared" si="31"/>
        <v>5.9456781644169263</v>
      </c>
      <c r="M192" s="46">
        <f t="shared" si="26"/>
        <v>16.518599999999999</v>
      </c>
      <c r="N192" s="46"/>
      <c r="O192" s="46"/>
      <c r="P192" s="46"/>
      <c r="Q192" s="46"/>
      <c r="R192" s="46"/>
      <c r="S192" s="43">
        <v>1909</v>
      </c>
      <c r="T192" s="47">
        <v>240</v>
      </c>
    </row>
    <row r="193" spans="1:20" x14ac:dyDescent="0.25">
      <c r="A193" s="42" t="str">
        <f t="shared" si="27"/>
        <v>CARC  150*8</v>
      </c>
      <c r="B193" s="44">
        <f t="shared" si="32"/>
        <v>33.624120186454391</v>
      </c>
      <c r="C193" s="43">
        <v>150</v>
      </c>
      <c r="D193" s="43"/>
      <c r="E193" s="43">
        <v>8</v>
      </c>
      <c r="F193" s="43">
        <f t="shared" si="29"/>
        <v>8</v>
      </c>
      <c r="G193" s="43">
        <f t="shared" si="30"/>
        <v>12</v>
      </c>
      <c r="H193" s="44">
        <f t="shared" si="24"/>
        <v>42.833274122871835</v>
      </c>
      <c r="I193" s="55">
        <v>1491</v>
      </c>
      <c r="J193" s="44">
        <f t="shared" si="25"/>
        <v>198.8</v>
      </c>
      <c r="K193" s="43">
        <v>237</v>
      </c>
      <c r="L193" s="44">
        <f t="shared" si="31"/>
        <v>5.8999480201097061</v>
      </c>
      <c r="M193" s="46">
        <f t="shared" si="26"/>
        <v>20.16</v>
      </c>
      <c r="N193" s="46"/>
      <c r="O193" s="46"/>
      <c r="P193" s="46"/>
      <c r="Q193" s="46"/>
      <c r="R193" s="46"/>
      <c r="S193" s="43">
        <v>2351</v>
      </c>
      <c r="T193" s="47">
        <v>291</v>
      </c>
    </row>
    <row r="194" spans="1:20" x14ac:dyDescent="0.25">
      <c r="A194" s="42" t="str">
        <f t="shared" si="27"/>
        <v>CARC  150*10</v>
      </c>
      <c r="B194" s="44">
        <f t="shared" si="32"/>
        <v>40.76268779133499</v>
      </c>
      <c r="C194" s="43">
        <v>150</v>
      </c>
      <c r="D194" s="43"/>
      <c r="E194" s="43">
        <v>10</v>
      </c>
      <c r="F194" s="43">
        <f t="shared" si="29"/>
        <v>10</v>
      </c>
      <c r="G194" s="43">
        <f t="shared" si="30"/>
        <v>15</v>
      </c>
      <c r="H194" s="44">
        <f t="shared" si="24"/>
        <v>51.926990816987249</v>
      </c>
      <c r="I194" s="55">
        <v>1773</v>
      </c>
      <c r="J194" s="44">
        <f t="shared" si="25"/>
        <v>236.4</v>
      </c>
      <c r="K194" s="43">
        <v>286</v>
      </c>
      <c r="L194" s="44">
        <f t="shared" si="31"/>
        <v>5.8432946981487444</v>
      </c>
      <c r="M194" s="46">
        <f t="shared" si="26"/>
        <v>24</v>
      </c>
      <c r="N194" s="46"/>
      <c r="O194" s="46"/>
      <c r="P194" s="46"/>
      <c r="Q194" s="46"/>
      <c r="R194" s="46"/>
      <c r="S194" s="43">
        <v>2832</v>
      </c>
      <c r="T194" s="47">
        <v>344</v>
      </c>
    </row>
    <row r="195" spans="1:20" x14ac:dyDescent="0.25">
      <c r="A195" s="42" t="str">
        <f t="shared" si="27"/>
        <v>CARC  150*12.5</v>
      </c>
      <c r="B195" s="44">
        <f t="shared" si="32"/>
        <v>48.972949673960912</v>
      </c>
      <c r="C195" s="43">
        <v>150</v>
      </c>
      <c r="D195" s="43"/>
      <c r="E195" s="43">
        <v>12.5</v>
      </c>
      <c r="F195" s="43">
        <f t="shared" si="29"/>
        <v>12.5</v>
      </c>
      <c r="G195" s="43">
        <f t="shared" si="30"/>
        <v>18.75</v>
      </c>
      <c r="H195" s="44">
        <f t="shared" si="24"/>
        <v>62.385923151542563</v>
      </c>
      <c r="I195" s="55">
        <v>2080</v>
      </c>
      <c r="J195" s="44">
        <f t="shared" si="25"/>
        <v>277.33333333333331</v>
      </c>
      <c r="K195" s="43">
        <v>342</v>
      </c>
      <c r="L195" s="44">
        <f t="shared" si="31"/>
        <v>5.7741540258370812</v>
      </c>
      <c r="M195" s="46">
        <f t="shared" si="26"/>
        <v>28.125</v>
      </c>
      <c r="N195" s="46"/>
      <c r="O195" s="46"/>
      <c r="P195" s="46"/>
      <c r="Q195" s="46"/>
      <c r="R195" s="46"/>
      <c r="S195" s="43">
        <v>3375</v>
      </c>
      <c r="T195" s="47">
        <v>402</v>
      </c>
    </row>
    <row r="196" spans="1:20" x14ac:dyDescent="0.25">
      <c r="A196" s="42" t="str">
        <f t="shared" si="27"/>
        <v>CARC  150*14.2</v>
      </c>
      <c r="B196" s="44">
        <f t="shared" si="32"/>
        <v>54.103443662447852</v>
      </c>
      <c r="C196" s="43">
        <v>150</v>
      </c>
      <c r="D196" s="43"/>
      <c r="E196" s="43">
        <v>14.2</v>
      </c>
      <c r="F196" s="43">
        <f t="shared" si="29"/>
        <v>14.2</v>
      </c>
      <c r="G196" s="43">
        <f t="shared" si="30"/>
        <v>21.299999999999997</v>
      </c>
      <c r="H196" s="44">
        <f t="shared" si="24"/>
        <v>68.921584283373065</v>
      </c>
      <c r="I196" s="55">
        <v>2262</v>
      </c>
      <c r="J196" s="44">
        <f t="shared" si="25"/>
        <v>301.60000000000002</v>
      </c>
      <c r="K196" s="43">
        <v>377</v>
      </c>
      <c r="L196" s="44">
        <f t="shared" si="31"/>
        <v>5.728866135306971</v>
      </c>
      <c r="M196" s="46">
        <f t="shared" si="26"/>
        <v>30.5016</v>
      </c>
      <c r="N196" s="46"/>
      <c r="O196" s="46"/>
      <c r="P196" s="46"/>
      <c r="Q196" s="46"/>
      <c r="R196" s="46"/>
      <c r="S196" s="43">
        <v>3707</v>
      </c>
      <c r="T196" s="47">
        <v>436</v>
      </c>
    </row>
    <row r="197" spans="1:20" x14ac:dyDescent="0.25">
      <c r="A197" s="48" t="str">
        <f t="shared" si="27"/>
        <v>CARC  150*16</v>
      </c>
      <c r="B197" s="50">
        <f t="shared" si="32"/>
        <v>59.136480745817558</v>
      </c>
      <c r="C197" s="49">
        <v>150</v>
      </c>
      <c r="D197" s="49"/>
      <c r="E197" s="49">
        <v>16</v>
      </c>
      <c r="F197" s="49">
        <f t="shared" si="29"/>
        <v>16</v>
      </c>
      <c r="G197" s="49">
        <f t="shared" si="30"/>
        <v>24</v>
      </c>
      <c r="H197" s="50">
        <f t="shared" si="24"/>
        <v>75.333096491487339</v>
      </c>
      <c r="I197" s="56">
        <v>1430</v>
      </c>
      <c r="J197" s="50">
        <f t="shared" si="25"/>
        <v>190.66666666666666</v>
      </c>
      <c r="K197" s="49">
        <v>411</v>
      </c>
      <c r="L197" s="50">
        <f t="shared" si="31"/>
        <v>4.3568750916163168</v>
      </c>
      <c r="M197" s="52">
        <f t="shared" si="26"/>
        <v>32.64</v>
      </c>
      <c r="N197" s="52"/>
      <c r="O197" s="52"/>
      <c r="P197" s="52"/>
      <c r="Q197" s="52"/>
      <c r="R197" s="52"/>
      <c r="S197" s="49">
        <v>4026</v>
      </c>
      <c r="T197" s="53">
        <v>467</v>
      </c>
    </row>
    <row r="198" spans="1:20" x14ac:dyDescent="0.25">
      <c r="A198" s="32" t="str">
        <f t="shared" si="27"/>
        <v>CARC  160*5</v>
      </c>
      <c r="B198" s="33">
        <f>(H198*7850)/10000</f>
        <v>23.535671947833748</v>
      </c>
      <c r="C198" s="17">
        <v>160</v>
      </c>
      <c r="E198" s="17">
        <v>5</v>
      </c>
      <c r="F198" s="17">
        <f t="shared" si="29"/>
        <v>5</v>
      </c>
      <c r="G198" s="17">
        <f t="shared" si="30"/>
        <v>7.5</v>
      </c>
      <c r="H198" s="33">
        <f t="shared" si="24"/>
        <v>29.981747704246811</v>
      </c>
      <c r="I198" s="57">
        <v>1225</v>
      </c>
      <c r="J198" s="33">
        <f t="shared" si="25"/>
        <v>153.125</v>
      </c>
      <c r="K198" s="17">
        <v>178</v>
      </c>
      <c r="L198" s="33">
        <f t="shared" si="31"/>
        <v>6.3920412905470982</v>
      </c>
      <c r="M198" s="58">
        <f t="shared" si="26"/>
        <v>14.5</v>
      </c>
      <c r="N198" s="58"/>
      <c r="O198" s="58"/>
      <c r="P198" s="58"/>
      <c r="Q198" s="58"/>
      <c r="R198" s="58"/>
      <c r="S198" s="17">
        <v>1892</v>
      </c>
      <c r="T198" s="17">
        <v>226</v>
      </c>
    </row>
    <row r="199" spans="1:20" x14ac:dyDescent="0.25">
      <c r="A199" s="32" t="str">
        <f t="shared" si="27"/>
        <v>CARC  160*6.3</v>
      </c>
      <c r="B199" s="33">
        <f t="shared" ref="B199:B204" si="33">(H199*7850)/10000</f>
        <v>29.135920784380858</v>
      </c>
      <c r="C199" s="17">
        <v>160</v>
      </c>
      <c r="E199" s="17">
        <v>6.3</v>
      </c>
      <c r="F199" s="17">
        <f t="shared" si="29"/>
        <v>6.3</v>
      </c>
      <c r="G199" s="17">
        <f t="shared" si="30"/>
        <v>9.4499999999999993</v>
      </c>
      <c r="H199" s="33">
        <f t="shared" si="24"/>
        <v>37.115822655262235</v>
      </c>
      <c r="I199" s="57">
        <v>1499</v>
      </c>
      <c r="J199" s="33">
        <f t="shared" si="25"/>
        <v>187.375</v>
      </c>
      <c r="K199" s="17">
        <v>220</v>
      </c>
      <c r="L199" s="33">
        <f t="shared" si="31"/>
        <v>6.3550836433484426</v>
      </c>
      <c r="M199" s="58">
        <f t="shared" si="26"/>
        <v>17.778600000000001</v>
      </c>
      <c r="N199" s="58"/>
      <c r="O199" s="58"/>
      <c r="P199" s="58"/>
      <c r="Q199" s="58"/>
      <c r="R199" s="58"/>
      <c r="S199" s="17">
        <v>2333</v>
      </c>
      <c r="T199" s="17">
        <v>275</v>
      </c>
    </row>
    <row r="200" spans="1:20" x14ac:dyDescent="0.25">
      <c r="A200" s="32" t="str">
        <f t="shared" si="27"/>
        <v>CARC  160*8</v>
      </c>
      <c r="B200" s="33">
        <f t="shared" si="33"/>
        <v>36.136120186454399</v>
      </c>
      <c r="C200" s="17">
        <v>160</v>
      </c>
      <c r="E200" s="17">
        <v>8</v>
      </c>
      <c r="F200" s="17">
        <f t="shared" si="29"/>
        <v>8</v>
      </c>
      <c r="G200" s="17">
        <f t="shared" si="30"/>
        <v>12</v>
      </c>
      <c r="H200" s="33">
        <f t="shared" si="24"/>
        <v>46.033274122871838</v>
      </c>
      <c r="I200" s="57">
        <v>1831</v>
      </c>
      <c r="J200" s="33">
        <f t="shared" si="25"/>
        <v>228.875</v>
      </c>
      <c r="K200" s="17">
        <v>272</v>
      </c>
      <c r="L200" s="33">
        <f t="shared" si="31"/>
        <v>6.3067881003968038</v>
      </c>
      <c r="M200" s="58">
        <f t="shared" si="26"/>
        <v>21.76</v>
      </c>
      <c r="N200" s="58"/>
      <c r="O200" s="58"/>
      <c r="P200" s="58"/>
      <c r="Q200" s="58"/>
      <c r="R200" s="58"/>
      <c r="S200" s="17">
        <v>2880</v>
      </c>
      <c r="T200" s="17">
        <v>335</v>
      </c>
    </row>
    <row r="201" spans="1:20" x14ac:dyDescent="0.25">
      <c r="A201" s="32" t="str">
        <f t="shared" si="27"/>
        <v>CARC  160*10</v>
      </c>
      <c r="B201" s="33">
        <f t="shared" si="33"/>
        <v>43.902687791334991</v>
      </c>
      <c r="C201" s="17">
        <v>160</v>
      </c>
      <c r="E201" s="17">
        <v>10</v>
      </c>
      <c r="F201" s="17">
        <f t="shared" si="29"/>
        <v>10</v>
      </c>
      <c r="G201" s="17">
        <f t="shared" si="30"/>
        <v>15</v>
      </c>
      <c r="H201" s="33">
        <f t="shared" si="24"/>
        <v>55.926990816987249</v>
      </c>
      <c r="I201" s="57">
        <v>2186</v>
      </c>
      <c r="J201" s="33">
        <f t="shared" si="25"/>
        <v>273.25</v>
      </c>
      <c r="K201" s="17">
        <v>329</v>
      </c>
      <c r="L201" s="33">
        <f t="shared" si="31"/>
        <v>6.25193353814283</v>
      </c>
      <c r="M201" s="58">
        <f t="shared" si="26"/>
        <v>26</v>
      </c>
      <c r="N201" s="58"/>
      <c r="O201" s="58"/>
      <c r="P201" s="58"/>
      <c r="Q201" s="58"/>
      <c r="R201" s="58"/>
      <c r="S201" s="17">
        <v>3478</v>
      </c>
      <c r="T201" s="17">
        <v>398</v>
      </c>
    </row>
    <row r="202" spans="1:20" x14ac:dyDescent="0.25">
      <c r="A202" s="32" t="str">
        <f t="shared" si="27"/>
        <v>CARC  160*12.5</v>
      </c>
      <c r="B202" s="33">
        <f t="shared" si="33"/>
        <v>52.897949673960916</v>
      </c>
      <c r="C202" s="17">
        <v>160</v>
      </c>
      <c r="E202" s="17">
        <v>12.5</v>
      </c>
      <c r="F202" s="17">
        <f t="shared" si="29"/>
        <v>12.5</v>
      </c>
      <c r="G202" s="17">
        <f t="shared" si="30"/>
        <v>18.75</v>
      </c>
      <c r="H202" s="33">
        <f t="shared" si="24"/>
        <v>67.385923151542571</v>
      </c>
      <c r="I202" s="57">
        <v>2576</v>
      </c>
      <c r="J202" s="33">
        <f t="shared" si="25"/>
        <v>322</v>
      </c>
      <c r="K202" s="17">
        <v>395</v>
      </c>
      <c r="L202" s="33">
        <f t="shared" si="31"/>
        <v>6.1828447013282775</v>
      </c>
      <c r="M202" s="58">
        <f t="shared" si="26"/>
        <v>30.625</v>
      </c>
      <c r="N202" s="58"/>
      <c r="O202" s="58"/>
      <c r="P202" s="58"/>
      <c r="Q202" s="58"/>
      <c r="R202" s="58"/>
      <c r="S202" s="17">
        <v>4158</v>
      </c>
      <c r="T202" s="17">
        <v>467</v>
      </c>
    </row>
    <row r="203" spans="1:20" x14ac:dyDescent="0.25">
      <c r="A203" s="32" t="str">
        <f t="shared" si="27"/>
        <v>CARC  160*14.2</v>
      </c>
      <c r="B203" s="33">
        <f t="shared" si="33"/>
        <v>58.562243662447869</v>
      </c>
      <c r="C203" s="17">
        <v>160</v>
      </c>
      <c r="E203" s="17">
        <v>14.2</v>
      </c>
      <c r="F203" s="17">
        <f t="shared" si="29"/>
        <v>14.2</v>
      </c>
      <c r="G203" s="17">
        <f t="shared" si="30"/>
        <v>21.299999999999997</v>
      </c>
      <c r="H203" s="33">
        <f t="shared" si="24"/>
        <v>74.601584283373072</v>
      </c>
      <c r="I203" s="57">
        <v>2809</v>
      </c>
      <c r="J203" s="33">
        <f t="shared" si="25"/>
        <v>351.125</v>
      </c>
      <c r="K203" s="17">
        <v>436</v>
      </c>
      <c r="L203" s="33">
        <f t="shared" si="31"/>
        <v>6.1362330342041931</v>
      </c>
      <c r="M203" s="58">
        <f t="shared" si="26"/>
        <v>33.3416</v>
      </c>
      <c r="N203" s="58"/>
      <c r="O203" s="58"/>
      <c r="P203" s="58"/>
      <c r="Q203" s="58"/>
      <c r="R203" s="58"/>
      <c r="S203" s="17">
        <v>4579</v>
      </c>
      <c r="T203" s="17">
        <v>508</v>
      </c>
    </row>
    <row r="204" spans="1:20" x14ac:dyDescent="0.25">
      <c r="A204" s="32" t="str">
        <f t="shared" si="27"/>
        <v>CARC  160*16</v>
      </c>
      <c r="B204" s="33">
        <f t="shared" si="33"/>
        <v>64.160480745817566</v>
      </c>
      <c r="C204" s="17">
        <v>160</v>
      </c>
      <c r="E204" s="17">
        <v>16</v>
      </c>
      <c r="F204" s="17">
        <f t="shared" si="29"/>
        <v>16</v>
      </c>
      <c r="G204" s="17">
        <f t="shared" si="30"/>
        <v>24</v>
      </c>
      <c r="H204" s="33">
        <f t="shared" si="24"/>
        <v>81.733096491487345</v>
      </c>
      <c r="I204" s="57">
        <v>3028</v>
      </c>
      <c r="J204" s="33">
        <f t="shared" si="25"/>
        <v>378.5</v>
      </c>
      <c r="K204" s="17">
        <v>476</v>
      </c>
      <c r="L204" s="33">
        <f t="shared" si="31"/>
        <v>6.0866588267678052</v>
      </c>
      <c r="M204" s="58">
        <f t="shared" si="26"/>
        <v>35.840000000000003</v>
      </c>
      <c r="N204" s="58"/>
      <c r="O204" s="58"/>
      <c r="P204" s="58"/>
      <c r="Q204" s="58"/>
      <c r="R204" s="58"/>
      <c r="S204" s="17">
        <v>4988</v>
      </c>
      <c r="T204" s="17">
        <v>546</v>
      </c>
    </row>
    <row r="205" spans="1:20" x14ac:dyDescent="0.25">
      <c r="A205" s="36" t="str">
        <f t="shared" si="27"/>
        <v>CARC  180*5</v>
      </c>
      <c r="B205" s="38">
        <f t="shared" si="32"/>
        <v>26.675671947833745</v>
      </c>
      <c r="C205" s="37">
        <v>180</v>
      </c>
      <c r="D205" s="37"/>
      <c r="E205" s="37">
        <v>5</v>
      </c>
      <c r="F205" s="37">
        <f t="shared" si="29"/>
        <v>5</v>
      </c>
      <c r="G205" s="37">
        <f t="shared" si="30"/>
        <v>7.5</v>
      </c>
      <c r="H205" s="38">
        <f t="shared" si="24"/>
        <v>33.981747704246807</v>
      </c>
      <c r="I205" s="54">
        <v>1765</v>
      </c>
      <c r="J205" s="38">
        <f t="shared" si="25"/>
        <v>196.11111111111111</v>
      </c>
      <c r="K205" s="37">
        <v>227</v>
      </c>
      <c r="L205" s="38">
        <f t="shared" si="31"/>
        <v>7.2069166487907639</v>
      </c>
      <c r="M205" s="40">
        <f t="shared" si="26"/>
        <v>16.5</v>
      </c>
      <c r="N205" s="40"/>
      <c r="O205" s="40"/>
      <c r="P205" s="40"/>
      <c r="Q205" s="40"/>
      <c r="R205" s="40"/>
      <c r="S205" s="37">
        <v>2718</v>
      </c>
      <c r="T205" s="41">
        <v>290</v>
      </c>
    </row>
    <row r="206" spans="1:20" x14ac:dyDescent="0.25">
      <c r="A206" s="42" t="str">
        <f t="shared" si="27"/>
        <v>CARC  180*6.3</v>
      </c>
      <c r="B206" s="44">
        <f t="shared" si="32"/>
        <v>33.092320784380853</v>
      </c>
      <c r="C206" s="43">
        <v>180</v>
      </c>
      <c r="D206" s="43"/>
      <c r="E206" s="43">
        <v>6.3</v>
      </c>
      <c r="F206" s="43">
        <f t="shared" si="29"/>
        <v>6.3</v>
      </c>
      <c r="G206" s="43">
        <f t="shared" si="30"/>
        <v>9.4499999999999993</v>
      </c>
      <c r="H206" s="44">
        <f t="shared" si="24"/>
        <v>42.155822655262234</v>
      </c>
      <c r="I206" s="55">
        <v>2168</v>
      </c>
      <c r="J206" s="44">
        <f t="shared" si="25"/>
        <v>240.88888888888889</v>
      </c>
      <c r="K206" s="43">
        <v>281</v>
      </c>
      <c r="L206" s="44">
        <f t="shared" si="31"/>
        <v>7.1713489370297259</v>
      </c>
      <c r="M206" s="46">
        <f t="shared" si="26"/>
        <v>20.2986</v>
      </c>
      <c r="N206" s="46"/>
      <c r="O206" s="46"/>
      <c r="P206" s="46"/>
      <c r="Q206" s="46"/>
      <c r="R206" s="46"/>
      <c r="S206" s="43">
        <v>3361</v>
      </c>
      <c r="T206" s="47">
        <v>355</v>
      </c>
    </row>
    <row r="207" spans="1:20" x14ac:dyDescent="0.25">
      <c r="A207" s="42" t="str">
        <f>$B$146&amp;"  "&amp;C207&amp;"*"&amp;E207</f>
        <v>CARC  180*8</v>
      </c>
      <c r="B207" s="44">
        <f>(H207*7850)/10000</f>
        <v>41.160120186454392</v>
      </c>
      <c r="C207" s="43">
        <v>180</v>
      </c>
      <c r="D207" s="43"/>
      <c r="E207" s="43">
        <v>8</v>
      </c>
      <c r="F207" s="43">
        <f>1*E207</f>
        <v>8</v>
      </c>
      <c r="G207" s="43">
        <f>1.5*E207</f>
        <v>12</v>
      </c>
      <c r="H207" s="44">
        <f>(4*(C207-2*G207)*E207+PI()*(G207^2-F207^2))*0.01</f>
        <v>52.433274122871836</v>
      </c>
      <c r="I207" s="55">
        <v>2661</v>
      </c>
      <c r="J207" s="44">
        <f>I207/(0.5*C207*0.1)</f>
        <v>295.66666666666669</v>
      </c>
      <c r="K207" s="43">
        <v>349</v>
      </c>
      <c r="L207" s="44">
        <f>SQRT(I207/H207)</f>
        <v>7.1239186015685769</v>
      </c>
      <c r="M207" s="46">
        <f t="shared" si="26"/>
        <v>24.96</v>
      </c>
      <c r="N207" s="46"/>
      <c r="O207" s="46"/>
      <c r="P207" s="46"/>
      <c r="Q207" s="46"/>
      <c r="R207" s="46"/>
      <c r="S207" s="43">
        <v>4162</v>
      </c>
      <c r="T207" s="47">
        <v>434</v>
      </c>
    </row>
    <row r="208" spans="1:20" x14ac:dyDescent="0.25">
      <c r="A208" s="42" t="str">
        <f>$B$146&amp;"  "&amp;C208&amp;"*"&amp;E208</f>
        <v>CARC  180*10</v>
      </c>
      <c r="B208" s="44">
        <f>(H208*7850)/10000</f>
        <v>50.182687791334992</v>
      </c>
      <c r="C208" s="43">
        <v>180</v>
      </c>
      <c r="D208" s="43"/>
      <c r="E208" s="43">
        <v>10</v>
      </c>
      <c r="F208" s="43">
        <f>1*E208</f>
        <v>10</v>
      </c>
      <c r="G208" s="43">
        <f>1.5*E208</f>
        <v>15</v>
      </c>
      <c r="H208" s="44">
        <f>(4*(C208-2*G208)*E208+PI()*(G208^2-F208^2))*0.01</f>
        <v>63.926990816987249</v>
      </c>
      <c r="I208" s="55">
        <v>3193</v>
      </c>
      <c r="J208" s="44">
        <f>I208/(0.5*C208*0.1)</f>
        <v>354.77777777777777</v>
      </c>
      <c r="K208" s="43">
        <v>424</v>
      </c>
      <c r="L208" s="44">
        <f>SQRT(I208/H208)</f>
        <v>7.0673618594300347</v>
      </c>
      <c r="M208" s="46">
        <f t="shared" si="26"/>
        <v>30</v>
      </c>
      <c r="N208" s="46"/>
      <c r="O208" s="46"/>
      <c r="P208" s="46"/>
      <c r="Q208" s="46"/>
      <c r="R208" s="46"/>
      <c r="S208" s="43">
        <v>5048</v>
      </c>
      <c r="T208" s="47">
        <v>518</v>
      </c>
    </row>
    <row r="209" spans="1:20" x14ac:dyDescent="0.25">
      <c r="A209" s="42" t="str">
        <f>$B$146&amp;"  "&amp;C209&amp;"*"&amp;E209</f>
        <v>CARC  180*12.5</v>
      </c>
      <c r="B209" s="44">
        <f>(H209*7850)/10000</f>
        <v>60.747949673960917</v>
      </c>
      <c r="C209" s="43">
        <v>180</v>
      </c>
      <c r="D209" s="43"/>
      <c r="E209" s="43">
        <v>12.5</v>
      </c>
      <c r="F209" s="43">
        <f>1*E209</f>
        <v>12.5</v>
      </c>
      <c r="G209" s="43">
        <f>1.5*E209</f>
        <v>18.75</v>
      </c>
      <c r="H209" s="44">
        <f>(4*(C209-2*G209)*E209+PI()*(G209^2-F209^2))*0.01</f>
        <v>77.385923151542571</v>
      </c>
      <c r="I209" s="55">
        <v>3790</v>
      </c>
      <c r="J209" s="44">
        <f>I209/(0.5*C209*0.1)</f>
        <v>421.11111111111109</v>
      </c>
      <c r="K209" s="43">
        <v>511</v>
      </c>
      <c r="L209" s="44">
        <f>SQRT(I209/H209)</f>
        <v>6.9982365978332473</v>
      </c>
      <c r="M209" s="46">
        <f t="shared" si="26"/>
        <v>35.625</v>
      </c>
      <c r="N209" s="46"/>
      <c r="O209" s="46"/>
      <c r="P209" s="46"/>
      <c r="Q209" s="46"/>
      <c r="R209" s="46"/>
      <c r="S209" s="43">
        <v>6070</v>
      </c>
      <c r="T209" s="47">
        <v>613</v>
      </c>
    </row>
    <row r="210" spans="1:20" x14ac:dyDescent="0.25">
      <c r="A210" s="42" t="str">
        <f>$B$146&amp;"  "&amp;C210&amp;"*"&amp;E210</f>
        <v>CARC  180*14.2</v>
      </c>
      <c r="B210" s="44">
        <f>(H210*7850)/10000</f>
        <v>67.479843662447863</v>
      </c>
      <c r="C210" s="43">
        <v>180</v>
      </c>
      <c r="D210" s="43"/>
      <c r="E210" s="43">
        <v>14.2</v>
      </c>
      <c r="F210" s="43">
        <f>1*E210</f>
        <v>14.2</v>
      </c>
      <c r="G210" s="43">
        <f>1.5*E210</f>
        <v>21.299999999999997</v>
      </c>
      <c r="H210" s="44">
        <f>(4*(C210-2*G210)*E210+PI()*(G210^2-F210^2))*0.01</f>
        <v>85.961584283373071</v>
      </c>
      <c r="I210" s="55">
        <v>4154</v>
      </c>
      <c r="J210" s="44">
        <f>I210/(0.5*C210*0.1)</f>
        <v>461.55555555555554</v>
      </c>
      <c r="K210" s="43">
        <v>566</v>
      </c>
      <c r="L210" s="44">
        <f>SQRT(I210/H210)</f>
        <v>6.9515402322864652</v>
      </c>
      <c r="M210" s="46">
        <f t="shared" si="26"/>
        <v>39.021599999999999</v>
      </c>
      <c r="N210" s="46"/>
      <c r="O210" s="46"/>
      <c r="P210" s="46"/>
      <c r="Q210" s="46"/>
      <c r="R210" s="46"/>
      <c r="S210" s="43">
        <v>6711</v>
      </c>
      <c r="T210" s="47">
        <v>670</v>
      </c>
    </row>
    <row r="211" spans="1:20" x14ac:dyDescent="0.25">
      <c r="A211" s="48" t="str">
        <f>$B$146&amp;"  "&amp;C211&amp;"*"&amp;E211</f>
        <v>CARC  180*16</v>
      </c>
      <c r="B211" s="50">
        <f>(H211*7850)/10000</f>
        <v>74.208480745817553</v>
      </c>
      <c r="C211" s="49">
        <v>180</v>
      </c>
      <c r="D211" s="49"/>
      <c r="E211" s="49">
        <v>16</v>
      </c>
      <c r="F211" s="49">
        <f>1*E211</f>
        <v>16</v>
      </c>
      <c r="G211" s="49">
        <f>1.5*E211</f>
        <v>24</v>
      </c>
      <c r="H211" s="50">
        <f>(4*(C211-2*G211)*E211+PI()*(G211^2-F211^2))*0.01</f>
        <v>94.533096491487342</v>
      </c>
      <c r="I211" s="56">
        <v>4504</v>
      </c>
      <c r="J211" s="50">
        <f>I211/(0.5*C211*0.1)</f>
        <v>500.44444444444446</v>
      </c>
      <c r="K211" s="49">
        <v>621</v>
      </c>
      <c r="L211" s="50">
        <f>SQRT(I211/H211)</f>
        <v>6.902513251320558</v>
      </c>
      <c r="M211" s="52">
        <f t="shared" ref="M211:M252" si="34">2*(C211-2*G211)*E211*0.01</f>
        <v>42.24</v>
      </c>
      <c r="N211" s="52"/>
      <c r="O211" s="52"/>
      <c r="P211" s="52"/>
      <c r="Q211" s="52"/>
      <c r="R211" s="52"/>
      <c r="S211" s="49">
        <v>7343</v>
      </c>
      <c r="T211" s="53">
        <v>724</v>
      </c>
    </row>
    <row r="212" spans="1:20" x14ac:dyDescent="0.25">
      <c r="A212" s="32" t="str">
        <f t="shared" si="27"/>
        <v>CARC  200*5</v>
      </c>
      <c r="B212" s="33">
        <f t="shared" si="32"/>
        <v>29.815671947833746</v>
      </c>
      <c r="C212" s="17">
        <v>200</v>
      </c>
      <c r="E212" s="17">
        <v>5</v>
      </c>
      <c r="F212" s="17">
        <f t="shared" si="29"/>
        <v>5</v>
      </c>
      <c r="G212" s="17">
        <f t="shared" si="30"/>
        <v>7.5</v>
      </c>
      <c r="H212" s="33">
        <f t="shared" ref="H212:H252" si="35">(4*(C212-2*G212)*E212+PI()*(G212^2-F212^2))*0.01</f>
        <v>37.981747704246807</v>
      </c>
      <c r="I212" s="57">
        <v>2445</v>
      </c>
      <c r="J212" s="33">
        <f t="shared" ref="J212:J252" si="36">I212/(0.5*C212*0.1)</f>
        <v>244.5</v>
      </c>
      <c r="K212" s="17">
        <v>283</v>
      </c>
      <c r="L212" s="33">
        <f t="shared" si="31"/>
        <v>8.0232801985575026</v>
      </c>
      <c r="M212" s="58">
        <f t="shared" si="34"/>
        <v>18.5</v>
      </c>
      <c r="N212" s="58"/>
      <c r="O212" s="58"/>
      <c r="P212" s="58"/>
      <c r="Q212" s="58"/>
      <c r="R212" s="58"/>
      <c r="S212" s="17">
        <v>3756</v>
      </c>
      <c r="T212" s="17">
        <v>362</v>
      </c>
    </row>
    <row r="213" spans="1:20" x14ac:dyDescent="0.25">
      <c r="A213" s="32" t="str">
        <f t="shared" si="27"/>
        <v>CARC  200*6.3</v>
      </c>
      <c r="B213" s="33">
        <f t="shared" si="32"/>
        <v>37.048720784380848</v>
      </c>
      <c r="C213" s="17">
        <v>200</v>
      </c>
      <c r="E213" s="17">
        <v>6.3</v>
      </c>
      <c r="F213" s="17">
        <f t="shared" si="29"/>
        <v>6.3</v>
      </c>
      <c r="G213" s="17">
        <f t="shared" si="30"/>
        <v>9.4499999999999993</v>
      </c>
      <c r="H213" s="33">
        <f t="shared" si="35"/>
        <v>47.195822655262226</v>
      </c>
      <c r="I213" s="57">
        <v>3011</v>
      </c>
      <c r="J213" s="33">
        <f t="shared" si="36"/>
        <v>301.10000000000002</v>
      </c>
      <c r="K213" s="17">
        <v>350</v>
      </c>
      <c r="L213" s="33">
        <f t="shared" si="31"/>
        <v>7.9873662243376895</v>
      </c>
      <c r="M213" s="58">
        <f t="shared" si="34"/>
        <v>22.818599999999996</v>
      </c>
      <c r="N213" s="58"/>
      <c r="O213" s="58"/>
      <c r="P213" s="58"/>
      <c r="Q213" s="58"/>
      <c r="R213" s="58"/>
      <c r="S213" s="17">
        <v>4653</v>
      </c>
      <c r="T213" s="17">
        <v>444</v>
      </c>
    </row>
    <row r="214" spans="1:20" x14ac:dyDescent="0.25">
      <c r="A214" s="32" t="str">
        <f t="shared" si="27"/>
        <v>CARC  200*8</v>
      </c>
      <c r="B214" s="33">
        <f t="shared" si="32"/>
        <v>46.184120186454386</v>
      </c>
      <c r="C214" s="17">
        <v>200</v>
      </c>
      <c r="E214" s="17">
        <v>8</v>
      </c>
      <c r="F214" s="17">
        <f t="shared" si="29"/>
        <v>8</v>
      </c>
      <c r="G214" s="17">
        <f t="shared" si="30"/>
        <v>12</v>
      </c>
      <c r="H214" s="33">
        <f t="shared" si="35"/>
        <v>58.833274122871835</v>
      </c>
      <c r="I214" s="57">
        <v>3709</v>
      </c>
      <c r="J214" s="33">
        <f t="shared" si="36"/>
        <v>370.9</v>
      </c>
      <c r="K214" s="17">
        <v>436</v>
      </c>
      <c r="L214" s="33">
        <f t="shared" si="31"/>
        <v>7.9399342796091918</v>
      </c>
      <c r="M214" s="58">
        <f t="shared" si="34"/>
        <v>28.16</v>
      </c>
      <c r="N214" s="58"/>
      <c r="O214" s="58"/>
      <c r="P214" s="58"/>
      <c r="Q214" s="58"/>
      <c r="R214" s="58"/>
      <c r="S214" s="17">
        <v>5778</v>
      </c>
      <c r="T214" s="17">
        <v>545</v>
      </c>
    </row>
    <row r="215" spans="1:20" x14ac:dyDescent="0.25">
      <c r="A215" s="32" t="str">
        <f t="shared" si="27"/>
        <v>CARC  200*10</v>
      </c>
      <c r="B215" s="33">
        <f t="shared" si="32"/>
        <v>56.462687791334986</v>
      </c>
      <c r="C215" s="17">
        <v>200</v>
      </c>
      <c r="E215" s="17">
        <v>10</v>
      </c>
      <c r="F215" s="17">
        <f t="shared" si="29"/>
        <v>10</v>
      </c>
      <c r="G215" s="17">
        <f t="shared" si="30"/>
        <v>15</v>
      </c>
      <c r="H215" s="33">
        <f t="shared" si="35"/>
        <v>71.926990816987242</v>
      </c>
      <c r="I215" s="57">
        <v>4471</v>
      </c>
      <c r="J215" s="33">
        <f t="shared" si="36"/>
        <v>447.1</v>
      </c>
      <c r="K215" s="17">
        <v>531</v>
      </c>
      <c r="L215" s="33">
        <f t="shared" si="31"/>
        <v>7.8841774295644802</v>
      </c>
      <c r="M215" s="58">
        <f t="shared" si="34"/>
        <v>34</v>
      </c>
      <c r="N215" s="58"/>
      <c r="O215" s="58"/>
      <c r="P215" s="58"/>
      <c r="Q215" s="58"/>
      <c r="R215" s="58"/>
      <c r="S215" s="17">
        <v>7031</v>
      </c>
      <c r="T215" s="17">
        <v>655</v>
      </c>
    </row>
    <row r="216" spans="1:20" x14ac:dyDescent="0.25">
      <c r="A216" s="32" t="str">
        <f>$B$146&amp;"  "&amp;C216&amp;"*"&amp;E216</f>
        <v>CARC  200*12.5</v>
      </c>
      <c r="B216" s="33">
        <f>(H216*7850)/10000</f>
        <v>68.597949673960912</v>
      </c>
      <c r="C216" s="17">
        <v>200</v>
      </c>
      <c r="E216" s="17">
        <v>12.5</v>
      </c>
      <c r="F216" s="17">
        <f>1*E216</f>
        <v>12.5</v>
      </c>
      <c r="G216" s="17">
        <f>1.5*E216</f>
        <v>18.75</v>
      </c>
      <c r="H216" s="33">
        <f>(4*(C216-2*G216)*E216+PI()*(G216^2-F216^2))*0.01</f>
        <v>87.385923151542556</v>
      </c>
      <c r="I216" s="57">
        <v>5336</v>
      </c>
      <c r="J216" s="33">
        <f>I216/(0.5*C216*0.1)</f>
        <v>533.6</v>
      </c>
      <c r="K216" s="17">
        <v>643</v>
      </c>
      <c r="L216" s="33">
        <f>SQRT(I216/H216)</f>
        <v>7.8142476568533379</v>
      </c>
      <c r="M216" s="58">
        <f t="shared" si="34"/>
        <v>40.625</v>
      </c>
      <c r="N216" s="58"/>
      <c r="O216" s="58"/>
      <c r="P216" s="58"/>
      <c r="Q216" s="58"/>
      <c r="R216" s="58"/>
      <c r="S216" s="17">
        <v>8491</v>
      </c>
      <c r="T216" s="17">
        <v>778</v>
      </c>
    </row>
    <row r="217" spans="1:20" x14ac:dyDescent="0.25">
      <c r="A217" s="32" t="str">
        <f>$B$146&amp;"  "&amp;C217&amp;"*"&amp;E217</f>
        <v>CARC  200*14.2</v>
      </c>
      <c r="B217" s="33">
        <f>(H217*7850)/10000</f>
        <v>76.397443662447856</v>
      </c>
      <c r="C217" s="17">
        <v>200</v>
      </c>
      <c r="E217" s="17">
        <v>14.2</v>
      </c>
      <c r="F217" s="17">
        <f>1*E217</f>
        <v>14.2</v>
      </c>
      <c r="G217" s="17">
        <f>1.5*E217</f>
        <v>21.299999999999997</v>
      </c>
      <c r="H217" s="33">
        <f>(4*(C217-2*G217)*E217+PI()*(G217^2-F217^2))*0.01</f>
        <v>97.32158428337307</v>
      </c>
      <c r="I217" s="57">
        <v>5872</v>
      </c>
      <c r="J217" s="33">
        <f>I217/(0.5*C217*0.1)</f>
        <v>587.20000000000005</v>
      </c>
      <c r="K217" s="17">
        <v>714</v>
      </c>
      <c r="L217" s="33">
        <f>SQRT(I217/H217)</f>
        <v>7.7676283544439668</v>
      </c>
      <c r="M217" s="58">
        <f t="shared" si="34"/>
        <v>44.701599999999999</v>
      </c>
      <c r="N217" s="58"/>
      <c r="O217" s="58"/>
      <c r="P217" s="58"/>
      <c r="Q217" s="58"/>
      <c r="R217" s="58"/>
      <c r="S217" s="17">
        <v>9417</v>
      </c>
      <c r="T217" s="17">
        <v>854</v>
      </c>
    </row>
    <row r="218" spans="1:20" x14ac:dyDescent="0.25">
      <c r="A218" s="32" t="str">
        <f>$B$146&amp;"  "&amp;C218&amp;"*"&amp;E218</f>
        <v>CARC  200*16</v>
      </c>
      <c r="B218" s="33">
        <f>(H218*7850)/10000</f>
        <v>84.256480745817555</v>
      </c>
      <c r="C218" s="17">
        <v>200</v>
      </c>
      <c r="E218" s="17">
        <v>16</v>
      </c>
      <c r="F218" s="17">
        <f>1*E218</f>
        <v>16</v>
      </c>
      <c r="G218" s="17">
        <f>1.5*E218</f>
        <v>24</v>
      </c>
      <c r="H218" s="33">
        <f>(4*(C218-2*G218)*E218+PI()*(G218^2-F218^2))*0.01</f>
        <v>107.33309649148734</v>
      </c>
      <c r="I218" s="57">
        <v>6394</v>
      </c>
      <c r="J218" s="33">
        <f>I218/(0.5*C218*0.1)</f>
        <v>639.4</v>
      </c>
      <c r="K218" s="17">
        <v>785</v>
      </c>
      <c r="L218" s="33">
        <f>SQRT(I218/H218)</f>
        <v>7.7182614637038212</v>
      </c>
      <c r="M218" s="58">
        <f t="shared" si="34"/>
        <v>48.64</v>
      </c>
      <c r="N218" s="58"/>
      <c r="O218" s="58"/>
      <c r="P218" s="58"/>
      <c r="Q218" s="58"/>
      <c r="R218" s="58"/>
      <c r="S218" s="17">
        <v>10340</v>
      </c>
      <c r="T218" s="17">
        <v>927</v>
      </c>
    </row>
    <row r="219" spans="1:20" x14ac:dyDescent="0.25">
      <c r="A219" s="36" t="str">
        <f t="shared" si="27"/>
        <v>CARC  220*6.3</v>
      </c>
      <c r="B219" s="38">
        <f t="shared" si="32"/>
        <v>41.005120784380843</v>
      </c>
      <c r="C219" s="37">
        <v>220</v>
      </c>
      <c r="D219" s="37"/>
      <c r="E219" s="37">
        <v>6.3</v>
      </c>
      <c r="F219" s="37">
        <f t="shared" si="29"/>
        <v>6.3</v>
      </c>
      <c r="G219" s="37">
        <f t="shared" si="30"/>
        <v>9.4499999999999993</v>
      </c>
      <c r="H219" s="38">
        <f t="shared" si="35"/>
        <v>52.235822655262226</v>
      </c>
      <c r="I219" s="54">
        <v>4049</v>
      </c>
      <c r="J219" s="38">
        <f t="shared" si="36"/>
        <v>368.09090909090907</v>
      </c>
      <c r="K219" s="37">
        <v>427</v>
      </c>
      <c r="L219" s="38">
        <f t="shared" si="31"/>
        <v>8.8041953251517224</v>
      </c>
      <c r="M219" s="59">
        <f t="shared" si="34"/>
        <v>25.338599999999996</v>
      </c>
      <c r="N219" s="59"/>
      <c r="O219" s="59"/>
      <c r="P219" s="59"/>
      <c r="Q219" s="59"/>
      <c r="R219" s="59"/>
      <c r="S219" s="37">
        <v>6240</v>
      </c>
      <c r="T219" s="41">
        <v>544</v>
      </c>
    </row>
    <row r="220" spans="1:20" x14ac:dyDescent="0.25">
      <c r="A220" s="42" t="str">
        <f t="shared" si="27"/>
        <v>CARC  220*8</v>
      </c>
      <c r="B220" s="44">
        <f t="shared" si="32"/>
        <v>51.208120186454387</v>
      </c>
      <c r="C220" s="43">
        <v>220</v>
      </c>
      <c r="D220" s="43"/>
      <c r="E220" s="43">
        <v>8</v>
      </c>
      <c r="F220" s="43">
        <f t="shared" si="29"/>
        <v>8</v>
      </c>
      <c r="G220" s="43">
        <f t="shared" si="30"/>
        <v>12</v>
      </c>
      <c r="H220" s="44">
        <f t="shared" si="35"/>
        <v>65.233274122871833</v>
      </c>
      <c r="I220" s="55">
        <v>5002</v>
      </c>
      <c r="J220" s="44">
        <f t="shared" si="36"/>
        <v>454.72727272727275</v>
      </c>
      <c r="K220" s="43">
        <v>532</v>
      </c>
      <c r="L220" s="44">
        <f t="shared" si="31"/>
        <v>8.7566351572473646</v>
      </c>
      <c r="M220" s="60">
        <f t="shared" si="34"/>
        <v>31.36</v>
      </c>
      <c r="N220" s="60"/>
      <c r="O220" s="60"/>
      <c r="P220" s="60"/>
      <c r="Q220" s="60"/>
      <c r="R220" s="60"/>
      <c r="S220" s="43">
        <v>7765</v>
      </c>
      <c r="T220" s="47">
        <v>669</v>
      </c>
    </row>
    <row r="221" spans="1:20" x14ac:dyDescent="0.25">
      <c r="A221" s="42" t="str">
        <f t="shared" si="27"/>
        <v>CARC  220*10</v>
      </c>
      <c r="B221" s="44">
        <f t="shared" si="32"/>
        <v>62.742687791334987</v>
      </c>
      <c r="C221" s="43">
        <v>220</v>
      </c>
      <c r="D221" s="43"/>
      <c r="E221" s="43">
        <v>10</v>
      </c>
      <c r="F221" s="43">
        <f t="shared" si="29"/>
        <v>10</v>
      </c>
      <c r="G221" s="43">
        <f t="shared" si="30"/>
        <v>15</v>
      </c>
      <c r="H221" s="44">
        <f t="shared" si="35"/>
        <v>79.926990816987242</v>
      </c>
      <c r="I221" s="55">
        <v>6050</v>
      </c>
      <c r="J221" s="44">
        <f t="shared" si="36"/>
        <v>550</v>
      </c>
      <c r="K221" s="43">
        <v>650</v>
      </c>
      <c r="L221" s="44">
        <f t="shared" si="31"/>
        <v>8.7002344529514328</v>
      </c>
      <c r="M221" s="60">
        <f t="shared" si="34"/>
        <v>38</v>
      </c>
      <c r="N221" s="60"/>
      <c r="O221" s="60"/>
      <c r="P221" s="60"/>
      <c r="Q221" s="60"/>
      <c r="R221" s="60"/>
      <c r="S221" s="43">
        <v>9473</v>
      </c>
      <c r="T221" s="47">
        <v>807</v>
      </c>
    </row>
    <row r="222" spans="1:20" x14ac:dyDescent="0.25">
      <c r="A222" s="42" t="str">
        <f>$B$146&amp;"  "&amp;C222&amp;"*"&amp;E222</f>
        <v>CARC  220*12.5</v>
      </c>
      <c r="B222" s="44">
        <f>(H222*7850)/10000</f>
        <v>76.447949673960906</v>
      </c>
      <c r="C222" s="43">
        <v>220</v>
      </c>
      <c r="D222" s="43"/>
      <c r="E222" s="43">
        <v>12.5</v>
      </c>
      <c r="F222" s="43">
        <f>1*E222</f>
        <v>12.5</v>
      </c>
      <c r="G222" s="43">
        <f>1.5*E222</f>
        <v>18.75</v>
      </c>
      <c r="H222" s="44">
        <f>(4*(C222-2*G222)*E222+PI()*(G222^2-F222^2))*0.01</f>
        <v>97.385923151542556</v>
      </c>
      <c r="I222" s="55">
        <v>7254</v>
      </c>
      <c r="J222" s="44">
        <f>I222/(0.5*C222*0.1)</f>
        <v>659.4545454545455</v>
      </c>
      <c r="K222" s="43">
        <v>789</v>
      </c>
      <c r="L222" s="44">
        <f>SQRT(I222/H222)</f>
        <v>8.6305939181079108</v>
      </c>
      <c r="M222" s="60">
        <f t="shared" si="34"/>
        <v>45.625</v>
      </c>
      <c r="N222" s="60"/>
      <c r="O222" s="60"/>
      <c r="P222" s="60"/>
      <c r="Q222" s="60"/>
      <c r="R222" s="60"/>
      <c r="S222" s="43">
        <v>11481</v>
      </c>
      <c r="T222" s="47">
        <v>963</v>
      </c>
    </row>
    <row r="223" spans="1:20" x14ac:dyDescent="0.25">
      <c r="A223" s="42" t="str">
        <f>$B$146&amp;"  "&amp;C223&amp;"*"&amp;E223</f>
        <v>CARC  220*14.2</v>
      </c>
      <c r="B223" s="44">
        <f>(H223*7850)/10000</f>
        <v>85.315043662447849</v>
      </c>
      <c r="C223" s="43">
        <v>220</v>
      </c>
      <c r="D223" s="43"/>
      <c r="E223" s="43">
        <v>14.2</v>
      </c>
      <c r="F223" s="43">
        <f>1*E223</f>
        <v>14.2</v>
      </c>
      <c r="G223" s="43">
        <f>1.5*E223</f>
        <v>21.299999999999997</v>
      </c>
      <c r="H223" s="44">
        <f>(4*(C223-2*G223)*E223+PI()*(G223^2-F223^2))*0.01</f>
        <v>108.68158428337307</v>
      </c>
      <c r="I223" s="55">
        <v>8007</v>
      </c>
      <c r="J223" s="44">
        <f>I223/(0.5*C223*0.1)</f>
        <v>727.90909090909088</v>
      </c>
      <c r="K223" s="43">
        <v>879</v>
      </c>
      <c r="L223" s="44">
        <f>SQRT(I223/H223)</f>
        <v>8.5833522133883129</v>
      </c>
      <c r="M223" s="60">
        <f t="shared" si="34"/>
        <v>50.381599999999999</v>
      </c>
      <c r="N223" s="60"/>
      <c r="O223" s="60"/>
      <c r="P223" s="60"/>
      <c r="Q223" s="60"/>
      <c r="R223" s="60"/>
      <c r="S223" s="43">
        <v>12765</v>
      </c>
      <c r="T223" s="47">
        <v>1060</v>
      </c>
    </row>
    <row r="224" spans="1:20" x14ac:dyDescent="0.25">
      <c r="A224" s="48" t="str">
        <f>$B$146&amp;"  "&amp;C224&amp;"*"&amp;E224</f>
        <v>CARC  220*16</v>
      </c>
      <c r="B224" s="50">
        <f>(H224*7850)/10000</f>
        <v>94.304480745817557</v>
      </c>
      <c r="C224" s="49">
        <v>220</v>
      </c>
      <c r="D224" s="49"/>
      <c r="E224" s="49">
        <v>16</v>
      </c>
      <c r="F224" s="49">
        <f>1*E224</f>
        <v>16</v>
      </c>
      <c r="G224" s="49">
        <f>1.5*E224</f>
        <v>24</v>
      </c>
      <c r="H224" s="50">
        <f>(4*(C224-2*G224)*E224+PI()*(G224^2-F224^2))*0.01</f>
        <v>120.13309649148734</v>
      </c>
      <c r="I224" s="56">
        <v>8749</v>
      </c>
      <c r="J224" s="50">
        <f>I224/(0.5*C224*0.1)</f>
        <v>795.36363636363637</v>
      </c>
      <c r="K224" s="49">
        <v>969</v>
      </c>
      <c r="L224" s="50">
        <f>SQRT(I224/H224)</f>
        <v>8.5339063484064965</v>
      </c>
      <c r="M224" s="61">
        <f t="shared" si="34"/>
        <v>55.04</v>
      </c>
      <c r="N224" s="61"/>
      <c r="O224" s="61"/>
      <c r="P224" s="61"/>
      <c r="Q224" s="61"/>
      <c r="R224" s="61"/>
      <c r="S224" s="49">
        <v>14054</v>
      </c>
      <c r="T224" s="53">
        <v>1156</v>
      </c>
    </row>
    <row r="225" spans="1:20" x14ac:dyDescent="0.25">
      <c r="A225" s="32" t="str">
        <f t="shared" si="27"/>
        <v>CARC  250*6.3</v>
      </c>
      <c r="B225" s="33">
        <f t="shared" si="32"/>
        <v>46.939720784380853</v>
      </c>
      <c r="C225" s="17">
        <v>250</v>
      </c>
      <c r="E225" s="17">
        <v>6.3</v>
      </c>
      <c r="F225" s="17">
        <f t="shared" si="29"/>
        <v>6.3</v>
      </c>
      <c r="G225" s="17">
        <f t="shared" si="30"/>
        <v>9.4499999999999993</v>
      </c>
      <c r="H225" s="33">
        <f t="shared" si="35"/>
        <v>59.795822655262228</v>
      </c>
      <c r="I225" s="57">
        <v>6014</v>
      </c>
      <c r="J225" s="33">
        <f t="shared" si="36"/>
        <v>481.12</v>
      </c>
      <c r="K225" s="17">
        <v>556</v>
      </c>
      <c r="L225" s="33">
        <f t="shared" si="31"/>
        <v>10.028738086471837</v>
      </c>
      <c r="M225" s="58">
        <f t="shared" si="34"/>
        <v>29.118599999999997</v>
      </c>
      <c r="N225" s="58"/>
      <c r="O225" s="58"/>
      <c r="P225" s="58"/>
      <c r="Q225" s="58"/>
      <c r="R225" s="58"/>
      <c r="S225" s="17">
        <v>9238</v>
      </c>
      <c r="T225" s="17">
        <v>712</v>
      </c>
    </row>
    <row r="226" spans="1:20" x14ac:dyDescent="0.25">
      <c r="A226" s="32" t="str">
        <f t="shared" si="27"/>
        <v>CARC  250*8</v>
      </c>
      <c r="B226" s="33">
        <f t="shared" si="32"/>
        <v>58.744120186454396</v>
      </c>
      <c r="C226" s="17">
        <v>250</v>
      </c>
      <c r="E226" s="17">
        <v>8</v>
      </c>
      <c r="F226" s="17">
        <f t="shared" si="29"/>
        <v>8</v>
      </c>
      <c r="G226" s="17">
        <f t="shared" si="30"/>
        <v>12</v>
      </c>
      <c r="H226" s="33">
        <f t="shared" si="35"/>
        <v>74.833274122871842</v>
      </c>
      <c r="I226" s="57">
        <v>7455</v>
      </c>
      <c r="J226" s="33">
        <f t="shared" si="36"/>
        <v>596.4</v>
      </c>
      <c r="K226" s="17">
        <v>694</v>
      </c>
      <c r="L226" s="33">
        <f t="shared" si="31"/>
        <v>9.9810550379167537</v>
      </c>
      <c r="M226" s="58">
        <f t="shared" si="34"/>
        <v>36.160000000000004</v>
      </c>
      <c r="N226" s="58"/>
      <c r="O226" s="58"/>
      <c r="P226" s="58"/>
      <c r="Q226" s="58"/>
      <c r="R226" s="58"/>
      <c r="S226" s="17">
        <v>11525</v>
      </c>
      <c r="T226" s="17">
        <v>880</v>
      </c>
    </row>
    <row r="227" spans="1:20" x14ac:dyDescent="0.25">
      <c r="A227" s="32" t="str">
        <f t="shared" si="27"/>
        <v>CARC  250*10</v>
      </c>
      <c r="B227" s="33">
        <f t="shared" si="32"/>
        <v>72.162687791334989</v>
      </c>
      <c r="C227" s="17">
        <v>250</v>
      </c>
      <c r="E227" s="17">
        <v>10</v>
      </c>
      <c r="F227" s="17">
        <f t="shared" si="29"/>
        <v>10</v>
      </c>
      <c r="G227" s="17">
        <f t="shared" si="30"/>
        <v>15</v>
      </c>
      <c r="H227" s="33">
        <f t="shared" si="35"/>
        <v>91.926990816987242</v>
      </c>
      <c r="I227" s="57">
        <v>9055</v>
      </c>
      <c r="J227" s="33">
        <f t="shared" si="36"/>
        <v>724.4</v>
      </c>
      <c r="K227" s="17">
        <v>851</v>
      </c>
      <c r="L227" s="33">
        <f t="shared" si="31"/>
        <v>9.9248215165978788</v>
      </c>
      <c r="M227" s="58">
        <f t="shared" si="34"/>
        <v>44</v>
      </c>
      <c r="N227" s="58"/>
      <c r="O227" s="58"/>
      <c r="P227" s="58"/>
      <c r="Q227" s="58"/>
      <c r="R227" s="58"/>
      <c r="S227" s="17">
        <v>14106</v>
      </c>
      <c r="T227" s="17">
        <v>1065</v>
      </c>
    </row>
    <row r="228" spans="1:20" x14ac:dyDescent="0.25">
      <c r="A228" s="32" t="str">
        <f>$B$146&amp;"  "&amp;C228&amp;"*"&amp;E228</f>
        <v>CARC  250*12.5</v>
      </c>
      <c r="B228" s="33">
        <f>(H228*7850)/10000</f>
        <v>88.222949673960912</v>
      </c>
      <c r="C228" s="17">
        <v>250</v>
      </c>
      <c r="E228" s="17">
        <v>12.5</v>
      </c>
      <c r="F228" s="17">
        <f>1*E228</f>
        <v>12.5</v>
      </c>
      <c r="G228" s="17">
        <f>1.5*E228</f>
        <v>18.75</v>
      </c>
      <c r="H228" s="33">
        <f>(4*(C228-2*G228)*E228+PI()*(G228^2-F228^2))*0.01</f>
        <v>112.38592315154256</v>
      </c>
      <c r="I228" s="57">
        <v>10915</v>
      </c>
      <c r="J228" s="33">
        <f>I228/(0.5*C228*0.1)</f>
        <v>873.2</v>
      </c>
      <c r="K228" s="17">
        <v>1037</v>
      </c>
      <c r="L228" s="33">
        <f>SQRT(I228/H228)</f>
        <v>9.8549837245962806</v>
      </c>
      <c r="M228" s="58">
        <f t="shared" si="34"/>
        <v>53.125</v>
      </c>
      <c r="N228" s="58"/>
      <c r="O228" s="58"/>
      <c r="P228" s="58"/>
      <c r="Q228" s="58"/>
      <c r="R228" s="58"/>
      <c r="S228" s="17">
        <v>17164</v>
      </c>
      <c r="T228" s="17">
        <v>1279</v>
      </c>
    </row>
    <row r="229" spans="1:20" x14ac:dyDescent="0.25">
      <c r="A229" s="32" t="str">
        <f>$B$146&amp;"  "&amp;C229&amp;"*"&amp;E229</f>
        <v>CARC  250*14.2</v>
      </c>
      <c r="B229" s="33">
        <f>(H229*7850)/10000</f>
        <v>98.691443662447867</v>
      </c>
      <c r="C229" s="17">
        <v>250</v>
      </c>
      <c r="E229" s="17">
        <v>14.2</v>
      </c>
      <c r="F229" s="17">
        <f>1*E229</f>
        <v>14.2</v>
      </c>
      <c r="G229" s="17">
        <f>1.5*E229</f>
        <v>21.299999999999997</v>
      </c>
      <c r="H229" s="33">
        <f>(4*(C229-2*G229)*E229+PI()*(G229^2-F229^2))*0.01</f>
        <v>125.72158428337308</v>
      </c>
      <c r="I229" s="57">
        <v>12094</v>
      </c>
      <c r="J229" s="33">
        <f>I229/(0.5*C229*0.1)</f>
        <v>967.52</v>
      </c>
      <c r="K229" s="17">
        <v>1158</v>
      </c>
      <c r="L229" s="33">
        <f>SQRT(I229/H229)</f>
        <v>9.8079910203592515</v>
      </c>
      <c r="M229" s="58">
        <f t="shared" si="34"/>
        <v>58.901600000000002</v>
      </c>
      <c r="N229" s="58"/>
      <c r="O229" s="58"/>
      <c r="P229" s="58"/>
      <c r="Q229" s="58"/>
      <c r="R229" s="58"/>
      <c r="S229" s="17">
        <v>19139</v>
      </c>
      <c r="T229" s="17">
        <v>1413</v>
      </c>
    </row>
    <row r="230" spans="1:20" x14ac:dyDescent="0.25">
      <c r="A230" s="32" t="str">
        <f>$B$146&amp;"  "&amp;C230&amp;"*"&amp;E230</f>
        <v>CARC  250*16</v>
      </c>
      <c r="B230" s="33">
        <f>(H230*7850)/10000</f>
        <v>109.37648074581756</v>
      </c>
      <c r="C230" s="17">
        <v>250</v>
      </c>
      <c r="E230" s="17">
        <v>16</v>
      </c>
      <c r="F230" s="17">
        <f>1*E230</f>
        <v>16</v>
      </c>
      <c r="G230" s="17">
        <f>1.5*E230</f>
        <v>24</v>
      </c>
      <c r="H230" s="33">
        <f>(4*(C230-2*G230)*E230+PI()*(G230^2-F230^2))*0.01</f>
        <v>139.33309649148734</v>
      </c>
      <c r="I230" s="57">
        <v>13267</v>
      </c>
      <c r="J230" s="33">
        <f>I230/(0.5*C230*0.1)</f>
        <v>1061.3599999999999</v>
      </c>
      <c r="K230" s="17">
        <v>1280</v>
      </c>
      <c r="L230" s="33">
        <f>SQRT(I230/H230)</f>
        <v>9.7579641935544696</v>
      </c>
      <c r="M230" s="58">
        <f t="shared" si="34"/>
        <v>64.64</v>
      </c>
      <c r="N230" s="58"/>
      <c r="O230" s="58"/>
      <c r="P230" s="58"/>
      <c r="Q230" s="58"/>
      <c r="R230" s="58"/>
      <c r="S230" s="17">
        <v>21138</v>
      </c>
      <c r="T230" s="17">
        <v>1546</v>
      </c>
    </row>
    <row r="231" spans="1:20" x14ac:dyDescent="0.25">
      <c r="A231" s="36" t="str">
        <f t="shared" si="27"/>
        <v>CARC  260*6.3</v>
      </c>
      <c r="B231" s="38">
        <f t="shared" si="32"/>
        <v>48.917920784380854</v>
      </c>
      <c r="C231" s="37">
        <v>260</v>
      </c>
      <c r="D231" s="37"/>
      <c r="E231" s="37">
        <v>6.3</v>
      </c>
      <c r="F231" s="37">
        <f t="shared" si="29"/>
        <v>6.3</v>
      </c>
      <c r="G231" s="37">
        <f t="shared" si="30"/>
        <v>9.4499999999999993</v>
      </c>
      <c r="H231" s="38">
        <f t="shared" si="35"/>
        <v>62.315822655262231</v>
      </c>
      <c r="I231" s="54">
        <v>6788</v>
      </c>
      <c r="J231" s="38">
        <f t="shared" si="36"/>
        <v>522.15384615384619</v>
      </c>
      <c r="K231" s="37">
        <v>603</v>
      </c>
      <c r="L231" s="38">
        <f t="shared" si="31"/>
        <v>10.436905482571225</v>
      </c>
      <c r="M231" s="59">
        <f t="shared" si="34"/>
        <v>30.378599999999999</v>
      </c>
      <c r="N231" s="59"/>
      <c r="O231" s="59"/>
      <c r="P231" s="59"/>
      <c r="Q231" s="59"/>
      <c r="R231" s="59"/>
      <c r="S231" s="37">
        <v>10417</v>
      </c>
      <c r="T231" s="41">
        <v>773</v>
      </c>
    </row>
    <row r="232" spans="1:20" x14ac:dyDescent="0.25">
      <c r="A232" s="42" t="str">
        <f t="shared" si="27"/>
        <v>CARC  260*8</v>
      </c>
      <c r="B232" s="44">
        <f t="shared" si="32"/>
        <v>61.256120186454382</v>
      </c>
      <c r="C232" s="43">
        <v>260</v>
      </c>
      <c r="D232" s="43"/>
      <c r="E232" s="43">
        <v>8</v>
      </c>
      <c r="F232" s="43">
        <f t="shared" si="29"/>
        <v>8</v>
      </c>
      <c r="G232" s="43">
        <f t="shared" si="30"/>
        <v>12</v>
      </c>
      <c r="H232" s="44">
        <f t="shared" si="35"/>
        <v>78.033274122871831</v>
      </c>
      <c r="I232" s="55">
        <v>8423</v>
      </c>
      <c r="J232" s="44">
        <f t="shared" si="36"/>
        <v>647.92307692307691</v>
      </c>
      <c r="K232" s="43">
        <v>753</v>
      </c>
      <c r="L232" s="44">
        <f t="shared" si="31"/>
        <v>10.389472206854634</v>
      </c>
      <c r="M232" s="60">
        <f t="shared" si="34"/>
        <v>37.76</v>
      </c>
      <c r="N232" s="60"/>
      <c r="O232" s="60"/>
      <c r="P232" s="60"/>
      <c r="Q232" s="60"/>
      <c r="R232" s="60"/>
      <c r="S232" s="43">
        <v>13006</v>
      </c>
      <c r="T232" s="47">
        <v>956</v>
      </c>
    </row>
    <row r="233" spans="1:20" x14ac:dyDescent="0.25">
      <c r="A233" s="42" t="str">
        <f t="shared" si="27"/>
        <v>CARC  260*10</v>
      </c>
      <c r="B233" s="44">
        <f t="shared" si="32"/>
        <v>75.302687791334989</v>
      </c>
      <c r="C233" s="43">
        <v>260</v>
      </c>
      <c r="D233" s="43"/>
      <c r="E233" s="43">
        <v>10</v>
      </c>
      <c r="F233" s="43">
        <f t="shared" si="29"/>
        <v>10</v>
      </c>
      <c r="G233" s="43">
        <f t="shared" si="30"/>
        <v>15</v>
      </c>
      <c r="H233" s="44">
        <f t="shared" si="35"/>
        <v>95.926990816987242</v>
      </c>
      <c r="I233" s="55">
        <v>10242</v>
      </c>
      <c r="J233" s="44">
        <f t="shared" si="36"/>
        <v>787.84615384615381</v>
      </c>
      <c r="K233" s="43">
        <v>924</v>
      </c>
      <c r="L233" s="44">
        <f t="shared" si="31"/>
        <v>10.332894024001115</v>
      </c>
      <c r="M233" s="60">
        <f t="shared" si="34"/>
        <v>46</v>
      </c>
      <c r="N233" s="60"/>
      <c r="O233" s="60"/>
      <c r="P233" s="60"/>
      <c r="Q233" s="60"/>
      <c r="R233" s="60"/>
      <c r="S233" s="43">
        <v>15932</v>
      </c>
      <c r="T233" s="47">
        <v>1159</v>
      </c>
    </row>
    <row r="234" spans="1:20" x14ac:dyDescent="0.25">
      <c r="A234" s="42" t="str">
        <f>$B$146&amp;"  "&amp;C234&amp;"*"&amp;E234</f>
        <v>CARC  260*12.5</v>
      </c>
      <c r="B234" s="44">
        <f>(H234*7850)/10000</f>
        <v>92.147949673960909</v>
      </c>
      <c r="C234" s="43">
        <v>260</v>
      </c>
      <c r="D234" s="43"/>
      <c r="E234" s="43">
        <v>12.5</v>
      </c>
      <c r="F234" s="43">
        <f>1*E234</f>
        <v>12.5</v>
      </c>
      <c r="G234" s="43">
        <f>1.5*E234</f>
        <v>18.75</v>
      </c>
      <c r="H234" s="44">
        <f>(4*(C234-2*G234)*E234+PI()*(G234^2-F234^2))*0.01</f>
        <v>117.38592315154256</v>
      </c>
      <c r="I234" s="55">
        <v>12365</v>
      </c>
      <c r="J234" s="44">
        <f>I234/(0.5*C234*0.1)</f>
        <v>951.15384615384619</v>
      </c>
      <c r="K234" s="43">
        <v>1127</v>
      </c>
      <c r="L234" s="44">
        <f>SQRT(I234/H234)</f>
        <v>10.263347898176077</v>
      </c>
      <c r="M234" s="60">
        <f t="shared" si="34"/>
        <v>55.625</v>
      </c>
      <c r="N234" s="60"/>
      <c r="O234" s="60"/>
      <c r="P234" s="60"/>
      <c r="Q234" s="60"/>
      <c r="R234" s="60"/>
      <c r="S234" s="43">
        <v>19409</v>
      </c>
      <c r="T234" s="47">
        <v>1394</v>
      </c>
    </row>
    <row r="235" spans="1:20" x14ac:dyDescent="0.25">
      <c r="A235" s="42" t="str">
        <f>$B$146&amp;"  "&amp;C235&amp;"*"&amp;E235</f>
        <v>CARC  260*14.5</v>
      </c>
      <c r="B235" s="44">
        <f>(H235*7850)/10000</f>
        <v>105.0538010812818</v>
      </c>
      <c r="C235" s="43">
        <v>260</v>
      </c>
      <c r="D235" s="43"/>
      <c r="E235" s="43">
        <v>14.5</v>
      </c>
      <c r="F235" s="43">
        <f>1*E235</f>
        <v>14.5</v>
      </c>
      <c r="G235" s="43">
        <f>1.5*E235</f>
        <v>21.75</v>
      </c>
      <c r="H235" s="44">
        <f>(4*(C235-2*G235)*E235+PI()*(G235^2-F235^2))*0.01</f>
        <v>133.82649819271569</v>
      </c>
      <c r="I235" s="55">
        <v>13714</v>
      </c>
      <c r="J235" s="44">
        <f>I235/(0.5*C235*0.1)</f>
        <v>1054.9230769230769</v>
      </c>
      <c r="K235" s="43">
        <v>1259</v>
      </c>
      <c r="L235" s="44">
        <f>SQRT(I235/H235)</f>
        <v>10.123041460001101</v>
      </c>
      <c r="M235" s="60">
        <f t="shared" si="34"/>
        <v>62.785000000000004</v>
      </c>
      <c r="N235" s="60"/>
      <c r="O235" s="60"/>
      <c r="P235" s="60"/>
      <c r="Q235" s="60"/>
      <c r="R235" s="60"/>
      <c r="S235" s="43">
        <v>21659</v>
      </c>
      <c r="T235" s="47">
        <v>1542</v>
      </c>
    </row>
    <row r="236" spans="1:20" x14ac:dyDescent="0.25">
      <c r="A236" s="48" t="str">
        <f>$B$146&amp;"  "&amp;C236&amp;"*"&amp;E236</f>
        <v>CARC  260*16</v>
      </c>
      <c r="B236" s="50">
        <f>(H236*7850)/10000</f>
        <v>114.40048074581756</v>
      </c>
      <c r="C236" s="49">
        <v>260</v>
      </c>
      <c r="D236" s="49"/>
      <c r="E236" s="49">
        <v>16</v>
      </c>
      <c r="F236" s="49">
        <f>1*E236</f>
        <v>16</v>
      </c>
      <c r="G236" s="49">
        <f>1.5*E236</f>
        <v>24</v>
      </c>
      <c r="H236" s="50">
        <f>(4*(C236-2*G236)*E236+PI()*(G236^2-F236^2))*0.01</f>
        <v>145.73309649148734</v>
      </c>
      <c r="I236" s="56">
        <v>15061</v>
      </c>
      <c r="J236" s="50">
        <f>I236/(0.5*C236*0.1)</f>
        <v>1158.5384615384614</v>
      </c>
      <c r="K236" s="49">
        <v>1394</v>
      </c>
      <c r="L236" s="50">
        <f>SQRT(I236/H236)</f>
        <v>10.16594622048879</v>
      </c>
      <c r="M236" s="61">
        <f t="shared" si="34"/>
        <v>67.84</v>
      </c>
      <c r="N236" s="61"/>
      <c r="O236" s="61"/>
      <c r="P236" s="61"/>
      <c r="Q236" s="61"/>
      <c r="R236" s="61"/>
      <c r="S236" s="49">
        <v>23942</v>
      </c>
      <c r="T236" s="53">
        <v>1689</v>
      </c>
    </row>
    <row r="237" spans="1:20" x14ac:dyDescent="0.25">
      <c r="A237" s="32" t="str">
        <f t="shared" si="27"/>
        <v>CARC  300*6.3</v>
      </c>
      <c r="B237" s="33">
        <f t="shared" si="32"/>
        <v>56.830720784380858</v>
      </c>
      <c r="C237" s="17">
        <v>300</v>
      </c>
      <c r="E237" s="17">
        <v>6.3</v>
      </c>
      <c r="F237" s="17">
        <f t="shared" si="29"/>
        <v>6.3</v>
      </c>
      <c r="G237" s="17">
        <f t="shared" si="30"/>
        <v>9.4499999999999993</v>
      </c>
      <c r="H237" s="33">
        <f t="shared" si="35"/>
        <v>72.395822655262236</v>
      </c>
      <c r="I237" s="57">
        <v>10547</v>
      </c>
      <c r="J237" s="33">
        <f t="shared" si="36"/>
        <v>703.13333333333333</v>
      </c>
      <c r="K237" s="17">
        <v>809</v>
      </c>
      <c r="L237" s="33">
        <f t="shared" si="31"/>
        <v>12.070012483177049</v>
      </c>
      <c r="M237" s="58">
        <f t="shared" si="34"/>
        <v>35.418600000000005</v>
      </c>
      <c r="N237" s="58"/>
      <c r="O237" s="58"/>
      <c r="P237" s="58"/>
      <c r="Q237" s="58"/>
      <c r="R237" s="58"/>
      <c r="S237" s="17">
        <v>16136</v>
      </c>
      <c r="T237" s="17">
        <v>1043</v>
      </c>
    </row>
    <row r="238" spans="1:20" x14ac:dyDescent="0.25">
      <c r="A238" s="32" t="str">
        <f t="shared" si="27"/>
        <v>CARC  300*8</v>
      </c>
      <c r="B238" s="33">
        <f t="shared" si="32"/>
        <v>71.304120186454384</v>
      </c>
      <c r="C238" s="17">
        <v>300</v>
      </c>
      <c r="E238" s="17">
        <v>8</v>
      </c>
      <c r="F238" s="17">
        <f t="shared" si="29"/>
        <v>8</v>
      </c>
      <c r="G238" s="17">
        <f t="shared" si="30"/>
        <v>12</v>
      </c>
      <c r="H238" s="33">
        <f t="shared" si="35"/>
        <v>90.833274122871828</v>
      </c>
      <c r="I238" s="57">
        <v>13128</v>
      </c>
      <c r="J238" s="33">
        <f t="shared" si="36"/>
        <v>875.2</v>
      </c>
      <c r="K238" s="17">
        <v>1013</v>
      </c>
      <c r="L238" s="33">
        <f t="shared" si="31"/>
        <v>12.022002103605544</v>
      </c>
      <c r="M238" s="58">
        <f t="shared" si="34"/>
        <v>44.160000000000004</v>
      </c>
      <c r="N238" s="58"/>
      <c r="O238" s="58"/>
      <c r="P238" s="58"/>
      <c r="Q238" s="58"/>
      <c r="R238" s="58"/>
      <c r="S238" s="17">
        <v>20194</v>
      </c>
      <c r="T238" s="17">
        <v>1294</v>
      </c>
    </row>
    <row r="239" spans="1:20" x14ac:dyDescent="0.25">
      <c r="A239" s="32" t="str">
        <f t="shared" ref="A239:A252" si="37">$B$146&amp;"  "&amp;C239&amp;"*"&amp;E239</f>
        <v>CARC  300*10</v>
      </c>
      <c r="B239" s="33">
        <f t="shared" si="32"/>
        <v>87.862687791334992</v>
      </c>
      <c r="C239" s="17">
        <v>300</v>
      </c>
      <c r="E239" s="17">
        <v>10</v>
      </c>
      <c r="F239" s="17">
        <f t="shared" ref="F239:F252" si="38">1*E239</f>
        <v>10</v>
      </c>
      <c r="G239" s="17">
        <f t="shared" ref="G239:G252" si="39">1.5*E239</f>
        <v>15</v>
      </c>
      <c r="H239" s="33">
        <f t="shared" si="35"/>
        <v>111.92699081698724</v>
      </c>
      <c r="I239" s="57">
        <v>16026</v>
      </c>
      <c r="J239" s="33">
        <f t="shared" si="36"/>
        <v>1068.4000000000001</v>
      </c>
      <c r="K239" s="17">
        <v>1246</v>
      </c>
      <c r="L239" s="33">
        <f t="shared" ref="L239:L252" si="40">SQRT(I239/H239)</f>
        <v>11.965894109570284</v>
      </c>
      <c r="M239" s="58">
        <f t="shared" si="34"/>
        <v>54</v>
      </c>
      <c r="N239" s="58"/>
      <c r="O239" s="58"/>
      <c r="P239" s="58"/>
      <c r="Q239" s="58"/>
      <c r="R239" s="58"/>
      <c r="S239" s="17">
        <v>24807</v>
      </c>
      <c r="T239" s="17">
        <v>1575</v>
      </c>
    </row>
    <row r="240" spans="1:20" x14ac:dyDescent="0.25">
      <c r="A240" s="32" t="str">
        <f t="shared" si="37"/>
        <v>CARC  300*12.5</v>
      </c>
      <c r="B240" s="33">
        <f t="shared" si="32"/>
        <v>107.84794967396091</v>
      </c>
      <c r="C240" s="17">
        <v>300</v>
      </c>
      <c r="E240" s="17">
        <v>12.5</v>
      </c>
      <c r="F240" s="17">
        <f t="shared" si="38"/>
        <v>12.5</v>
      </c>
      <c r="G240" s="17">
        <f t="shared" si="39"/>
        <v>18.75</v>
      </c>
      <c r="H240" s="33">
        <f t="shared" si="35"/>
        <v>137.38592315154256</v>
      </c>
      <c r="I240" s="57">
        <v>19442</v>
      </c>
      <c r="J240" s="33">
        <f t="shared" si="36"/>
        <v>1296.1333333333334</v>
      </c>
      <c r="K240" s="17">
        <v>1525</v>
      </c>
      <c r="L240" s="33">
        <f t="shared" si="40"/>
        <v>11.895956056944261</v>
      </c>
      <c r="M240" s="58">
        <f t="shared" si="34"/>
        <v>65.625</v>
      </c>
      <c r="N240" s="58"/>
      <c r="O240" s="58"/>
      <c r="P240" s="58"/>
      <c r="Q240" s="58"/>
      <c r="R240" s="58"/>
      <c r="S240" s="17">
        <v>30333</v>
      </c>
      <c r="T240" s="17">
        <v>1904</v>
      </c>
    </row>
    <row r="241" spans="1:20" x14ac:dyDescent="0.25">
      <c r="A241" s="32" t="str">
        <f t="shared" si="37"/>
        <v>CARC  300*14.2</v>
      </c>
      <c r="B241" s="33">
        <f t="shared" si="32"/>
        <v>120.98544366244784</v>
      </c>
      <c r="C241" s="17">
        <v>300</v>
      </c>
      <c r="E241" s="17">
        <v>14.2</v>
      </c>
      <c r="F241" s="17">
        <f t="shared" si="38"/>
        <v>14.2</v>
      </c>
      <c r="G241" s="17">
        <f t="shared" si="39"/>
        <v>21.299999999999997</v>
      </c>
      <c r="H241" s="33">
        <f t="shared" si="35"/>
        <v>154.12158428337304</v>
      </c>
      <c r="I241" s="57">
        <v>21637</v>
      </c>
      <c r="J241" s="33">
        <f t="shared" si="36"/>
        <v>1442.4666666666667</v>
      </c>
      <c r="K241" s="17">
        <v>1708</v>
      </c>
      <c r="L241" s="33">
        <f t="shared" si="40"/>
        <v>11.848593232404479</v>
      </c>
      <c r="M241" s="58">
        <f t="shared" si="34"/>
        <v>73.101599999999991</v>
      </c>
      <c r="N241" s="58"/>
      <c r="O241" s="58"/>
      <c r="P241" s="58"/>
      <c r="Q241" s="58"/>
      <c r="R241" s="58"/>
      <c r="S241" s="17">
        <v>33938</v>
      </c>
      <c r="T241" s="17">
        <v>2114</v>
      </c>
    </row>
    <row r="242" spans="1:20" x14ac:dyDescent="0.25">
      <c r="A242" s="32" t="str">
        <f t="shared" si="37"/>
        <v>CARC  300*16</v>
      </c>
      <c r="B242" s="33">
        <f t="shared" si="32"/>
        <v>134.49648074581756</v>
      </c>
      <c r="C242" s="17">
        <v>300</v>
      </c>
      <c r="E242" s="17">
        <v>16</v>
      </c>
      <c r="F242" s="17">
        <f t="shared" si="38"/>
        <v>16</v>
      </c>
      <c r="G242" s="17">
        <f t="shared" si="39"/>
        <v>24</v>
      </c>
      <c r="H242" s="33">
        <f t="shared" si="35"/>
        <v>171.33309649148734</v>
      </c>
      <c r="I242" s="57">
        <v>23850</v>
      </c>
      <c r="J242" s="33">
        <f t="shared" si="36"/>
        <v>1590</v>
      </c>
      <c r="K242" s="17">
        <v>1895</v>
      </c>
      <c r="L242" s="33">
        <f t="shared" si="40"/>
        <v>11.798412056557602</v>
      </c>
      <c r="M242" s="58">
        <f t="shared" si="34"/>
        <v>80.64</v>
      </c>
      <c r="N242" s="58"/>
      <c r="O242" s="58"/>
      <c r="P242" s="58"/>
      <c r="Q242" s="58"/>
      <c r="R242" s="58"/>
      <c r="S242" s="17">
        <v>37622</v>
      </c>
      <c r="T242" s="17">
        <v>2325</v>
      </c>
    </row>
    <row r="243" spans="1:20" x14ac:dyDescent="0.25">
      <c r="A243" s="36" t="str">
        <f t="shared" si="37"/>
        <v>CARC  350*8</v>
      </c>
      <c r="B243" s="38">
        <f t="shared" si="32"/>
        <v>83.864120186454386</v>
      </c>
      <c r="C243" s="37">
        <v>350</v>
      </c>
      <c r="D243" s="37"/>
      <c r="E243" s="37">
        <v>8</v>
      </c>
      <c r="F243" s="37">
        <f t="shared" si="38"/>
        <v>8</v>
      </c>
      <c r="G243" s="37">
        <f t="shared" si="39"/>
        <v>12</v>
      </c>
      <c r="H243" s="38">
        <f t="shared" si="35"/>
        <v>106.83327412287183</v>
      </c>
      <c r="I243" s="54">
        <v>21129</v>
      </c>
      <c r="J243" s="38">
        <f t="shared" si="36"/>
        <v>1207.3714285714286</v>
      </c>
      <c r="K243" s="37">
        <v>1392</v>
      </c>
      <c r="L243" s="38">
        <f t="shared" si="40"/>
        <v>14.063266356986462</v>
      </c>
      <c r="M243" s="59">
        <f t="shared" si="34"/>
        <v>52.160000000000004</v>
      </c>
      <c r="N243" s="59"/>
      <c r="O243" s="59"/>
      <c r="P243" s="59"/>
      <c r="Q243" s="59"/>
      <c r="R243" s="59"/>
      <c r="S243" s="37">
        <v>32384</v>
      </c>
      <c r="T243" s="41">
        <v>1789</v>
      </c>
    </row>
    <row r="244" spans="1:20" x14ac:dyDescent="0.25">
      <c r="A244" s="42" t="str">
        <f t="shared" si="37"/>
        <v>CARC  350*10</v>
      </c>
      <c r="B244" s="44">
        <f t="shared" si="32"/>
        <v>103.56268779133498</v>
      </c>
      <c r="C244" s="43">
        <v>350</v>
      </c>
      <c r="D244" s="43"/>
      <c r="E244" s="43">
        <v>10</v>
      </c>
      <c r="F244" s="43">
        <f t="shared" si="38"/>
        <v>10</v>
      </c>
      <c r="G244" s="43">
        <f t="shared" si="39"/>
        <v>15</v>
      </c>
      <c r="H244" s="44">
        <f t="shared" si="35"/>
        <v>131.92699081698723</v>
      </c>
      <c r="I244" s="55">
        <v>25884</v>
      </c>
      <c r="J244" s="44">
        <f t="shared" si="36"/>
        <v>1479.0857142857142</v>
      </c>
      <c r="K244" s="43">
        <v>1715</v>
      </c>
      <c r="L244" s="44">
        <f t="shared" si="40"/>
        <v>14.007120580930128</v>
      </c>
      <c r="M244" s="60">
        <f t="shared" si="34"/>
        <v>64</v>
      </c>
      <c r="N244" s="60"/>
      <c r="O244" s="60"/>
      <c r="P244" s="60"/>
      <c r="Q244" s="60"/>
      <c r="R244" s="60"/>
      <c r="S244" s="43">
        <v>39886</v>
      </c>
      <c r="T244" s="47">
        <v>2185</v>
      </c>
    </row>
    <row r="245" spans="1:20" x14ac:dyDescent="0.25">
      <c r="A245" s="42" t="str">
        <f t="shared" si="37"/>
        <v>CARC  350*12.5</v>
      </c>
      <c r="B245" s="44">
        <f t="shared" si="32"/>
        <v>127.47294967396091</v>
      </c>
      <c r="C245" s="43">
        <v>350</v>
      </c>
      <c r="D245" s="43"/>
      <c r="E245" s="43">
        <v>12.5</v>
      </c>
      <c r="F245" s="43">
        <f t="shared" si="38"/>
        <v>12.5</v>
      </c>
      <c r="G245" s="43">
        <f t="shared" si="39"/>
        <v>18.75</v>
      </c>
      <c r="H245" s="44">
        <f t="shared" si="35"/>
        <v>162.38592315154256</v>
      </c>
      <c r="I245" s="55">
        <v>31541</v>
      </c>
      <c r="J245" s="44">
        <f t="shared" si="36"/>
        <v>1802.3428571428572</v>
      </c>
      <c r="K245" s="43">
        <v>2107</v>
      </c>
      <c r="L245" s="44">
        <f t="shared" si="40"/>
        <v>13.93681515229186</v>
      </c>
      <c r="M245" s="60">
        <f t="shared" si="34"/>
        <v>78.125</v>
      </c>
      <c r="N245" s="60"/>
      <c r="O245" s="60"/>
      <c r="P245" s="60"/>
      <c r="Q245" s="60"/>
      <c r="R245" s="60"/>
      <c r="S245" s="43">
        <v>48934</v>
      </c>
      <c r="T245" s="47">
        <v>2654</v>
      </c>
    </row>
    <row r="246" spans="1:20" x14ac:dyDescent="0.25">
      <c r="A246" s="42" t="str">
        <f t="shared" si="37"/>
        <v>CARC  350*14.2</v>
      </c>
      <c r="B246" s="44">
        <f t="shared" si="32"/>
        <v>143.27944366244782</v>
      </c>
      <c r="C246" s="43">
        <v>350</v>
      </c>
      <c r="D246" s="43"/>
      <c r="E246" s="43">
        <v>14.2</v>
      </c>
      <c r="F246" s="43">
        <f t="shared" si="38"/>
        <v>14.2</v>
      </c>
      <c r="G246" s="43">
        <f t="shared" si="39"/>
        <v>21.299999999999997</v>
      </c>
      <c r="H246" s="44">
        <f t="shared" si="35"/>
        <v>182.52158428337302</v>
      </c>
      <c r="I246" s="55">
        <v>35211</v>
      </c>
      <c r="J246" s="44">
        <f t="shared" si="36"/>
        <v>2012.0571428571429</v>
      </c>
      <c r="K246" s="43">
        <v>2364</v>
      </c>
      <c r="L246" s="44">
        <f t="shared" si="40"/>
        <v>13.889354568646942</v>
      </c>
      <c r="M246" s="60">
        <f t="shared" si="34"/>
        <v>87.301599999999979</v>
      </c>
      <c r="N246" s="60"/>
      <c r="O246" s="60"/>
      <c r="P246" s="60"/>
      <c r="Q246" s="60"/>
      <c r="R246" s="60"/>
      <c r="S246" s="43">
        <v>54879</v>
      </c>
      <c r="T246" s="47">
        <v>2957</v>
      </c>
    </row>
    <row r="247" spans="1:20" x14ac:dyDescent="0.25">
      <c r="A247" s="48" t="str">
        <f t="shared" si="37"/>
        <v>CARC  350*16</v>
      </c>
      <c r="B247" s="50">
        <f t="shared" si="32"/>
        <v>159.61648074581757</v>
      </c>
      <c r="C247" s="49">
        <v>350</v>
      </c>
      <c r="D247" s="49"/>
      <c r="E247" s="49">
        <v>16</v>
      </c>
      <c r="F247" s="49">
        <f t="shared" si="38"/>
        <v>16</v>
      </c>
      <c r="G247" s="49">
        <f t="shared" si="39"/>
        <v>24</v>
      </c>
      <c r="H247" s="50">
        <f t="shared" si="35"/>
        <v>203.33309649148734</v>
      </c>
      <c r="I247" s="56">
        <v>38942</v>
      </c>
      <c r="J247" s="50">
        <f t="shared" si="36"/>
        <v>2225.2571428571428</v>
      </c>
      <c r="K247" s="49">
        <v>2630</v>
      </c>
      <c r="L247" s="50">
        <f t="shared" si="40"/>
        <v>13.839012098649841</v>
      </c>
      <c r="M247" s="61">
        <f t="shared" si="34"/>
        <v>96.64</v>
      </c>
      <c r="N247" s="61"/>
      <c r="O247" s="61"/>
      <c r="P247" s="61"/>
      <c r="Q247" s="61"/>
      <c r="R247" s="61"/>
      <c r="S247" s="49">
        <v>60990</v>
      </c>
      <c r="T247" s="53">
        <v>3264</v>
      </c>
    </row>
    <row r="248" spans="1:20" x14ac:dyDescent="0.25">
      <c r="A248" s="32" t="str">
        <f t="shared" si="37"/>
        <v>CARC  400*8</v>
      </c>
      <c r="B248" s="33">
        <f t="shared" si="32"/>
        <v>96.424120186454388</v>
      </c>
      <c r="C248" s="17">
        <v>400</v>
      </c>
      <c r="E248" s="17">
        <v>8</v>
      </c>
      <c r="F248" s="17">
        <f t="shared" si="38"/>
        <v>8</v>
      </c>
      <c r="G248" s="17">
        <f t="shared" si="39"/>
        <v>12</v>
      </c>
      <c r="H248" s="33">
        <f t="shared" si="35"/>
        <v>122.83327412287183</v>
      </c>
      <c r="I248" s="57">
        <v>39128</v>
      </c>
      <c r="J248" s="33">
        <f t="shared" si="36"/>
        <v>1956.4</v>
      </c>
      <c r="K248" s="17">
        <v>2260</v>
      </c>
      <c r="L248" s="33">
        <f t="shared" si="40"/>
        <v>17.847846035218708</v>
      </c>
      <c r="M248" s="58">
        <f t="shared" si="34"/>
        <v>60.160000000000004</v>
      </c>
      <c r="N248" s="58"/>
      <c r="O248" s="58"/>
      <c r="P248" s="58"/>
      <c r="Q248" s="58"/>
      <c r="R248" s="58"/>
      <c r="S248" s="17">
        <v>60092</v>
      </c>
      <c r="T248" s="17">
        <v>2895</v>
      </c>
    </row>
    <row r="249" spans="1:20" x14ac:dyDescent="0.25">
      <c r="A249" s="32" t="str">
        <f t="shared" si="37"/>
        <v>CARC  400*10</v>
      </c>
      <c r="B249" s="33">
        <f t="shared" si="32"/>
        <v>119.26268779133498</v>
      </c>
      <c r="C249" s="17">
        <v>400</v>
      </c>
      <c r="E249" s="17">
        <v>10</v>
      </c>
      <c r="F249" s="17">
        <f t="shared" si="38"/>
        <v>10</v>
      </c>
      <c r="G249" s="17">
        <f t="shared" si="39"/>
        <v>15</v>
      </c>
      <c r="H249" s="33">
        <f t="shared" si="35"/>
        <v>151.92699081698723</v>
      </c>
      <c r="I249" s="57">
        <v>47839</v>
      </c>
      <c r="J249" s="33">
        <f t="shared" si="36"/>
        <v>2391.9499999999998</v>
      </c>
      <c r="K249" s="17">
        <v>2782</v>
      </c>
      <c r="L249" s="33">
        <f t="shared" si="40"/>
        <v>17.744900906141957</v>
      </c>
      <c r="M249" s="58">
        <f t="shared" si="34"/>
        <v>74</v>
      </c>
      <c r="N249" s="58"/>
      <c r="O249" s="58"/>
      <c r="P249" s="58"/>
      <c r="Q249" s="58"/>
      <c r="R249" s="58"/>
      <c r="S249" s="17">
        <v>73906</v>
      </c>
      <c r="T249" s="17">
        <v>3530</v>
      </c>
    </row>
    <row r="250" spans="1:20" x14ac:dyDescent="0.25">
      <c r="A250" s="32" t="str">
        <f t="shared" si="37"/>
        <v>CARC  400*12.5</v>
      </c>
      <c r="B250" s="33">
        <f t="shared" si="32"/>
        <v>147.09794967396093</v>
      </c>
      <c r="C250" s="17">
        <v>400</v>
      </c>
      <c r="E250" s="17">
        <v>12.5</v>
      </c>
      <c r="F250" s="17">
        <f t="shared" si="38"/>
        <v>12.5</v>
      </c>
      <c r="G250" s="17">
        <f t="shared" si="39"/>
        <v>18.75</v>
      </c>
      <c r="H250" s="33">
        <f t="shared" si="35"/>
        <v>187.38592315154256</v>
      </c>
      <c r="I250" s="57">
        <v>53526</v>
      </c>
      <c r="J250" s="33">
        <f t="shared" si="36"/>
        <v>2676.3</v>
      </c>
      <c r="K250" s="17">
        <v>3127</v>
      </c>
      <c r="L250" s="33">
        <f t="shared" si="40"/>
        <v>16.90105883412291</v>
      </c>
      <c r="M250" s="58">
        <f t="shared" si="34"/>
        <v>90.625</v>
      </c>
      <c r="N250" s="58"/>
      <c r="O250" s="58"/>
      <c r="P250" s="58"/>
      <c r="Q250" s="58"/>
      <c r="R250" s="58"/>
      <c r="S250" s="17">
        <v>83026</v>
      </c>
      <c r="T250" s="17">
        <v>3942</v>
      </c>
    </row>
    <row r="251" spans="1:20" x14ac:dyDescent="0.25">
      <c r="A251" s="32" t="str">
        <f t="shared" si="37"/>
        <v>CARC  400*14.5</v>
      </c>
      <c r="B251" s="33">
        <f t="shared" si="32"/>
        <v>168.79580108128181</v>
      </c>
      <c r="C251" s="17">
        <v>400</v>
      </c>
      <c r="E251" s="17">
        <v>14.5</v>
      </c>
      <c r="F251" s="17">
        <f t="shared" si="38"/>
        <v>14.5</v>
      </c>
      <c r="G251" s="17">
        <f t="shared" si="39"/>
        <v>21.75</v>
      </c>
      <c r="H251" s="33">
        <f t="shared" si="35"/>
        <v>215.02649819271568</v>
      </c>
      <c r="I251" s="57">
        <v>59344</v>
      </c>
      <c r="J251" s="33">
        <f t="shared" si="36"/>
        <v>2967.2</v>
      </c>
      <c r="K251" s="17">
        <v>3484</v>
      </c>
      <c r="L251" s="33">
        <f t="shared" si="40"/>
        <v>16.612783940862233</v>
      </c>
      <c r="M251" s="58">
        <f t="shared" si="34"/>
        <v>103.38500000000001</v>
      </c>
      <c r="N251" s="58"/>
      <c r="O251" s="58"/>
      <c r="P251" s="58"/>
      <c r="Q251" s="58"/>
      <c r="R251" s="58"/>
      <c r="S251" s="17">
        <v>92442</v>
      </c>
      <c r="T251" s="17">
        <v>4362</v>
      </c>
    </row>
    <row r="252" spans="1:20" x14ac:dyDescent="0.25">
      <c r="A252" s="32" t="str">
        <f t="shared" si="37"/>
        <v>CARC  400*16</v>
      </c>
      <c r="B252" s="33">
        <f t="shared" si="32"/>
        <v>184.73648074581754</v>
      </c>
      <c r="C252" s="17">
        <v>400</v>
      </c>
      <c r="E252" s="17">
        <v>16</v>
      </c>
      <c r="F252" s="17">
        <f t="shared" si="38"/>
        <v>16</v>
      </c>
      <c r="G252" s="17">
        <f t="shared" si="39"/>
        <v>24</v>
      </c>
      <c r="H252" s="33">
        <f t="shared" si="35"/>
        <v>235.33309649148734</v>
      </c>
      <c r="I252" s="57">
        <v>71535</v>
      </c>
      <c r="J252" s="33">
        <f t="shared" si="36"/>
        <v>3576.75</v>
      </c>
      <c r="K252" s="17">
        <v>7247</v>
      </c>
      <c r="L252" s="33">
        <f t="shared" si="40"/>
        <v>17.434832770651791</v>
      </c>
      <c r="M252" s="58">
        <f t="shared" si="34"/>
        <v>112.64</v>
      </c>
      <c r="N252" s="58"/>
      <c r="O252" s="58"/>
      <c r="P252" s="58"/>
      <c r="Q252" s="58"/>
      <c r="R252" s="58"/>
      <c r="S252" s="17">
        <v>112489</v>
      </c>
      <c r="T252" s="17">
        <v>5237</v>
      </c>
    </row>
    <row r="253" spans="1:20" x14ac:dyDescent="0.25">
      <c r="M253" s="58"/>
      <c r="N253" s="58"/>
      <c r="O253" s="58"/>
      <c r="P253" s="58"/>
      <c r="Q253" s="58"/>
      <c r="R253" s="58"/>
    </row>
  </sheetData>
  <sheetProtection algorithmName="SHA-512" hashValue="Ee7FqCZjlpVhinQr2/BbQK0UO6szRa/MnDRj6BLzu11Gx52KTseKPsH1X7oix1hNGuByKq5kYJz/9dRfD4DQIg==" saltValue="8scIXql7ze0yuiuyi5Sl0Q==" spinCount="100000" sheet="1" objects="1" scenarios="1"/>
  <mergeCells count="2">
    <mergeCell ref="C1:G1"/>
    <mergeCell ref="J1:K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28280-A8A7-431A-B8E3-47748D3A3FEA}">
  <sheetPr>
    <tabColor rgb="FFFF0000"/>
  </sheetPr>
  <dimension ref="A1:T281"/>
  <sheetViews>
    <sheetView zoomScale="85" zoomScaleNormal="85" workbookViewId="0">
      <pane ySplit="2" topLeftCell="A3" activePane="bottomLeft" state="frozen"/>
      <selection sqref="A1:A3"/>
      <selection pane="bottomLeft" activeCell="W157" sqref="W157"/>
    </sheetView>
  </sheetViews>
  <sheetFormatPr baseColWidth="10" defaultRowHeight="15" x14ac:dyDescent="0.25"/>
  <cols>
    <col min="1" max="1" width="23.42578125" style="91" customWidth="1"/>
    <col min="2" max="2" width="18.5703125" customWidth="1"/>
  </cols>
  <sheetData>
    <row r="1" spans="1:20" ht="45" x14ac:dyDescent="0.25">
      <c r="A1" s="7" t="s">
        <v>130</v>
      </c>
      <c r="B1" s="8" t="s">
        <v>131</v>
      </c>
      <c r="C1" s="338" t="s">
        <v>132</v>
      </c>
      <c r="D1" s="339"/>
      <c r="E1" s="339"/>
      <c r="F1" s="339"/>
      <c r="G1" s="340"/>
      <c r="H1" s="8" t="s">
        <v>133</v>
      </c>
      <c r="I1" s="9" t="s">
        <v>134</v>
      </c>
      <c r="J1" s="341" t="s">
        <v>135</v>
      </c>
      <c r="K1" s="342"/>
      <c r="L1" s="10" t="s">
        <v>136</v>
      </c>
      <c r="M1" s="14" t="s">
        <v>137</v>
      </c>
      <c r="N1" s="9" t="s">
        <v>134</v>
      </c>
      <c r="O1" s="343" t="s">
        <v>135</v>
      </c>
      <c r="P1" s="344"/>
      <c r="Q1" s="10" t="s">
        <v>136</v>
      </c>
      <c r="R1" s="14" t="s">
        <v>137</v>
      </c>
      <c r="S1" s="13" t="s">
        <v>138</v>
      </c>
      <c r="T1" s="62" t="s">
        <v>139</v>
      </c>
    </row>
    <row r="2" spans="1:20" ht="15.75" thickBot="1" x14ac:dyDescent="0.3">
      <c r="A2" s="63"/>
      <c r="B2" s="64" t="s">
        <v>140</v>
      </c>
      <c r="C2" s="65" t="s">
        <v>141</v>
      </c>
      <c r="D2" s="66" t="s">
        <v>162</v>
      </c>
      <c r="E2" s="66" t="s">
        <v>142</v>
      </c>
      <c r="F2" s="66" t="s">
        <v>163</v>
      </c>
      <c r="G2" s="67" t="s">
        <v>144</v>
      </c>
      <c r="H2" s="64" t="s">
        <v>145</v>
      </c>
      <c r="I2" s="65" t="s">
        <v>164</v>
      </c>
      <c r="J2" s="66" t="s">
        <v>165</v>
      </c>
      <c r="K2" s="66" t="s">
        <v>166</v>
      </c>
      <c r="L2" s="66" t="s">
        <v>167</v>
      </c>
      <c r="M2" s="67" t="s">
        <v>168</v>
      </c>
      <c r="N2" s="65" t="s">
        <v>169</v>
      </c>
      <c r="O2" s="66" t="s">
        <v>170</v>
      </c>
      <c r="P2" s="66" t="s">
        <v>171</v>
      </c>
      <c r="Q2" s="66" t="s">
        <v>172</v>
      </c>
      <c r="R2" s="67" t="s">
        <v>173</v>
      </c>
      <c r="S2" s="68" t="s">
        <v>151</v>
      </c>
      <c r="T2" s="66" t="s">
        <v>152</v>
      </c>
    </row>
    <row r="3" spans="1:20" ht="16.5" thickBot="1" x14ac:dyDescent="0.3">
      <c r="A3" s="69"/>
      <c r="B3" s="28" t="s">
        <v>174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30"/>
    </row>
    <row r="4" spans="1:20" x14ac:dyDescent="0.25">
      <c r="A4" s="70" t="str">
        <f>$B$3&amp;"  "&amp;C4&amp;"*"&amp;D4&amp;"*"&amp;E4</f>
        <v>RECF  40*20*2</v>
      </c>
      <c r="B4" s="71">
        <f>H4*0.785</f>
        <v>1.6775380279681584</v>
      </c>
      <c r="C4" s="15">
        <v>40</v>
      </c>
      <c r="D4" s="15">
        <v>20</v>
      </c>
      <c r="E4" s="15">
        <v>2</v>
      </c>
      <c r="F4" s="15">
        <f>IF(E4&lt;=6,1*E4,IF(E4&lt;=10,1.5*E4,2*E4))</f>
        <v>2</v>
      </c>
      <c r="G4" s="15">
        <f>IF(E4&lt;=6,2*E4,IF(E4&lt;=10,2.5*E4,3*E4))</f>
        <v>4</v>
      </c>
      <c r="H4" s="71">
        <f>(2*(C4-2*G4)*E4+2*(D4-2*G4)*E4+PI()*(G4^2-F4^2))*0.01</f>
        <v>2.136991118430775</v>
      </c>
      <c r="I4" s="15">
        <v>4.03</v>
      </c>
      <c r="J4" s="71">
        <f>I4/(0.5*C4*0.1)</f>
        <v>2.0150000000000001</v>
      </c>
      <c r="K4" s="15">
        <v>2.61</v>
      </c>
      <c r="L4" s="71">
        <f>SQRT(I4/H4)</f>
        <v>1.3732549225891462</v>
      </c>
      <c r="M4" s="72">
        <f>2*(C4-2*G4)*E4*0.01</f>
        <v>1.28</v>
      </c>
      <c r="N4" s="15">
        <v>1.33</v>
      </c>
      <c r="O4" s="71">
        <f>N4/(0.5*D4*0.1)</f>
        <v>1.33</v>
      </c>
      <c r="P4" s="15">
        <v>1.59</v>
      </c>
      <c r="Q4" s="71">
        <f>SQRT(N4/H4)</f>
        <v>0.78890455187137132</v>
      </c>
      <c r="R4" s="15">
        <f>2*(D4-2*G4)*E4*0.01</f>
        <v>0.48</v>
      </c>
      <c r="S4" s="112">
        <v>3.45</v>
      </c>
      <c r="T4" s="112">
        <v>2.36</v>
      </c>
    </row>
    <row r="5" spans="1:20" x14ac:dyDescent="0.25">
      <c r="A5" s="70" t="str">
        <f t="shared" ref="A5:A68" si="0">$B$3&amp;"  "&amp;C5&amp;"*"&amp;D5&amp;"*"&amp;E5</f>
        <v>RECF  40*20*2.5</v>
      </c>
      <c r="B5" s="71">
        <f t="shared" ref="B5:B68" si="1">H5*0.785</f>
        <v>2.032403168700248</v>
      </c>
      <c r="C5" s="15">
        <v>40</v>
      </c>
      <c r="D5" s="15">
        <v>20</v>
      </c>
      <c r="E5" s="15">
        <v>2.5</v>
      </c>
      <c r="F5" s="15">
        <f t="shared" ref="F5:F68" si="2">IF(E5&lt;=6,1*E5,IF(E5&lt;=10,1.5*E5,2*E5))</f>
        <v>2.5</v>
      </c>
      <c r="G5" s="15">
        <f t="shared" ref="G5:G68" si="3">IF(E5&lt;=6,2*E5,IF(E5&lt;=10,2.5*E5,3*E5))</f>
        <v>5</v>
      </c>
      <c r="H5" s="71">
        <f t="shared" ref="H5:H68" si="4">(2*(C5-2*G5)*E5+2*(D5-2*G5)*E5+PI()*(G5^2-F5^2))*0.01</f>
        <v>2.5890486225480864</v>
      </c>
      <c r="I5" s="15">
        <v>4.6500000000000004</v>
      </c>
      <c r="J5" s="71">
        <f t="shared" ref="J5:J68" si="5">I5/(0.5*C5*0.1)</f>
        <v>2.3250000000000002</v>
      </c>
      <c r="K5" s="15">
        <v>3.08</v>
      </c>
      <c r="L5" s="71">
        <f t="shared" ref="L5:L68" si="6">SQRT(I5/H5)</f>
        <v>1.3401591415813185</v>
      </c>
      <c r="M5" s="72">
        <f t="shared" ref="M5:M68" si="7">2*(C5-2*G5)*E5*0.01</f>
        <v>1.5</v>
      </c>
      <c r="N5" s="15">
        <v>1.52</v>
      </c>
      <c r="O5" s="71">
        <f t="shared" ref="O5:O68" si="8">N5/(0.5*D5*0.1)</f>
        <v>1.52</v>
      </c>
      <c r="P5" s="15">
        <v>1.87</v>
      </c>
      <c r="Q5" s="71">
        <f t="shared" ref="Q5:Q68" si="9">SQRT(N5/H5)</f>
        <v>0.76621683638050908</v>
      </c>
      <c r="R5" s="15">
        <f t="shared" ref="R5:R68" si="10">2*(D5-2*G5)*E5*0.01</f>
        <v>0.5</v>
      </c>
      <c r="S5" s="112">
        <v>4.0599999999999996</v>
      </c>
      <c r="T5" s="112">
        <v>2.72</v>
      </c>
    </row>
    <row r="6" spans="1:20" x14ac:dyDescent="0.25">
      <c r="A6" s="70" t="str">
        <f t="shared" si="0"/>
        <v>RECF  40*20*3</v>
      </c>
      <c r="B6" s="71">
        <f t="shared" si="1"/>
        <v>2.3614605629283569</v>
      </c>
      <c r="C6" s="15">
        <v>40</v>
      </c>
      <c r="D6" s="15">
        <v>20</v>
      </c>
      <c r="E6" s="15">
        <v>3</v>
      </c>
      <c r="F6" s="15">
        <f t="shared" si="2"/>
        <v>3</v>
      </c>
      <c r="G6" s="15">
        <f t="shared" si="3"/>
        <v>6</v>
      </c>
      <c r="H6" s="71">
        <f t="shared" si="4"/>
        <v>3.0082300164692444</v>
      </c>
      <c r="I6" s="15">
        <v>5.13</v>
      </c>
      <c r="J6" s="71">
        <f t="shared" si="5"/>
        <v>2.5649999999999999</v>
      </c>
      <c r="K6" s="15">
        <v>3.48</v>
      </c>
      <c r="L6" s="71">
        <f t="shared" si="6"/>
        <v>1.305879674666379</v>
      </c>
      <c r="M6" s="72">
        <f t="shared" si="7"/>
        <v>1.68</v>
      </c>
      <c r="N6" s="15">
        <v>1.65</v>
      </c>
      <c r="O6" s="71">
        <f t="shared" si="8"/>
        <v>1.65</v>
      </c>
      <c r="P6" s="15">
        <v>2.09</v>
      </c>
      <c r="Q6" s="71">
        <f t="shared" si="9"/>
        <v>0.74060467968569577</v>
      </c>
      <c r="R6" s="15">
        <f t="shared" si="10"/>
        <v>0.48</v>
      </c>
      <c r="S6" s="112">
        <v>4.57</v>
      </c>
      <c r="T6" s="112">
        <v>3</v>
      </c>
    </row>
    <row r="7" spans="1:20" x14ac:dyDescent="0.25">
      <c r="A7" s="73" t="str">
        <f t="shared" si="0"/>
        <v>RECF  50*30*2</v>
      </c>
      <c r="B7" s="74">
        <f t="shared" si="1"/>
        <v>2.3055380279681583</v>
      </c>
      <c r="C7" s="75">
        <v>50</v>
      </c>
      <c r="D7" s="75">
        <v>30</v>
      </c>
      <c r="E7" s="75">
        <v>2</v>
      </c>
      <c r="F7" s="75">
        <f t="shared" si="2"/>
        <v>2</v>
      </c>
      <c r="G7" s="75">
        <f t="shared" si="3"/>
        <v>4</v>
      </c>
      <c r="H7" s="74">
        <f t="shared" si="4"/>
        <v>2.9369911184307749</v>
      </c>
      <c r="I7" s="75">
        <v>9.51</v>
      </c>
      <c r="J7" s="74">
        <f t="shared" si="5"/>
        <v>3.8039999999999998</v>
      </c>
      <c r="K7" s="75">
        <v>4.74</v>
      </c>
      <c r="L7" s="74">
        <f t="shared" si="6"/>
        <v>1.7994465118263625</v>
      </c>
      <c r="M7" s="76">
        <f t="shared" si="7"/>
        <v>1.68</v>
      </c>
      <c r="N7" s="75">
        <v>4.28</v>
      </c>
      <c r="O7" s="74">
        <f t="shared" si="8"/>
        <v>2.8533333333333335</v>
      </c>
      <c r="P7" s="75">
        <v>3.32</v>
      </c>
      <c r="Q7" s="74">
        <f t="shared" si="9"/>
        <v>1.2071759313678854</v>
      </c>
      <c r="R7" s="75">
        <f t="shared" si="10"/>
        <v>0.88</v>
      </c>
      <c r="S7" s="113">
        <v>9.77</v>
      </c>
      <c r="T7" s="114">
        <v>4.84</v>
      </c>
    </row>
    <row r="8" spans="1:20" x14ac:dyDescent="0.25">
      <c r="A8" s="78" t="str">
        <f t="shared" si="0"/>
        <v>RECF  50*30*2.5</v>
      </c>
      <c r="B8" s="79">
        <f t="shared" si="1"/>
        <v>2.8174031687002481</v>
      </c>
      <c r="C8" s="80">
        <v>50</v>
      </c>
      <c r="D8" s="80">
        <v>30</v>
      </c>
      <c r="E8" s="80">
        <v>2.5</v>
      </c>
      <c r="F8" s="80">
        <f t="shared" si="2"/>
        <v>2.5</v>
      </c>
      <c r="G8" s="80">
        <f t="shared" si="3"/>
        <v>5</v>
      </c>
      <c r="H8" s="79">
        <f t="shared" si="4"/>
        <v>3.5890486225480864</v>
      </c>
      <c r="I8" s="80">
        <v>11.2</v>
      </c>
      <c r="J8" s="79">
        <f t="shared" si="5"/>
        <v>4.4799999999999995</v>
      </c>
      <c r="K8" s="80">
        <v>5.69</v>
      </c>
      <c r="L8" s="79">
        <f t="shared" si="6"/>
        <v>1.7665231792237395</v>
      </c>
      <c r="M8" s="81">
        <f t="shared" si="7"/>
        <v>2</v>
      </c>
      <c r="N8" s="80">
        <v>5.0199999999999996</v>
      </c>
      <c r="O8" s="79">
        <f t="shared" si="8"/>
        <v>3.3466666666666662</v>
      </c>
      <c r="P8" s="80">
        <v>3.97</v>
      </c>
      <c r="Q8" s="79">
        <f t="shared" si="9"/>
        <v>1.1826662068533522</v>
      </c>
      <c r="R8" s="80">
        <f t="shared" si="10"/>
        <v>1</v>
      </c>
      <c r="S8" s="115">
        <v>11.7</v>
      </c>
      <c r="T8" s="116">
        <v>5.72</v>
      </c>
    </row>
    <row r="9" spans="1:20" x14ac:dyDescent="0.25">
      <c r="A9" s="78" t="str">
        <f t="shared" si="0"/>
        <v>RECF  50*30*3</v>
      </c>
      <c r="B9" s="79">
        <f t="shared" si="1"/>
        <v>3.3034605629283567</v>
      </c>
      <c r="C9" s="80">
        <v>50</v>
      </c>
      <c r="D9" s="80">
        <v>30</v>
      </c>
      <c r="E9" s="80">
        <v>3</v>
      </c>
      <c r="F9" s="80">
        <f t="shared" si="2"/>
        <v>3</v>
      </c>
      <c r="G9" s="80">
        <f t="shared" si="3"/>
        <v>6</v>
      </c>
      <c r="H9" s="79">
        <f t="shared" si="4"/>
        <v>4.2082300164692441</v>
      </c>
      <c r="I9" s="80">
        <v>12.7</v>
      </c>
      <c r="J9" s="79">
        <f t="shared" si="5"/>
        <v>5.08</v>
      </c>
      <c r="K9" s="80">
        <v>6.55</v>
      </c>
      <c r="L9" s="79">
        <f t="shared" si="6"/>
        <v>1.7372092197422531</v>
      </c>
      <c r="M9" s="81">
        <f t="shared" si="7"/>
        <v>2.2800000000000002</v>
      </c>
      <c r="N9" s="80">
        <v>5.64</v>
      </c>
      <c r="O9" s="79">
        <f t="shared" si="8"/>
        <v>3.76</v>
      </c>
      <c r="P9" s="80">
        <v>4.5599999999999996</v>
      </c>
      <c r="Q9" s="79">
        <f t="shared" si="9"/>
        <v>1.157683429611696</v>
      </c>
      <c r="R9" s="80">
        <f t="shared" si="10"/>
        <v>1.08</v>
      </c>
      <c r="S9" s="115">
        <v>13.5</v>
      </c>
      <c r="T9" s="116">
        <v>6.49</v>
      </c>
    </row>
    <row r="10" spans="1:20" x14ac:dyDescent="0.25">
      <c r="A10" s="83" t="str">
        <f t="shared" si="0"/>
        <v>RECF  50*30*4</v>
      </c>
      <c r="B10" s="84">
        <f t="shared" si="1"/>
        <v>4.1981521118726333</v>
      </c>
      <c r="C10" s="85">
        <v>50</v>
      </c>
      <c r="D10" s="85">
        <v>30</v>
      </c>
      <c r="E10" s="85">
        <v>4</v>
      </c>
      <c r="F10" s="85">
        <f t="shared" si="2"/>
        <v>4</v>
      </c>
      <c r="G10" s="85">
        <f t="shared" si="3"/>
        <v>8</v>
      </c>
      <c r="H10" s="84">
        <f t="shared" si="4"/>
        <v>5.3479644737231</v>
      </c>
      <c r="I10" s="85">
        <v>15</v>
      </c>
      <c r="J10" s="84">
        <f t="shared" si="5"/>
        <v>6</v>
      </c>
      <c r="K10" s="85">
        <v>8</v>
      </c>
      <c r="L10" s="84">
        <f t="shared" si="6"/>
        <v>1.6747553457946358</v>
      </c>
      <c r="M10" s="86">
        <f t="shared" si="7"/>
        <v>2.72</v>
      </c>
      <c r="N10" s="85">
        <v>6.56</v>
      </c>
      <c r="O10" s="84">
        <f t="shared" si="8"/>
        <v>4.3733333333333331</v>
      </c>
      <c r="P10" s="85">
        <v>5.53</v>
      </c>
      <c r="Q10" s="84">
        <f t="shared" si="9"/>
        <v>1.1075355185225793</v>
      </c>
      <c r="R10" s="85">
        <f t="shared" si="10"/>
        <v>1.1200000000000001</v>
      </c>
      <c r="S10" s="117">
        <v>16.5</v>
      </c>
      <c r="T10" s="118">
        <v>7.71</v>
      </c>
    </row>
    <row r="11" spans="1:20" x14ac:dyDescent="0.25">
      <c r="A11" s="70" t="str">
        <f t="shared" si="0"/>
        <v>RECF  60*40*2</v>
      </c>
      <c r="B11" s="71">
        <f t="shared" si="1"/>
        <v>2.9335380279681584</v>
      </c>
      <c r="C11" s="15">
        <v>60</v>
      </c>
      <c r="D11" s="15">
        <v>40</v>
      </c>
      <c r="E11" s="15">
        <v>2</v>
      </c>
      <c r="F11" s="15">
        <f t="shared" si="2"/>
        <v>2</v>
      </c>
      <c r="G11" s="15">
        <f t="shared" si="3"/>
        <v>4</v>
      </c>
      <c r="H11" s="71">
        <f t="shared" si="4"/>
        <v>3.7369911184307751</v>
      </c>
      <c r="I11" s="15">
        <v>18.399999999999999</v>
      </c>
      <c r="J11" s="71">
        <f t="shared" si="5"/>
        <v>6.1333333333333329</v>
      </c>
      <c r="K11" s="15">
        <v>7.46</v>
      </c>
      <c r="L11" s="71">
        <f t="shared" si="6"/>
        <v>2.2189518514078017</v>
      </c>
      <c r="M11" s="72">
        <f t="shared" si="7"/>
        <v>2.08</v>
      </c>
      <c r="N11" s="15">
        <v>9.81</v>
      </c>
      <c r="O11" s="71">
        <f t="shared" si="8"/>
        <v>4.9050000000000002</v>
      </c>
      <c r="P11" s="15">
        <v>5.65</v>
      </c>
      <c r="Q11" s="71">
        <f t="shared" si="9"/>
        <v>1.6202180676847135</v>
      </c>
      <c r="R11" s="15">
        <f t="shared" si="10"/>
        <v>1.28</v>
      </c>
      <c r="S11" s="112">
        <v>20.7</v>
      </c>
      <c r="T11" s="112">
        <v>8.1199999999999992</v>
      </c>
    </row>
    <row r="12" spans="1:20" x14ac:dyDescent="0.25">
      <c r="A12" s="70" t="str">
        <f t="shared" si="0"/>
        <v>RECF  60*40*2.5</v>
      </c>
      <c r="B12" s="71">
        <f t="shared" si="1"/>
        <v>3.6024031687002478</v>
      </c>
      <c r="C12" s="15">
        <v>60</v>
      </c>
      <c r="D12" s="15">
        <v>40</v>
      </c>
      <c r="E12" s="15">
        <v>2.5</v>
      </c>
      <c r="F12" s="15">
        <f t="shared" si="2"/>
        <v>2.5</v>
      </c>
      <c r="G12" s="15">
        <f t="shared" si="3"/>
        <v>5</v>
      </c>
      <c r="H12" s="71">
        <f t="shared" si="4"/>
        <v>4.589048622548086</v>
      </c>
      <c r="I12" s="15">
        <v>22</v>
      </c>
      <c r="J12" s="71">
        <f t="shared" si="5"/>
        <v>7.333333333333333</v>
      </c>
      <c r="K12" s="15">
        <v>9.0399999999999991</v>
      </c>
      <c r="L12" s="71">
        <f t="shared" si="6"/>
        <v>2.1895255166112539</v>
      </c>
      <c r="M12" s="72">
        <f t="shared" si="7"/>
        <v>2.5</v>
      </c>
      <c r="N12" s="15">
        <v>11.7</v>
      </c>
      <c r="O12" s="71">
        <f t="shared" si="8"/>
        <v>5.85</v>
      </c>
      <c r="P12" s="15">
        <v>6.83</v>
      </c>
      <c r="Q12" s="71">
        <f t="shared" si="9"/>
        <v>1.5967304272158751</v>
      </c>
      <c r="R12" s="15">
        <f t="shared" si="10"/>
        <v>1.5</v>
      </c>
      <c r="S12" s="112">
        <v>25.1</v>
      </c>
      <c r="T12" s="112">
        <v>9.7200000000000006</v>
      </c>
    </row>
    <row r="13" spans="1:20" x14ac:dyDescent="0.25">
      <c r="A13" s="70" t="str">
        <f t="shared" si="0"/>
        <v>RECF  60*40*3</v>
      </c>
      <c r="B13" s="71">
        <f t="shared" si="1"/>
        <v>4.2454605629283577</v>
      </c>
      <c r="C13" s="15">
        <v>60</v>
      </c>
      <c r="D13" s="15">
        <v>40</v>
      </c>
      <c r="E13" s="15">
        <v>3</v>
      </c>
      <c r="F13" s="15">
        <f t="shared" si="2"/>
        <v>3</v>
      </c>
      <c r="G13" s="15">
        <f t="shared" si="3"/>
        <v>6</v>
      </c>
      <c r="H13" s="71">
        <f t="shared" si="4"/>
        <v>5.4082300164692452</v>
      </c>
      <c r="I13" s="15">
        <v>26.3</v>
      </c>
      <c r="J13" s="71">
        <f t="shared" si="5"/>
        <v>8.7666666666666675</v>
      </c>
      <c r="K13" s="15">
        <v>10.5</v>
      </c>
      <c r="L13" s="71">
        <f t="shared" si="6"/>
        <v>2.2052117463043066</v>
      </c>
      <c r="M13" s="72">
        <f t="shared" si="7"/>
        <v>2.88</v>
      </c>
      <c r="N13" s="15">
        <v>13.4</v>
      </c>
      <c r="O13" s="71">
        <f t="shared" si="8"/>
        <v>6.7</v>
      </c>
      <c r="P13" s="15">
        <v>7.92</v>
      </c>
      <c r="Q13" s="71">
        <f t="shared" si="9"/>
        <v>1.5740728279096037</v>
      </c>
      <c r="R13" s="15">
        <f t="shared" si="10"/>
        <v>1.68</v>
      </c>
      <c r="S13" s="112">
        <v>29.3</v>
      </c>
      <c r="T13" s="112">
        <v>11.2</v>
      </c>
    </row>
    <row r="14" spans="1:20" x14ac:dyDescent="0.25">
      <c r="A14" s="70" t="str">
        <f t="shared" si="0"/>
        <v>RECF  60*40*4</v>
      </c>
      <c r="B14" s="71">
        <f t="shared" si="1"/>
        <v>5.4541521118726344</v>
      </c>
      <c r="C14" s="15">
        <v>60</v>
      </c>
      <c r="D14" s="15">
        <v>40</v>
      </c>
      <c r="E14" s="15">
        <v>4</v>
      </c>
      <c r="F14" s="15">
        <f t="shared" si="2"/>
        <v>4</v>
      </c>
      <c r="G14" s="15">
        <f t="shared" si="3"/>
        <v>8</v>
      </c>
      <c r="H14" s="71">
        <f t="shared" si="4"/>
        <v>6.9479644737231006</v>
      </c>
      <c r="I14" s="15">
        <v>30.7</v>
      </c>
      <c r="J14" s="71">
        <f t="shared" si="5"/>
        <v>10.233333333333333</v>
      </c>
      <c r="K14" s="15">
        <v>13.1</v>
      </c>
      <c r="L14" s="71">
        <f t="shared" si="6"/>
        <v>2.1020371789112469</v>
      </c>
      <c r="M14" s="72">
        <f t="shared" si="7"/>
        <v>3.52</v>
      </c>
      <c r="N14" s="15">
        <v>16.100000000000001</v>
      </c>
      <c r="O14" s="71">
        <f t="shared" si="8"/>
        <v>8.0500000000000007</v>
      </c>
      <c r="P14" s="15">
        <v>9.85</v>
      </c>
      <c r="Q14" s="71">
        <f t="shared" si="9"/>
        <v>1.5222435531155292</v>
      </c>
      <c r="R14" s="15">
        <f t="shared" si="10"/>
        <v>1.92</v>
      </c>
      <c r="S14" s="112">
        <v>36.700000000000003</v>
      </c>
      <c r="T14" s="112">
        <v>13.7</v>
      </c>
    </row>
    <row r="15" spans="1:20" x14ac:dyDescent="0.25">
      <c r="A15" s="70" t="str">
        <f t="shared" si="0"/>
        <v>RECF  60*40*5</v>
      </c>
      <c r="B15" s="71">
        <f t="shared" si="1"/>
        <v>6.5596126748009915</v>
      </c>
      <c r="C15" s="15">
        <v>60</v>
      </c>
      <c r="D15" s="15">
        <v>40</v>
      </c>
      <c r="E15" s="15">
        <v>5</v>
      </c>
      <c r="F15" s="15">
        <f t="shared" si="2"/>
        <v>5</v>
      </c>
      <c r="G15" s="15">
        <f t="shared" si="3"/>
        <v>10</v>
      </c>
      <c r="H15" s="71">
        <f t="shared" si="4"/>
        <v>8.3561944901923457</v>
      </c>
      <c r="I15" s="15">
        <v>34.799999999999997</v>
      </c>
      <c r="J15" s="71">
        <f t="shared" si="5"/>
        <v>11.6</v>
      </c>
      <c r="K15" s="15">
        <v>16.3</v>
      </c>
      <c r="L15" s="71">
        <f t="shared" si="6"/>
        <v>2.0407290754247356</v>
      </c>
      <c r="M15" s="72">
        <f t="shared" si="7"/>
        <v>4</v>
      </c>
      <c r="N15" s="15">
        <v>18.100000000000001</v>
      </c>
      <c r="O15" s="71">
        <f t="shared" si="8"/>
        <v>9.0500000000000007</v>
      </c>
      <c r="P15" s="15">
        <v>11.4</v>
      </c>
      <c r="Q15" s="71">
        <f t="shared" si="9"/>
        <v>1.4717532978143939</v>
      </c>
      <c r="R15" s="15">
        <f t="shared" si="10"/>
        <v>2</v>
      </c>
      <c r="S15" s="112">
        <v>42.8</v>
      </c>
      <c r="T15" s="112">
        <v>15.6</v>
      </c>
    </row>
    <row r="16" spans="1:20" x14ac:dyDescent="0.25">
      <c r="A16" s="73" t="str">
        <f t="shared" si="0"/>
        <v>RECF  70*50*2</v>
      </c>
      <c r="B16" s="74">
        <f t="shared" si="1"/>
        <v>3.5615380279681585</v>
      </c>
      <c r="C16" s="75">
        <v>70</v>
      </c>
      <c r="D16" s="75">
        <v>50</v>
      </c>
      <c r="E16" s="75">
        <v>2</v>
      </c>
      <c r="F16" s="75">
        <f t="shared" si="2"/>
        <v>2</v>
      </c>
      <c r="G16" s="75">
        <f t="shared" si="3"/>
        <v>4</v>
      </c>
      <c r="H16" s="74">
        <f t="shared" si="4"/>
        <v>4.536991118430775</v>
      </c>
      <c r="I16" s="75">
        <v>31.4</v>
      </c>
      <c r="J16" s="74">
        <f t="shared" si="5"/>
        <v>8.9714285714285715</v>
      </c>
      <c r="K16" s="75">
        <v>10.8</v>
      </c>
      <c r="L16" s="74">
        <f t="shared" si="6"/>
        <v>2.6307577561767714</v>
      </c>
      <c r="M16" s="76">
        <f t="shared" si="7"/>
        <v>2.48</v>
      </c>
      <c r="N16" s="75">
        <v>18.7</v>
      </c>
      <c r="O16" s="74">
        <f t="shared" si="8"/>
        <v>7.4799999999999995</v>
      </c>
      <c r="P16" s="75">
        <v>8.58</v>
      </c>
      <c r="Q16" s="74">
        <f t="shared" si="9"/>
        <v>2.0301907220382449</v>
      </c>
      <c r="R16" s="75">
        <f t="shared" si="10"/>
        <v>1.68</v>
      </c>
      <c r="S16" s="76">
        <v>37.5</v>
      </c>
      <c r="T16" s="77">
        <v>12.2</v>
      </c>
    </row>
    <row r="17" spans="1:20" x14ac:dyDescent="0.25">
      <c r="A17" s="78" t="str">
        <f t="shared" si="0"/>
        <v>RECF  70*50*2.5</v>
      </c>
      <c r="B17" s="79">
        <f t="shared" si="1"/>
        <v>4.3874031687002484</v>
      </c>
      <c r="C17" s="80">
        <v>70</v>
      </c>
      <c r="D17" s="80">
        <v>50</v>
      </c>
      <c r="E17" s="80">
        <v>2.5</v>
      </c>
      <c r="F17" s="80">
        <f t="shared" si="2"/>
        <v>2.5</v>
      </c>
      <c r="G17" s="80">
        <f t="shared" si="3"/>
        <v>5</v>
      </c>
      <c r="H17" s="79">
        <f t="shared" si="4"/>
        <v>5.5890486225480869</v>
      </c>
      <c r="I17" s="80">
        <v>37.9</v>
      </c>
      <c r="J17" s="79">
        <f t="shared" si="5"/>
        <v>10.828571428571427</v>
      </c>
      <c r="K17" s="80">
        <v>13.2</v>
      </c>
      <c r="L17" s="79">
        <f t="shared" si="6"/>
        <v>2.6040580483112303</v>
      </c>
      <c r="M17" s="81">
        <f t="shared" si="7"/>
        <v>3</v>
      </c>
      <c r="N17" s="80">
        <v>22.5</v>
      </c>
      <c r="O17" s="79">
        <f t="shared" si="8"/>
        <v>9</v>
      </c>
      <c r="P17" s="80">
        <v>10.4</v>
      </c>
      <c r="Q17" s="79">
        <f t="shared" si="9"/>
        <v>2.0064221571598821</v>
      </c>
      <c r="R17" s="80">
        <f t="shared" si="10"/>
        <v>2</v>
      </c>
      <c r="S17" s="81">
        <v>45.8</v>
      </c>
      <c r="T17" s="82">
        <v>14.7</v>
      </c>
    </row>
    <row r="18" spans="1:20" x14ac:dyDescent="0.25">
      <c r="A18" s="78" t="str">
        <f t="shared" si="0"/>
        <v>RECF  70*50*3</v>
      </c>
      <c r="B18" s="79">
        <f t="shared" si="1"/>
        <v>5.187460562928357</v>
      </c>
      <c r="C18" s="80">
        <v>70</v>
      </c>
      <c r="D18" s="80">
        <v>50</v>
      </c>
      <c r="E18" s="80">
        <v>3</v>
      </c>
      <c r="F18" s="80">
        <f t="shared" si="2"/>
        <v>3</v>
      </c>
      <c r="G18" s="80">
        <f t="shared" si="3"/>
        <v>6</v>
      </c>
      <c r="H18" s="79">
        <f t="shared" si="4"/>
        <v>6.6082300164692445</v>
      </c>
      <c r="I18" s="80">
        <v>43.9</v>
      </c>
      <c r="J18" s="79">
        <f t="shared" si="5"/>
        <v>12.542857142857143</v>
      </c>
      <c r="K18" s="80">
        <v>15.4</v>
      </c>
      <c r="L18" s="79">
        <f t="shared" si="6"/>
        <v>2.5774466487025709</v>
      </c>
      <c r="M18" s="81">
        <f t="shared" si="7"/>
        <v>3.48</v>
      </c>
      <c r="N18" s="80">
        <v>26</v>
      </c>
      <c r="O18" s="79">
        <f t="shared" si="8"/>
        <v>10.4</v>
      </c>
      <c r="P18" s="80">
        <v>12.2</v>
      </c>
      <c r="Q18" s="79">
        <f t="shared" si="9"/>
        <v>1.9835543205538759</v>
      </c>
      <c r="R18" s="80">
        <f t="shared" si="10"/>
        <v>2.2800000000000002</v>
      </c>
      <c r="S18" s="81">
        <v>53.6</v>
      </c>
      <c r="T18" s="82">
        <v>17.100000000000001</v>
      </c>
    </row>
    <row r="19" spans="1:20" x14ac:dyDescent="0.25">
      <c r="A19" s="78" t="str">
        <f t="shared" si="0"/>
        <v>RECF  70*50*4</v>
      </c>
      <c r="B19" s="79">
        <f t="shared" si="1"/>
        <v>6.7101521118726337</v>
      </c>
      <c r="C19" s="80">
        <v>70</v>
      </c>
      <c r="D19" s="80">
        <v>50</v>
      </c>
      <c r="E19" s="80">
        <v>4</v>
      </c>
      <c r="F19" s="80">
        <f t="shared" si="2"/>
        <v>4</v>
      </c>
      <c r="G19" s="80">
        <f t="shared" si="3"/>
        <v>8</v>
      </c>
      <c r="H19" s="79">
        <f t="shared" si="4"/>
        <v>8.5479644737231002</v>
      </c>
      <c r="I19" s="80">
        <v>54.3</v>
      </c>
      <c r="J19" s="79">
        <f t="shared" si="5"/>
        <v>15.514285714285714</v>
      </c>
      <c r="K19" s="80">
        <v>19.399999999999999</v>
      </c>
      <c r="L19" s="79">
        <f t="shared" si="6"/>
        <v>2.5203947165066305</v>
      </c>
      <c r="M19" s="81">
        <f t="shared" si="7"/>
        <v>4.32</v>
      </c>
      <c r="N19" s="80">
        <v>32</v>
      </c>
      <c r="O19" s="79">
        <f t="shared" si="8"/>
        <v>12.8</v>
      </c>
      <c r="P19" s="80">
        <v>15.4</v>
      </c>
      <c r="Q19" s="79">
        <f t="shared" si="9"/>
        <v>1.9348336634043821</v>
      </c>
      <c r="R19" s="80">
        <f t="shared" si="10"/>
        <v>2.72</v>
      </c>
      <c r="S19" s="81">
        <v>68.099999999999994</v>
      </c>
      <c r="T19" s="82">
        <v>21.2</v>
      </c>
    </row>
    <row r="20" spans="1:20" x14ac:dyDescent="0.25">
      <c r="A20" s="83" t="str">
        <f t="shared" si="0"/>
        <v>RECF  70*50*5</v>
      </c>
      <c r="B20" s="84">
        <f t="shared" si="1"/>
        <v>8.1296126748009918</v>
      </c>
      <c r="C20" s="85">
        <v>70</v>
      </c>
      <c r="D20" s="85">
        <v>50</v>
      </c>
      <c r="E20" s="85">
        <v>5</v>
      </c>
      <c r="F20" s="85">
        <f t="shared" si="2"/>
        <v>5</v>
      </c>
      <c r="G20" s="85">
        <f t="shared" si="3"/>
        <v>10</v>
      </c>
      <c r="H20" s="84">
        <f t="shared" si="4"/>
        <v>10.356194490192346</v>
      </c>
      <c r="I20" s="85">
        <v>62.8</v>
      </c>
      <c r="J20" s="84">
        <f t="shared" si="5"/>
        <v>17.942857142857143</v>
      </c>
      <c r="K20" s="85">
        <v>23</v>
      </c>
      <c r="L20" s="84">
        <f t="shared" si="6"/>
        <v>2.4625197532658714</v>
      </c>
      <c r="M20" s="86">
        <f t="shared" si="7"/>
        <v>5</v>
      </c>
      <c r="N20" s="85">
        <v>36.799999999999997</v>
      </c>
      <c r="O20" s="84">
        <f t="shared" si="8"/>
        <v>14.719999999999999</v>
      </c>
      <c r="P20" s="85">
        <v>18.100000000000001</v>
      </c>
      <c r="Q20" s="84">
        <f t="shared" si="9"/>
        <v>1.8850540637310493</v>
      </c>
      <c r="R20" s="85">
        <f t="shared" si="10"/>
        <v>3</v>
      </c>
      <c r="S20" s="86">
        <v>80.8</v>
      </c>
      <c r="T20" s="87">
        <v>24.6</v>
      </c>
    </row>
    <row r="21" spans="1:20" x14ac:dyDescent="0.25">
      <c r="A21" s="70" t="str">
        <f t="shared" si="0"/>
        <v>RECF  80*40*2</v>
      </c>
      <c r="B21" s="71">
        <f t="shared" si="1"/>
        <v>3.5615380279681585</v>
      </c>
      <c r="C21" s="15">
        <v>80</v>
      </c>
      <c r="D21" s="15">
        <v>40</v>
      </c>
      <c r="E21" s="15">
        <v>2</v>
      </c>
      <c r="F21" s="15">
        <f t="shared" si="2"/>
        <v>2</v>
      </c>
      <c r="G21" s="15">
        <f t="shared" si="3"/>
        <v>4</v>
      </c>
      <c r="H21" s="71">
        <f t="shared" si="4"/>
        <v>4.536991118430775</v>
      </c>
      <c r="I21" s="15">
        <v>37.299999999999997</v>
      </c>
      <c r="J21" s="71">
        <f t="shared" si="5"/>
        <v>9.3249999999999993</v>
      </c>
      <c r="K21" s="15">
        <v>11.6</v>
      </c>
      <c r="L21" s="71">
        <f t="shared" si="6"/>
        <v>2.8672822840278687</v>
      </c>
      <c r="M21" s="72">
        <f t="shared" si="7"/>
        <v>2.88</v>
      </c>
      <c r="N21" s="15">
        <v>12.7</v>
      </c>
      <c r="O21" s="71">
        <f t="shared" si="8"/>
        <v>6.35</v>
      </c>
      <c r="P21" s="15">
        <v>7.17</v>
      </c>
      <c r="Q21" s="71">
        <f t="shared" si="9"/>
        <v>1.6730845776092949</v>
      </c>
      <c r="R21" s="15">
        <f t="shared" si="10"/>
        <v>1.28</v>
      </c>
      <c r="S21" s="72">
        <v>30.9</v>
      </c>
      <c r="T21" s="15">
        <v>11</v>
      </c>
    </row>
    <row r="22" spans="1:20" x14ac:dyDescent="0.25">
      <c r="A22" s="70" t="str">
        <f t="shared" si="0"/>
        <v>RECF  80*40*2.5</v>
      </c>
      <c r="B22" s="71">
        <f t="shared" si="1"/>
        <v>4.3874031687002484</v>
      </c>
      <c r="C22" s="15">
        <v>80</v>
      </c>
      <c r="D22" s="15">
        <v>40</v>
      </c>
      <c r="E22" s="15">
        <v>2.5</v>
      </c>
      <c r="F22" s="15">
        <f t="shared" si="2"/>
        <v>2.5</v>
      </c>
      <c r="G22" s="15">
        <f t="shared" si="3"/>
        <v>5</v>
      </c>
      <c r="H22" s="71">
        <f t="shared" si="4"/>
        <v>5.5890486225480869</v>
      </c>
      <c r="I22" s="15">
        <v>45</v>
      </c>
      <c r="J22" s="71">
        <f t="shared" si="5"/>
        <v>11.25</v>
      </c>
      <c r="K22" s="15">
        <v>14.1</v>
      </c>
      <c r="L22" s="71">
        <f t="shared" si="6"/>
        <v>2.8375094265013865</v>
      </c>
      <c r="M22" s="72">
        <f t="shared" si="7"/>
        <v>3.5</v>
      </c>
      <c r="N22" s="15">
        <v>15.2</v>
      </c>
      <c r="O22" s="71">
        <f t="shared" si="8"/>
        <v>7.6</v>
      </c>
      <c r="P22" s="15">
        <v>8.6999999999999993</v>
      </c>
      <c r="Q22" s="71">
        <f t="shared" si="9"/>
        <v>1.6491222455284797</v>
      </c>
      <c r="R22" s="15">
        <f t="shared" si="10"/>
        <v>1.5</v>
      </c>
      <c r="S22" s="72">
        <v>37.6</v>
      </c>
      <c r="T22" s="15">
        <v>13.2</v>
      </c>
    </row>
    <row r="23" spans="1:20" x14ac:dyDescent="0.25">
      <c r="A23" s="70" t="str">
        <f t="shared" si="0"/>
        <v>RECF  80*40*3</v>
      </c>
      <c r="B23" s="71">
        <f t="shared" si="1"/>
        <v>5.187460562928357</v>
      </c>
      <c r="C23" s="15">
        <v>80</v>
      </c>
      <c r="D23" s="15">
        <v>40</v>
      </c>
      <c r="E23" s="15">
        <v>3</v>
      </c>
      <c r="F23" s="15">
        <f t="shared" si="2"/>
        <v>3</v>
      </c>
      <c r="G23" s="15">
        <f t="shared" si="3"/>
        <v>6</v>
      </c>
      <c r="H23" s="71">
        <f t="shared" si="4"/>
        <v>6.6082300164692445</v>
      </c>
      <c r="I23" s="15">
        <v>52.1</v>
      </c>
      <c r="J23" s="71">
        <f t="shared" si="5"/>
        <v>13.025</v>
      </c>
      <c r="K23" s="15">
        <v>16.5</v>
      </c>
      <c r="L23" s="71">
        <f t="shared" si="6"/>
        <v>2.8078654045982505</v>
      </c>
      <c r="M23" s="72">
        <f t="shared" si="7"/>
        <v>4.08</v>
      </c>
      <c r="N23" s="15">
        <v>17.5</v>
      </c>
      <c r="O23" s="71">
        <f t="shared" si="8"/>
        <v>8.75</v>
      </c>
      <c r="P23" s="15">
        <v>10.1</v>
      </c>
      <c r="Q23" s="71">
        <f t="shared" si="9"/>
        <v>1.6273330647611648</v>
      </c>
      <c r="R23" s="15">
        <f t="shared" si="10"/>
        <v>1.68</v>
      </c>
      <c r="S23" s="72">
        <v>43.9</v>
      </c>
      <c r="T23" s="15">
        <v>15.3</v>
      </c>
    </row>
    <row r="24" spans="1:20" x14ac:dyDescent="0.25">
      <c r="A24" s="70" t="str">
        <f t="shared" si="0"/>
        <v>RECF  80*40*4</v>
      </c>
      <c r="B24" s="71">
        <f t="shared" si="1"/>
        <v>6.7101521118726337</v>
      </c>
      <c r="C24" s="15">
        <v>80</v>
      </c>
      <c r="D24" s="15">
        <v>40</v>
      </c>
      <c r="E24" s="15">
        <v>4</v>
      </c>
      <c r="F24" s="15">
        <f t="shared" si="2"/>
        <v>4</v>
      </c>
      <c r="G24" s="15">
        <f t="shared" si="3"/>
        <v>8</v>
      </c>
      <c r="H24" s="71">
        <f t="shared" si="4"/>
        <v>8.5479644737231002</v>
      </c>
      <c r="I24" s="15">
        <v>64.400000000000006</v>
      </c>
      <c r="J24" s="71">
        <f t="shared" si="5"/>
        <v>16.100000000000001</v>
      </c>
      <c r="K24" s="15">
        <v>20.9</v>
      </c>
      <c r="L24" s="71">
        <f t="shared" si="6"/>
        <v>2.7448055261527506</v>
      </c>
      <c r="M24" s="72">
        <f t="shared" si="7"/>
        <v>5.12</v>
      </c>
      <c r="N24" s="15">
        <v>21.3</v>
      </c>
      <c r="O24" s="71">
        <f t="shared" si="8"/>
        <v>10.65</v>
      </c>
      <c r="P24" s="15">
        <v>12.7</v>
      </c>
      <c r="Q24" s="71">
        <f t="shared" si="9"/>
        <v>1.5785503812577943</v>
      </c>
      <c r="R24" s="15">
        <f t="shared" si="10"/>
        <v>1.92</v>
      </c>
      <c r="S24" s="72">
        <v>55.2</v>
      </c>
      <c r="T24" s="15">
        <v>18.8</v>
      </c>
    </row>
    <row r="25" spans="1:20" x14ac:dyDescent="0.25">
      <c r="A25" s="70" t="str">
        <f t="shared" si="0"/>
        <v>RECF  80*40*5</v>
      </c>
      <c r="B25" s="71">
        <f t="shared" si="1"/>
        <v>8.1296126748009918</v>
      </c>
      <c r="C25" s="15">
        <v>80</v>
      </c>
      <c r="D25" s="15">
        <v>40</v>
      </c>
      <c r="E25" s="15">
        <v>5</v>
      </c>
      <c r="F25" s="15">
        <f t="shared" si="2"/>
        <v>5</v>
      </c>
      <c r="G25" s="15">
        <f t="shared" si="3"/>
        <v>10</v>
      </c>
      <c r="H25" s="71">
        <f t="shared" si="4"/>
        <v>10.356194490192346</v>
      </c>
      <c r="I25" s="15">
        <v>74.400000000000006</v>
      </c>
      <c r="J25" s="71">
        <f t="shared" si="5"/>
        <v>18.600000000000001</v>
      </c>
      <c r="K25" s="15">
        <v>24.6</v>
      </c>
      <c r="L25" s="71">
        <f t="shared" si="6"/>
        <v>2.6803182831626371</v>
      </c>
      <c r="M25" s="72">
        <f t="shared" si="7"/>
        <v>6</v>
      </c>
      <c r="N25" s="15">
        <v>24.2</v>
      </c>
      <c r="O25" s="71">
        <f t="shared" si="8"/>
        <v>12.1</v>
      </c>
      <c r="P25" s="15">
        <v>14.9</v>
      </c>
      <c r="Q25" s="71">
        <f t="shared" si="9"/>
        <v>1.528648322378342</v>
      </c>
      <c r="R25" s="15">
        <f t="shared" si="10"/>
        <v>2</v>
      </c>
      <c r="S25" s="72">
        <v>65</v>
      </c>
      <c r="T25" s="15">
        <v>21.7</v>
      </c>
    </row>
    <row r="26" spans="1:20" x14ac:dyDescent="0.25">
      <c r="A26" s="73" t="str">
        <f t="shared" si="0"/>
        <v>RECF  80*60*2</v>
      </c>
      <c r="B26" s="74">
        <f t="shared" si="1"/>
        <v>4.1895380279681582</v>
      </c>
      <c r="C26" s="75">
        <v>80</v>
      </c>
      <c r="D26" s="75">
        <v>60</v>
      </c>
      <c r="E26" s="75">
        <v>2</v>
      </c>
      <c r="F26" s="75">
        <f t="shared" si="2"/>
        <v>2</v>
      </c>
      <c r="G26" s="75">
        <f t="shared" si="3"/>
        <v>4</v>
      </c>
      <c r="H26" s="74">
        <f t="shared" si="4"/>
        <v>5.3369911184307748</v>
      </c>
      <c r="I26" s="75">
        <v>49.5</v>
      </c>
      <c r="J26" s="74">
        <f t="shared" si="5"/>
        <v>12.375</v>
      </c>
      <c r="K26" s="75">
        <v>14.7</v>
      </c>
      <c r="L26" s="74">
        <f t="shared" si="6"/>
        <v>3.0454702361473793</v>
      </c>
      <c r="M26" s="76">
        <f t="shared" si="7"/>
        <v>2.88</v>
      </c>
      <c r="N26" s="75">
        <v>31.8</v>
      </c>
      <c r="O26" s="74">
        <f t="shared" si="8"/>
        <v>10.6</v>
      </c>
      <c r="P26" s="75">
        <v>12.1</v>
      </c>
      <c r="Q26" s="74">
        <f t="shared" si="9"/>
        <v>2.4409861763683347</v>
      </c>
      <c r="R26" s="75">
        <f t="shared" si="10"/>
        <v>2.08</v>
      </c>
      <c r="S26" s="76">
        <v>61.2</v>
      </c>
      <c r="T26" s="77">
        <v>17.100000000000001</v>
      </c>
    </row>
    <row r="27" spans="1:20" x14ac:dyDescent="0.25">
      <c r="A27" s="78" t="str">
        <f t="shared" si="0"/>
        <v>RECF  80*60*2.5</v>
      </c>
      <c r="B27" s="79">
        <f t="shared" si="1"/>
        <v>5.1724031687002485</v>
      </c>
      <c r="C27" s="80">
        <v>80</v>
      </c>
      <c r="D27" s="80">
        <v>60</v>
      </c>
      <c r="E27" s="80">
        <v>2.5</v>
      </c>
      <c r="F27" s="80">
        <f t="shared" si="2"/>
        <v>2.5</v>
      </c>
      <c r="G27" s="80">
        <f t="shared" si="3"/>
        <v>5</v>
      </c>
      <c r="H27" s="79">
        <f t="shared" si="4"/>
        <v>6.5890486225480869</v>
      </c>
      <c r="I27" s="80">
        <v>60</v>
      </c>
      <c r="J27" s="79">
        <f t="shared" si="5"/>
        <v>15</v>
      </c>
      <c r="K27" s="80">
        <v>18</v>
      </c>
      <c r="L27" s="79">
        <f t="shared" si="6"/>
        <v>3.0176180514156234</v>
      </c>
      <c r="M27" s="81">
        <f t="shared" si="7"/>
        <v>3.5</v>
      </c>
      <c r="N27" s="80">
        <v>38.5</v>
      </c>
      <c r="O27" s="79">
        <f t="shared" si="8"/>
        <v>12.833333333333334</v>
      </c>
      <c r="P27" s="80">
        <v>14.8</v>
      </c>
      <c r="Q27" s="79">
        <f t="shared" si="9"/>
        <v>2.4172357494764993</v>
      </c>
      <c r="R27" s="80">
        <f t="shared" si="10"/>
        <v>2.5</v>
      </c>
      <c r="S27" s="81">
        <v>75.099999999999994</v>
      </c>
      <c r="T27" s="82">
        <v>20.7</v>
      </c>
    </row>
    <row r="28" spans="1:20" x14ac:dyDescent="0.25">
      <c r="A28" s="78" t="str">
        <f t="shared" si="0"/>
        <v>RECF  80*60*3</v>
      </c>
      <c r="B28" s="79">
        <f t="shared" si="1"/>
        <v>6.1294605629283572</v>
      </c>
      <c r="C28" s="80">
        <v>80</v>
      </c>
      <c r="D28" s="80">
        <v>60</v>
      </c>
      <c r="E28" s="80">
        <v>3</v>
      </c>
      <c r="F28" s="80">
        <f t="shared" si="2"/>
        <v>3</v>
      </c>
      <c r="G28" s="80">
        <f t="shared" si="3"/>
        <v>6</v>
      </c>
      <c r="H28" s="79">
        <f t="shared" si="4"/>
        <v>7.8082300164692446</v>
      </c>
      <c r="I28" s="80">
        <v>69.900000000000006</v>
      </c>
      <c r="J28" s="79">
        <f t="shared" si="5"/>
        <v>17.475000000000001</v>
      </c>
      <c r="K28" s="80">
        <v>21.1</v>
      </c>
      <c r="L28" s="79">
        <f t="shared" si="6"/>
        <v>2.9920048190117288</v>
      </c>
      <c r="M28" s="81">
        <f t="shared" si="7"/>
        <v>4.08</v>
      </c>
      <c r="N28" s="80">
        <v>44.8</v>
      </c>
      <c r="O28" s="79">
        <f t="shared" si="8"/>
        <v>14.933333333333332</v>
      </c>
      <c r="P28" s="80">
        <v>17.399999999999999</v>
      </c>
      <c r="Q28" s="79">
        <f t="shared" si="9"/>
        <v>2.3953154062719939</v>
      </c>
      <c r="R28" s="80">
        <f t="shared" si="10"/>
        <v>2.88</v>
      </c>
      <c r="S28" s="81">
        <v>88.3</v>
      </c>
      <c r="T28" s="82">
        <v>24.1</v>
      </c>
    </row>
    <row r="29" spans="1:20" x14ac:dyDescent="0.25">
      <c r="A29" s="78" t="str">
        <f t="shared" si="0"/>
        <v>RECF  80*60*4</v>
      </c>
      <c r="B29" s="79">
        <f t="shared" si="1"/>
        <v>7.9661521118726339</v>
      </c>
      <c r="C29" s="80">
        <v>80</v>
      </c>
      <c r="D29" s="80">
        <v>60</v>
      </c>
      <c r="E29" s="80">
        <v>4</v>
      </c>
      <c r="F29" s="80">
        <f t="shared" si="2"/>
        <v>4</v>
      </c>
      <c r="G29" s="80">
        <f t="shared" si="3"/>
        <v>8</v>
      </c>
      <c r="H29" s="79">
        <f t="shared" si="4"/>
        <v>10.1479644737231</v>
      </c>
      <c r="I29" s="80">
        <v>87.5</v>
      </c>
      <c r="J29" s="79">
        <f t="shared" si="5"/>
        <v>21.875</v>
      </c>
      <c r="K29" s="80">
        <v>26.9</v>
      </c>
      <c r="L29" s="79">
        <f t="shared" si="6"/>
        <v>2.9363955512682525</v>
      </c>
      <c r="M29" s="81">
        <f t="shared" si="7"/>
        <v>5.12</v>
      </c>
      <c r="N29" s="80">
        <v>55.8</v>
      </c>
      <c r="O29" s="79">
        <f t="shared" si="8"/>
        <v>18.599999999999998</v>
      </c>
      <c r="P29" s="80">
        <v>22.1</v>
      </c>
      <c r="Q29" s="79">
        <f t="shared" si="9"/>
        <v>2.3449178381214018</v>
      </c>
      <c r="R29" s="80">
        <f t="shared" si="10"/>
        <v>3.52</v>
      </c>
      <c r="S29" s="81">
        <v>113</v>
      </c>
      <c r="T29" s="82">
        <v>30.3</v>
      </c>
    </row>
    <row r="30" spans="1:20" x14ac:dyDescent="0.25">
      <c r="A30" s="83" t="str">
        <f t="shared" si="0"/>
        <v>RECF  80*60*5</v>
      </c>
      <c r="B30" s="84">
        <f t="shared" si="1"/>
        <v>9.6996126748009921</v>
      </c>
      <c r="C30" s="85">
        <v>80</v>
      </c>
      <c r="D30" s="85">
        <v>60</v>
      </c>
      <c r="E30" s="85">
        <v>5</v>
      </c>
      <c r="F30" s="85">
        <f t="shared" si="2"/>
        <v>5</v>
      </c>
      <c r="G30" s="85">
        <f t="shared" si="3"/>
        <v>10</v>
      </c>
      <c r="H30" s="84">
        <f t="shared" si="4"/>
        <v>12.356194490192346</v>
      </c>
      <c r="I30" s="85">
        <v>103</v>
      </c>
      <c r="J30" s="84">
        <f t="shared" si="5"/>
        <v>25.75</v>
      </c>
      <c r="K30" s="85">
        <v>32.1</v>
      </c>
      <c r="L30" s="84">
        <f t="shared" si="6"/>
        <v>2.8871958482928468</v>
      </c>
      <c r="M30" s="86">
        <f t="shared" si="7"/>
        <v>6</v>
      </c>
      <c r="N30" s="85">
        <v>65.099999999999994</v>
      </c>
      <c r="O30" s="84">
        <f t="shared" si="8"/>
        <v>21.7</v>
      </c>
      <c r="P30" s="85">
        <v>26.3</v>
      </c>
      <c r="Q30" s="84">
        <f t="shared" si="9"/>
        <v>2.2953458214027593</v>
      </c>
      <c r="R30" s="85">
        <f t="shared" si="10"/>
        <v>4</v>
      </c>
      <c r="S30" s="86">
        <v>136</v>
      </c>
      <c r="T30" s="87">
        <v>35.700000000000003</v>
      </c>
    </row>
    <row r="31" spans="1:20" x14ac:dyDescent="0.25">
      <c r="A31" s="70" t="str">
        <f t="shared" si="0"/>
        <v>RECF  90*50*2</v>
      </c>
      <c r="B31" s="71">
        <f t="shared" si="1"/>
        <v>4.1895380279681582</v>
      </c>
      <c r="C31" s="15">
        <v>90</v>
      </c>
      <c r="D31" s="15">
        <v>50</v>
      </c>
      <c r="E31" s="15">
        <v>2</v>
      </c>
      <c r="F31" s="15">
        <f t="shared" si="2"/>
        <v>2</v>
      </c>
      <c r="G31" s="15">
        <f t="shared" si="3"/>
        <v>4</v>
      </c>
      <c r="H31" s="71">
        <f t="shared" si="4"/>
        <v>5.3369911184307748</v>
      </c>
      <c r="I31" s="15">
        <v>57.8</v>
      </c>
      <c r="J31" s="71">
        <f t="shared" si="5"/>
        <v>12.844444444444443</v>
      </c>
      <c r="K31" s="15">
        <v>15.7</v>
      </c>
      <c r="L31" s="71">
        <f t="shared" si="6"/>
        <v>3.2909075284044613</v>
      </c>
      <c r="M31" s="72">
        <f t="shared" si="7"/>
        <v>3.2800000000000002</v>
      </c>
      <c r="N31" s="15">
        <v>23.3</v>
      </c>
      <c r="O31" s="71">
        <f t="shared" si="8"/>
        <v>9.32</v>
      </c>
      <c r="P31" s="15">
        <v>10.5</v>
      </c>
      <c r="Q31" s="71">
        <f t="shared" si="9"/>
        <v>2.0894391144865709</v>
      </c>
      <c r="R31" s="15">
        <f t="shared" si="10"/>
        <v>1.68</v>
      </c>
      <c r="S31" s="72">
        <v>53.4</v>
      </c>
      <c r="T31" s="15">
        <v>15.9</v>
      </c>
    </row>
    <row r="32" spans="1:20" x14ac:dyDescent="0.25">
      <c r="A32" s="70" t="str">
        <f t="shared" si="0"/>
        <v>RECF  90*50*2.5</v>
      </c>
      <c r="B32" s="71">
        <f t="shared" si="1"/>
        <v>5.1724031687002485</v>
      </c>
      <c r="C32" s="15">
        <v>90</v>
      </c>
      <c r="D32" s="15">
        <v>50</v>
      </c>
      <c r="E32" s="15">
        <v>2.5</v>
      </c>
      <c r="F32" s="15">
        <f t="shared" si="2"/>
        <v>2.5</v>
      </c>
      <c r="G32" s="15">
        <f t="shared" si="3"/>
        <v>5</v>
      </c>
      <c r="H32" s="71">
        <f t="shared" si="4"/>
        <v>6.5890486225480869</v>
      </c>
      <c r="I32" s="15">
        <v>70.2</v>
      </c>
      <c r="J32" s="71">
        <f t="shared" si="5"/>
        <v>15.600000000000001</v>
      </c>
      <c r="K32" s="15">
        <v>19.2</v>
      </c>
      <c r="L32" s="71">
        <f t="shared" si="6"/>
        <v>3.2640529842434276</v>
      </c>
      <c r="M32" s="72">
        <f t="shared" si="7"/>
        <v>4</v>
      </c>
      <c r="N32" s="15">
        <v>28.2</v>
      </c>
      <c r="O32" s="71">
        <f t="shared" si="8"/>
        <v>11.28</v>
      </c>
      <c r="P32" s="15">
        <v>12.8</v>
      </c>
      <c r="Q32" s="71">
        <f t="shared" si="9"/>
        <v>2.0687747076440752</v>
      </c>
      <c r="R32" s="15">
        <f t="shared" si="10"/>
        <v>2</v>
      </c>
      <c r="S32" s="72">
        <v>65.3</v>
      </c>
      <c r="T32" s="15">
        <v>19.2</v>
      </c>
    </row>
    <row r="33" spans="1:20" x14ac:dyDescent="0.25">
      <c r="A33" s="70" t="str">
        <f t="shared" si="0"/>
        <v>RECF  90*50*3</v>
      </c>
      <c r="B33" s="71">
        <f t="shared" si="1"/>
        <v>6.1294605629283572</v>
      </c>
      <c r="C33" s="15">
        <v>90</v>
      </c>
      <c r="D33" s="15">
        <v>50</v>
      </c>
      <c r="E33" s="15">
        <v>3</v>
      </c>
      <c r="F33" s="15">
        <f t="shared" si="2"/>
        <v>3</v>
      </c>
      <c r="G33" s="15">
        <f t="shared" si="3"/>
        <v>6</v>
      </c>
      <c r="H33" s="71">
        <f t="shared" si="4"/>
        <v>7.8082300164692446</v>
      </c>
      <c r="I33" s="15">
        <v>81.7</v>
      </c>
      <c r="J33" s="71">
        <f t="shared" si="5"/>
        <v>18.155555555555555</v>
      </c>
      <c r="K33" s="15">
        <v>22.6</v>
      </c>
      <c r="L33" s="71">
        <f t="shared" si="6"/>
        <v>3.2347053667175265</v>
      </c>
      <c r="M33" s="72">
        <f t="shared" si="7"/>
        <v>4.68</v>
      </c>
      <c r="N33" s="15">
        <v>32.6</v>
      </c>
      <c r="O33" s="71">
        <f t="shared" si="8"/>
        <v>13.040000000000001</v>
      </c>
      <c r="P33" s="15">
        <v>15</v>
      </c>
      <c r="Q33" s="71">
        <f t="shared" si="9"/>
        <v>2.0433017212284219</v>
      </c>
      <c r="R33" s="15">
        <f t="shared" si="10"/>
        <v>2.2800000000000002</v>
      </c>
      <c r="S33" s="72">
        <v>76.7</v>
      </c>
      <c r="T33" s="15">
        <v>22.4</v>
      </c>
    </row>
    <row r="34" spans="1:20" x14ac:dyDescent="0.25">
      <c r="A34" s="70" t="str">
        <f t="shared" si="0"/>
        <v>RECF  90*50*4</v>
      </c>
      <c r="B34" s="71">
        <f t="shared" si="1"/>
        <v>7.9661521118726339</v>
      </c>
      <c r="C34" s="15">
        <v>90</v>
      </c>
      <c r="D34" s="15">
        <v>50</v>
      </c>
      <c r="E34" s="15">
        <v>4</v>
      </c>
      <c r="F34" s="15">
        <f t="shared" si="2"/>
        <v>4</v>
      </c>
      <c r="G34" s="15">
        <f t="shared" si="3"/>
        <v>8</v>
      </c>
      <c r="H34" s="71">
        <f t="shared" si="4"/>
        <v>10.1479644737231</v>
      </c>
      <c r="I34" s="15">
        <v>102</v>
      </c>
      <c r="J34" s="71">
        <f t="shared" si="5"/>
        <v>22.666666666666668</v>
      </c>
      <c r="K34" s="15">
        <v>28.8</v>
      </c>
      <c r="L34" s="71">
        <f t="shared" si="6"/>
        <v>3.1703748692594957</v>
      </c>
      <c r="M34" s="72">
        <f t="shared" si="7"/>
        <v>5.92</v>
      </c>
      <c r="N34" s="15">
        <v>40.5</v>
      </c>
      <c r="O34" s="71">
        <f t="shared" si="8"/>
        <v>16.2</v>
      </c>
      <c r="P34" s="15">
        <v>19</v>
      </c>
      <c r="Q34" s="71">
        <f t="shared" si="9"/>
        <v>1.9977357547471397</v>
      </c>
      <c r="R34" s="15">
        <f t="shared" si="10"/>
        <v>2.72</v>
      </c>
      <c r="S34" s="72">
        <v>97.7</v>
      </c>
      <c r="T34" s="15">
        <v>28</v>
      </c>
    </row>
    <row r="35" spans="1:20" x14ac:dyDescent="0.25">
      <c r="A35" s="70" t="str">
        <f t="shared" si="0"/>
        <v>RECF  90*50*5</v>
      </c>
      <c r="B35" s="71">
        <f t="shared" si="1"/>
        <v>9.6996126748009921</v>
      </c>
      <c r="C35" s="15">
        <v>90</v>
      </c>
      <c r="D35" s="15">
        <v>50</v>
      </c>
      <c r="E35" s="15">
        <v>5</v>
      </c>
      <c r="F35" s="15">
        <f t="shared" si="2"/>
        <v>5</v>
      </c>
      <c r="G35" s="15">
        <f t="shared" si="3"/>
        <v>10</v>
      </c>
      <c r="H35" s="71">
        <f t="shared" si="4"/>
        <v>12.356194490192346</v>
      </c>
      <c r="I35" s="15">
        <v>120</v>
      </c>
      <c r="J35" s="71">
        <f t="shared" si="5"/>
        <v>26.666666666666668</v>
      </c>
      <c r="K35" s="15">
        <v>34.299999999999997</v>
      </c>
      <c r="L35" s="71">
        <f t="shared" si="6"/>
        <v>3.1163645485868114</v>
      </c>
      <c r="M35" s="72">
        <f t="shared" si="7"/>
        <v>7</v>
      </c>
      <c r="N35" s="15">
        <v>46.9</v>
      </c>
      <c r="O35" s="71">
        <f t="shared" si="8"/>
        <v>18.759999999999998</v>
      </c>
      <c r="P35" s="15">
        <v>22.6</v>
      </c>
      <c r="Q35" s="71">
        <f t="shared" si="9"/>
        <v>1.9482471677241038</v>
      </c>
      <c r="R35" s="15">
        <f t="shared" si="10"/>
        <v>3</v>
      </c>
      <c r="S35" s="72">
        <v>116</v>
      </c>
      <c r="T35" s="15">
        <v>32.700000000000003</v>
      </c>
    </row>
    <row r="36" spans="1:20" x14ac:dyDescent="0.25">
      <c r="A36" s="73" t="str">
        <f t="shared" si="0"/>
        <v>RECF  100*40*2.5</v>
      </c>
      <c r="B36" s="74">
        <f t="shared" si="1"/>
        <v>5.1724031687002485</v>
      </c>
      <c r="C36" s="75">
        <v>100</v>
      </c>
      <c r="D36" s="75">
        <v>40</v>
      </c>
      <c r="E36" s="75">
        <v>2.5</v>
      </c>
      <c r="F36" s="75">
        <f t="shared" si="2"/>
        <v>2.5</v>
      </c>
      <c r="G36" s="75">
        <f t="shared" si="3"/>
        <v>5</v>
      </c>
      <c r="H36" s="74">
        <f t="shared" si="4"/>
        <v>6.5890486225480869</v>
      </c>
      <c r="I36" s="75">
        <v>79.2</v>
      </c>
      <c r="J36" s="74">
        <f t="shared" si="5"/>
        <v>15.84</v>
      </c>
      <c r="K36" s="75">
        <v>20.2</v>
      </c>
      <c r="L36" s="74">
        <f t="shared" si="6"/>
        <v>3.4669791879362126</v>
      </c>
      <c r="M36" s="76">
        <f t="shared" si="7"/>
        <v>4.5</v>
      </c>
      <c r="N36" s="75">
        <v>18.7</v>
      </c>
      <c r="O36" s="74">
        <f t="shared" si="8"/>
        <v>9.35</v>
      </c>
      <c r="P36" s="75">
        <v>10.6</v>
      </c>
      <c r="Q36" s="74">
        <f t="shared" si="9"/>
        <v>1.6846490721071565</v>
      </c>
      <c r="R36" s="75">
        <f t="shared" si="10"/>
        <v>1.5</v>
      </c>
      <c r="S36" s="76">
        <v>50.5</v>
      </c>
      <c r="T36" s="77">
        <v>16.8</v>
      </c>
    </row>
    <row r="37" spans="1:20" x14ac:dyDescent="0.25">
      <c r="A37" s="78" t="str">
        <f t="shared" si="0"/>
        <v>RECF  100*40*3</v>
      </c>
      <c r="B37" s="79">
        <f t="shared" si="1"/>
        <v>6.1294605629283572</v>
      </c>
      <c r="C37" s="80">
        <v>100</v>
      </c>
      <c r="D37" s="80">
        <v>40</v>
      </c>
      <c r="E37" s="80">
        <v>3</v>
      </c>
      <c r="F37" s="80">
        <f t="shared" si="2"/>
        <v>3</v>
      </c>
      <c r="G37" s="80">
        <f t="shared" si="3"/>
        <v>6</v>
      </c>
      <c r="H37" s="79">
        <f t="shared" si="4"/>
        <v>7.8082300164692446</v>
      </c>
      <c r="I37" s="80">
        <v>92.1</v>
      </c>
      <c r="J37" s="79">
        <f t="shared" si="5"/>
        <v>18.419999999999998</v>
      </c>
      <c r="K37" s="80">
        <v>23.7</v>
      </c>
      <c r="L37" s="79">
        <f t="shared" si="6"/>
        <v>3.4344208806169636</v>
      </c>
      <c r="M37" s="81">
        <f t="shared" si="7"/>
        <v>5.28</v>
      </c>
      <c r="N37" s="80">
        <v>21.6</v>
      </c>
      <c r="O37" s="79">
        <f t="shared" si="8"/>
        <v>10.8</v>
      </c>
      <c r="P37" s="80">
        <v>12.4</v>
      </c>
      <c r="Q37" s="79">
        <f t="shared" si="9"/>
        <v>1.6632233613161005</v>
      </c>
      <c r="R37" s="80">
        <f t="shared" si="10"/>
        <v>1.68</v>
      </c>
      <c r="S37" s="81">
        <v>59</v>
      </c>
      <c r="T37" s="82">
        <v>19.399999999999999</v>
      </c>
    </row>
    <row r="38" spans="1:20" x14ac:dyDescent="0.25">
      <c r="A38" s="78" t="str">
        <f t="shared" si="0"/>
        <v>RECF  100*40*4</v>
      </c>
      <c r="B38" s="79">
        <f t="shared" si="1"/>
        <v>7.9661521118726339</v>
      </c>
      <c r="C38" s="80">
        <v>100</v>
      </c>
      <c r="D38" s="80">
        <v>40</v>
      </c>
      <c r="E38" s="80">
        <v>4</v>
      </c>
      <c r="F38" s="80">
        <f t="shared" si="2"/>
        <v>4</v>
      </c>
      <c r="G38" s="80">
        <f t="shared" si="3"/>
        <v>8</v>
      </c>
      <c r="H38" s="79">
        <f t="shared" si="4"/>
        <v>10.1479644737231</v>
      </c>
      <c r="I38" s="80">
        <v>115</v>
      </c>
      <c r="J38" s="79">
        <f t="shared" si="5"/>
        <v>23</v>
      </c>
      <c r="K38" s="80">
        <v>30.2</v>
      </c>
      <c r="L38" s="79">
        <f t="shared" si="6"/>
        <v>3.3663514218613058</v>
      </c>
      <c r="M38" s="81">
        <f t="shared" si="7"/>
        <v>6.72</v>
      </c>
      <c r="N38" s="80">
        <v>26.5</v>
      </c>
      <c r="O38" s="79">
        <f t="shared" si="8"/>
        <v>13.25</v>
      </c>
      <c r="P38" s="80">
        <v>15.6</v>
      </c>
      <c r="Q38" s="79">
        <f t="shared" si="9"/>
        <v>1.6159706471448814</v>
      </c>
      <c r="R38" s="80">
        <f t="shared" si="10"/>
        <v>1.92</v>
      </c>
      <c r="S38" s="81">
        <v>74.5</v>
      </c>
      <c r="T38" s="82">
        <v>24</v>
      </c>
    </row>
    <row r="39" spans="1:20" x14ac:dyDescent="0.25">
      <c r="A39" s="83" t="str">
        <f t="shared" si="0"/>
        <v>RECF  100*40*5</v>
      </c>
      <c r="B39" s="84">
        <f t="shared" si="1"/>
        <v>9.6996126748009921</v>
      </c>
      <c r="C39" s="85">
        <v>100</v>
      </c>
      <c r="D39" s="85">
        <v>40</v>
      </c>
      <c r="E39" s="85">
        <v>5</v>
      </c>
      <c r="F39" s="85">
        <f t="shared" si="2"/>
        <v>5</v>
      </c>
      <c r="G39" s="85">
        <f t="shared" si="3"/>
        <v>10</v>
      </c>
      <c r="H39" s="84">
        <f t="shared" si="4"/>
        <v>12.356194490192346</v>
      </c>
      <c r="I39" s="85">
        <v>135</v>
      </c>
      <c r="J39" s="84">
        <f t="shared" si="5"/>
        <v>27</v>
      </c>
      <c r="K39" s="85">
        <v>36</v>
      </c>
      <c r="L39" s="84">
        <f t="shared" si="6"/>
        <v>3.3054037574326323</v>
      </c>
      <c r="M39" s="86">
        <f t="shared" si="7"/>
        <v>8</v>
      </c>
      <c r="N39" s="85">
        <v>30.4</v>
      </c>
      <c r="O39" s="84">
        <f t="shared" si="8"/>
        <v>15.2</v>
      </c>
      <c r="P39" s="85">
        <v>18.399999999999999</v>
      </c>
      <c r="Q39" s="84">
        <f t="shared" si="9"/>
        <v>1.5685357587851794</v>
      </c>
      <c r="R39" s="85">
        <f t="shared" si="10"/>
        <v>2</v>
      </c>
      <c r="S39" s="86">
        <v>87.9</v>
      </c>
      <c r="T39" s="87">
        <v>27.9</v>
      </c>
    </row>
    <row r="40" spans="1:20" x14ac:dyDescent="0.25">
      <c r="A40" s="70" t="str">
        <f t="shared" si="0"/>
        <v>RECF  100*50*2.5</v>
      </c>
      <c r="B40" s="71">
        <f t="shared" si="1"/>
        <v>5.5649031687002486</v>
      </c>
      <c r="C40" s="15">
        <v>100</v>
      </c>
      <c r="D40" s="15">
        <v>50</v>
      </c>
      <c r="E40" s="15">
        <v>2.5</v>
      </c>
      <c r="F40" s="15">
        <f t="shared" si="2"/>
        <v>2.5</v>
      </c>
      <c r="G40" s="15">
        <f t="shared" si="3"/>
        <v>5</v>
      </c>
      <c r="H40" s="71">
        <f t="shared" si="4"/>
        <v>7.0890486225480869</v>
      </c>
      <c r="I40" s="15">
        <v>91.1</v>
      </c>
      <c r="J40" s="71">
        <f t="shared" si="5"/>
        <v>18.22</v>
      </c>
      <c r="K40" s="15">
        <v>22.7</v>
      </c>
      <c r="L40" s="71">
        <f t="shared" si="6"/>
        <v>3.5848023114158498</v>
      </c>
      <c r="M40" s="72">
        <f t="shared" si="7"/>
        <v>4.5</v>
      </c>
      <c r="N40" s="15">
        <v>31</v>
      </c>
      <c r="O40" s="71">
        <f t="shared" si="8"/>
        <v>12.4</v>
      </c>
      <c r="P40" s="15">
        <v>14</v>
      </c>
      <c r="Q40" s="71">
        <f t="shared" si="9"/>
        <v>2.0911581042602272</v>
      </c>
      <c r="R40" s="15">
        <f t="shared" si="10"/>
        <v>2</v>
      </c>
      <c r="S40" s="72">
        <v>75.400000000000006</v>
      </c>
      <c r="T40" s="15">
        <v>21.5</v>
      </c>
    </row>
    <row r="41" spans="1:20" x14ac:dyDescent="0.25">
      <c r="A41" s="70" t="str">
        <f t="shared" si="0"/>
        <v>RECF  100*50*3</v>
      </c>
      <c r="B41" s="71">
        <f t="shared" si="1"/>
        <v>6.6004605629283581</v>
      </c>
      <c r="C41" s="15">
        <v>100</v>
      </c>
      <c r="D41" s="15">
        <v>50</v>
      </c>
      <c r="E41" s="15">
        <v>3</v>
      </c>
      <c r="F41" s="15">
        <f t="shared" si="2"/>
        <v>3</v>
      </c>
      <c r="G41" s="15">
        <f t="shared" si="3"/>
        <v>6</v>
      </c>
      <c r="H41" s="71">
        <f t="shared" si="4"/>
        <v>8.4082300164692452</v>
      </c>
      <c r="I41" s="15">
        <v>106</v>
      </c>
      <c r="J41" s="71">
        <f t="shared" si="5"/>
        <v>21.2</v>
      </c>
      <c r="K41" s="15">
        <v>26.6</v>
      </c>
      <c r="L41" s="71">
        <f t="shared" si="6"/>
        <v>3.5505909414929482</v>
      </c>
      <c r="M41" s="72">
        <f t="shared" si="7"/>
        <v>5.28</v>
      </c>
      <c r="N41" s="15">
        <v>36</v>
      </c>
      <c r="O41" s="71">
        <f t="shared" si="8"/>
        <v>14.4</v>
      </c>
      <c r="P41" s="15">
        <v>16.399999999999999</v>
      </c>
      <c r="Q41" s="71">
        <f t="shared" si="9"/>
        <v>2.0691832706915214</v>
      </c>
      <c r="R41" s="15">
        <f t="shared" si="10"/>
        <v>2.2800000000000002</v>
      </c>
      <c r="S41" s="72">
        <v>88.6</v>
      </c>
      <c r="T41" s="15">
        <v>25</v>
      </c>
    </row>
    <row r="42" spans="1:20" x14ac:dyDescent="0.25">
      <c r="A42" s="70" t="str">
        <f t="shared" si="0"/>
        <v>RECF  100*50*4</v>
      </c>
      <c r="B42" s="71">
        <f t="shared" si="1"/>
        <v>8.5941521118726349</v>
      </c>
      <c r="C42" s="15">
        <v>100</v>
      </c>
      <c r="D42" s="15">
        <v>50</v>
      </c>
      <c r="E42" s="15">
        <v>4</v>
      </c>
      <c r="F42" s="15">
        <f t="shared" si="2"/>
        <v>4</v>
      </c>
      <c r="G42" s="15">
        <f t="shared" si="3"/>
        <v>8</v>
      </c>
      <c r="H42" s="71">
        <f t="shared" si="4"/>
        <v>10.947964473723101</v>
      </c>
      <c r="I42" s="15">
        <v>134</v>
      </c>
      <c r="J42" s="71">
        <f t="shared" si="5"/>
        <v>26.8</v>
      </c>
      <c r="K42" s="15">
        <v>34</v>
      </c>
      <c r="L42" s="71">
        <f t="shared" si="6"/>
        <v>3.4985308628040044</v>
      </c>
      <c r="M42" s="72">
        <f t="shared" si="7"/>
        <v>6.72</v>
      </c>
      <c r="N42" s="15">
        <v>44.7</v>
      </c>
      <c r="O42" s="71">
        <f t="shared" si="8"/>
        <v>17.880000000000003</v>
      </c>
      <c r="P42" s="15">
        <v>20.9</v>
      </c>
      <c r="Q42" s="71">
        <f t="shared" si="9"/>
        <v>2.0206312805697082</v>
      </c>
      <c r="R42" s="15">
        <f t="shared" si="10"/>
        <v>2.72</v>
      </c>
      <c r="S42" s="72">
        <v>113</v>
      </c>
      <c r="T42" s="15">
        <v>31.3</v>
      </c>
    </row>
    <row r="43" spans="1:20" x14ac:dyDescent="0.25">
      <c r="A43" s="70" t="str">
        <f t="shared" si="0"/>
        <v>RECF  100*50*5</v>
      </c>
      <c r="B43" s="71">
        <f t="shared" si="1"/>
        <v>10.484612674800992</v>
      </c>
      <c r="C43" s="15">
        <v>100</v>
      </c>
      <c r="D43" s="15">
        <v>50</v>
      </c>
      <c r="E43" s="15">
        <v>5</v>
      </c>
      <c r="F43" s="15">
        <f t="shared" si="2"/>
        <v>5</v>
      </c>
      <c r="G43" s="15">
        <f t="shared" si="3"/>
        <v>10</v>
      </c>
      <c r="H43" s="71">
        <f t="shared" si="4"/>
        <v>13.356194490192346</v>
      </c>
      <c r="I43" s="15">
        <v>157</v>
      </c>
      <c r="J43" s="71">
        <f t="shared" si="5"/>
        <v>31.4</v>
      </c>
      <c r="K43" s="15">
        <v>40.700000000000003</v>
      </c>
      <c r="L43" s="71">
        <f t="shared" si="6"/>
        <v>3.4285339866821301</v>
      </c>
      <c r="M43" s="72">
        <f t="shared" si="7"/>
        <v>8</v>
      </c>
      <c r="N43" s="15">
        <v>52</v>
      </c>
      <c r="O43" s="71">
        <f t="shared" si="8"/>
        <v>20.8</v>
      </c>
      <c r="P43" s="15">
        <v>24.9</v>
      </c>
      <c r="Q43" s="71">
        <f t="shared" si="9"/>
        <v>1.9731509210510316</v>
      </c>
      <c r="R43" s="15">
        <f t="shared" si="10"/>
        <v>3</v>
      </c>
      <c r="S43" s="72">
        <v>135</v>
      </c>
      <c r="T43" s="15">
        <v>36.799999999999997</v>
      </c>
    </row>
    <row r="44" spans="1:20" x14ac:dyDescent="0.25">
      <c r="A44" s="70" t="str">
        <f t="shared" si="0"/>
        <v>RECF  100*50*6</v>
      </c>
      <c r="B44" s="71">
        <f t="shared" si="1"/>
        <v>12.271842251713428</v>
      </c>
      <c r="C44" s="15">
        <v>100</v>
      </c>
      <c r="D44" s="15">
        <v>50</v>
      </c>
      <c r="E44" s="15">
        <v>6</v>
      </c>
      <c r="F44" s="15">
        <f t="shared" si="2"/>
        <v>6</v>
      </c>
      <c r="G44" s="15">
        <f t="shared" si="3"/>
        <v>12</v>
      </c>
      <c r="H44" s="71">
        <f t="shared" si="4"/>
        <v>15.632920065876977</v>
      </c>
      <c r="I44" s="15">
        <v>177</v>
      </c>
      <c r="J44" s="71">
        <f t="shared" si="5"/>
        <v>35.4</v>
      </c>
      <c r="K44" s="15">
        <v>46.7</v>
      </c>
      <c r="L44" s="71">
        <f t="shared" si="6"/>
        <v>3.3648567465267272</v>
      </c>
      <c r="M44" s="72">
        <f t="shared" si="7"/>
        <v>9.120000000000001</v>
      </c>
      <c r="N44" s="15">
        <v>57.6</v>
      </c>
      <c r="O44" s="71">
        <f t="shared" si="8"/>
        <v>23.04</v>
      </c>
      <c r="P44" s="15">
        <v>28.4</v>
      </c>
      <c r="Q44" s="71">
        <f t="shared" si="9"/>
        <v>1.9195135760651707</v>
      </c>
      <c r="R44" s="15">
        <f t="shared" si="10"/>
        <v>3.12</v>
      </c>
      <c r="S44" s="72">
        <v>154</v>
      </c>
      <c r="T44" s="15">
        <v>41.4</v>
      </c>
    </row>
    <row r="45" spans="1:20" x14ac:dyDescent="0.25">
      <c r="A45" s="70" t="str">
        <f t="shared" si="0"/>
        <v>RECF  100*50*6.3</v>
      </c>
      <c r="B45" s="71">
        <f t="shared" si="1"/>
        <v>12.520430110018738</v>
      </c>
      <c r="C45" s="15">
        <v>100</v>
      </c>
      <c r="D45" s="15">
        <v>50</v>
      </c>
      <c r="E45" s="15">
        <v>6.3</v>
      </c>
      <c r="F45" s="15">
        <f t="shared" si="2"/>
        <v>9.4499999999999993</v>
      </c>
      <c r="G45" s="15">
        <f t="shared" si="3"/>
        <v>15.75</v>
      </c>
      <c r="H45" s="71">
        <f t="shared" si="4"/>
        <v>15.949592496839157</v>
      </c>
      <c r="I45" s="15">
        <v>173</v>
      </c>
      <c r="J45" s="71">
        <f t="shared" si="5"/>
        <v>34.6</v>
      </c>
      <c r="K45" s="15">
        <v>46.6</v>
      </c>
      <c r="L45" s="71">
        <f t="shared" si="6"/>
        <v>3.2934286243437589</v>
      </c>
      <c r="M45" s="72">
        <f t="shared" si="7"/>
        <v>8.6310000000000002</v>
      </c>
      <c r="N45" s="15">
        <v>56.9</v>
      </c>
      <c r="O45" s="71">
        <f t="shared" si="8"/>
        <v>22.759999999999998</v>
      </c>
      <c r="P45" s="15">
        <v>28.3</v>
      </c>
      <c r="Q45" s="71">
        <f t="shared" si="9"/>
        <v>1.8887798347471374</v>
      </c>
      <c r="R45" s="15">
        <f t="shared" si="10"/>
        <v>2.331</v>
      </c>
      <c r="S45" s="72">
        <v>158</v>
      </c>
      <c r="T45" s="15">
        <v>42.1</v>
      </c>
    </row>
    <row r="46" spans="1:20" x14ac:dyDescent="0.25">
      <c r="A46" s="73" t="str">
        <f t="shared" si="0"/>
        <v>RECF  100*60*2.5</v>
      </c>
      <c r="B46" s="74">
        <f t="shared" si="1"/>
        <v>5.9574031687002487</v>
      </c>
      <c r="C46" s="75">
        <v>100</v>
      </c>
      <c r="D46" s="75">
        <v>60</v>
      </c>
      <c r="E46" s="75">
        <v>2.5</v>
      </c>
      <c r="F46" s="75">
        <f t="shared" si="2"/>
        <v>2.5</v>
      </c>
      <c r="G46" s="75">
        <f t="shared" si="3"/>
        <v>5</v>
      </c>
      <c r="H46" s="74">
        <f t="shared" si="4"/>
        <v>7.5890486225480869</v>
      </c>
      <c r="I46" s="75">
        <v>103</v>
      </c>
      <c r="J46" s="74">
        <f t="shared" si="5"/>
        <v>20.6</v>
      </c>
      <c r="K46" s="75">
        <v>25.1</v>
      </c>
      <c r="L46" s="74">
        <f t="shared" si="6"/>
        <v>3.6840451551850384</v>
      </c>
      <c r="M46" s="76">
        <f t="shared" si="7"/>
        <v>4.5</v>
      </c>
      <c r="N46" s="75">
        <v>46.8</v>
      </c>
      <c r="O46" s="74">
        <f t="shared" si="8"/>
        <v>15.6</v>
      </c>
      <c r="P46" s="75">
        <v>17.7</v>
      </c>
      <c r="Q46" s="74">
        <f t="shared" si="9"/>
        <v>2.4833004021908787</v>
      </c>
      <c r="R46" s="75">
        <f t="shared" si="10"/>
        <v>2.5</v>
      </c>
      <c r="S46" s="76">
        <v>103.30000000000001</v>
      </c>
      <c r="T46" s="77">
        <v>26.23</v>
      </c>
    </row>
    <row r="47" spans="1:20" x14ac:dyDescent="0.25">
      <c r="A47" s="78" t="str">
        <f t="shared" si="0"/>
        <v>RECF  100*60*3</v>
      </c>
      <c r="B47" s="79">
        <f t="shared" si="1"/>
        <v>7.0714605629283573</v>
      </c>
      <c r="C47" s="80">
        <v>100</v>
      </c>
      <c r="D47" s="80">
        <v>60</v>
      </c>
      <c r="E47" s="80">
        <v>3</v>
      </c>
      <c r="F47" s="80">
        <f t="shared" si="2"/>
        <v>3</v>
      </c>
      <c r="G47" s="80">
        <f t="shared" si="3"/>
        <v>6</v>
      </c>
      <c r="H47" s="79">
        <f t="shared" si="4"/>
        <v>9.0082300164692448</v>
      </c>
      <c r="I47" s="80">
        <v>120</v>
      </c>
      <c r="J47" s="79">
        <f t="shared" si="5"/>
        <v>24</v>
      </c>
      <c r="K47" s="80">
        <v>29.5</v>
      </c>
      <c r="L47" s="79">
        <f t="shared" si="6"/>
        <v>3.6498153180193578</v>
      </c>
      <c r="M47" s="81">
        <f t="shared" si="7"/>
        <v>5.28</v>
      </c>
      <c r="N47" s="80">
        <v>54.5</v>
      </c>
      <c r="O47" s="79">
        <f t="shared" si="8"/>
        <v>18.166666666666668</v>
      </c>
      <c r="P47" s="80">
        <v>20.8</v>
      </c>
      <c r="Q47" s="79">
        <f t="shared" si="9"/>
        <v>2.459679477989047</v>
      </c>
      <c r="R47" s="80">
        <f t="shared" si="10"/>
        <v>2.88</v>
      </c>
      <c r="S47" s="81">
        <v>121.7</v>
      </c>
      <c r="T47" s="82">
        <v>30.64</v>
      </c>
    </row>
    <row r="48" spans="1:20" x14ac:dyDescent="0.25">
      <c r="A48" s="78" t="str">
        <f t="shared" si="0"/>
        <v>RECF  100*60*4</v>
      </c>
      <c r="B48" s="79">
        <f t="shared" si="1"/>
        <v>9.2221521118726333</v>
      </c>
      <c r="C48" s="80">
        <v>100</v>
      </c>
      <c r="D48" s="80">
        <v>60</v>
      </c>
      <c r="E48" s="80">
        <v>4</v>
      </c>
      <c r="F48" s="80">
        <f t="shared" si="2"/>
        <v>4</v>
      </c>
      <c r="G48" s="80">
        <f t="shared" si="3"/>
        <v>8</v>
      </c>
      <c r="H48" s="79">
        <f t="shared" si="4"/>
        <v>11.747964473723099</v>
      </c>
      <c r="I48" s="80">
        <v>152</v>
      </c>
      <c r="J48" s="79">
        <f t="shared" si="5"/>
        <v>30.4</v>
      </c>
      <c r="K48" s="80">
        <v>37.9</v>
      </c>
      <c r="L48" s="79">
        <f t="shared" si="6"/>
        <v>3.5970003635041286</v>
      </c>
      <c r="M48" s="81">
        <f t="shared" si="7"/>
        <v>6.72</v>
      </c>
      <c r="N48" s="80">
        <v>68.400000000000006</v>
      </c>
      <c r="O48" s="79">
        <f t="shared" si="8"/>
        <v>22.8</v>
      </c>
      <c r="P48" s="80">
        <v>26.6</v>
      </c>
      <c r="Q48" s="79">
        <f t="shared" si="9"/>
        <v>2.4129411983660058</v>
      </c>
      <c r="R48" s="80">
        <f t="shared" si="10"/>
        <v>3.52</v>
      </c>
      <c r="S48" s="81">
        <v>156.30000000000001</v>
      </c>
      <c r="T48" s="82">
        <v>38.68</v>
      </c>
    </row>
    <row r="49" spans="1:20" x14ac:dyDescent="0.25">
      <c r="A49" s="78" t="str">
        <f t="shared" si="0"/>
        <v>RECF  100*60*5</v>
      </c>
      <c r="B49" s="79">
        <f t="shared" si="1"/>
        <v>11.269612674800992</v>
      </c>
      <c r="C49" s="80">
        <v>100</v>
      </c>
      <c r="D49" s="80">
        <v>60</v>
      </c>
      <c r="E49" s="80">
        <v>5</v>
      </c>
      <c r="F49" s="80">
        <f t="shared" si="2"/>
        <v>5</v>
      </c>
      <c r="G49" s="80">
        <f t="shared" si="3"/>
        <v>10</v>
      </c>
      <c r="H49" s="79">
        <f t="shared" si="4"/>
        <v>14.356194490192346</v>
      </c>
      <c r="I49" s="80">
        <v>180</v>
      </c>
      <c r="J49" s="79">
        <f t="shared" si="5"/>
        <v>36</v>
      </c>
      <c r="K49" s="80">
        <v>45.5</v>
      </c>
      <c r="L49" s="79">
        <f t="shared" si="6"/>
        <v>3.5409238405981567</v>
      </c>
      <c r="M49" s="81">
        <f t="shared" si="7"/>
        <v>8</v>
      </c>
      <c r="N49" s="80">
        <v>80.3</v>
      </c>
      <c r="O49" s="79">
        <f t="shared" si="8"/>
        <v>26.766666666666666</v>
      </c>
      <c r="P49" s="80">
        <v>31.8</v>
      </c>
      <c r="Q49" s="79">
        <f t="shared" si="9"/>
        <v>2.365037906774889</v>
      </c>
      <c r="R49" s="80">
        <f t="shared" si="10"/>
        <v>4</v>
      </c>
      <c r="S49" s="81">
        <v>187.9</v>
      </c>
      <c r="T49" s="82">
        <v>45.75</v>
      </c>
    </row>
    <row r="50" spans="1:20" x14ac:dyDescent="0.25">
      <c r="A50" s="78" t="str">
        <f t="shared" si="0"/>
        <v>RECF  100*60*6</v>
      </c>
      <c r="B50" s="79">
        <f t="shared" si="1"/>
        <v>13.213842251713427</v>
      </c>
      <c r="C50" s="80">
        <v>100</v>
      </c>
      <c r="D50" s="80">
        <v>60</v>
      </c>
      <c r="E50" s="80">
        <v>6</v>
      </c>
      <c r="F50" s="80">
        <f t="shared" si="2"/>
        <v>6</v>
      </c>
      <c r="G50" s="80">
        <f t="shared" si="3"/>
        <v>12</v>
      </c>
      <c r="H50" s="79">
        <f t="shared" si="4"/>
        <v>16.832920065876976</v>
      </c>
      <c r="I50" s="80">
        <v>204</v>
      </c>
      <c r="J50" s="79">
        <f t="shared" si="5"/>
        <v>40.799999999999997</v>
      </c>
      <c r="K50" s="80">
        <v>52.4</v>
      </c>
      <c r="L50" s="79">
        <f t="shared" si="6"/>
        <v>3.4812511273811135</v>
      </c>
      <c r="M50" s="81">
        <f t="shared" si="7"/>
        <v>9.120000000000001</v>
      </c>
      <c r="N50" s="80">
        <v>90.3</v>
      </c>
      <c r="O50" s="79">
        <f t="shared" si="8"/>
        <v>30.099999999999998</v>
      </c>
      <c r="P50" s="80">
        <v>36.5</v>
      </c>
      <c r="Q50" s="79">
        <f t="shared" si="9"/>
        <v>2.3161364676405984</v>
      </c>
      <c r="R50" s="80">
        <f t="shared" si="10"/>
        <v>4.32</v>
      </c>
      <c r="S50" s="81">
        <v>216.4</v>
      </c>
      <c r="T50" s="82">
        <v>51.92</v>
      </c>
    </row>
    <row r="51" spans="1:20" x14ac:dyDescent="0.25">
      <c r="A51" s="83" t="str">
        <f t="shared" si="0"/>
        <v>RECF  100*60*6.3</v>
      </c>
      <c r="B51" s="84">
        <f t="shared" si="1"/>
        <v>13.509530110018739</v>
      </c>
      <c r="C51" s="85">
        <v>100</v>
      </c>
      <c r="D51" s="85">
        <v>60</v>
      </c>
      <c r="E51" s="85">
        <v>6.3</v>
      </c>
      <c r="F51" s="85">
        <f t="shared" si="2"/>
        <v>9.4499999999999993</v>
      </c>
      <c r="G51" s="85">
        <f t="shared" si="3"/>
        <v>15.75</v>
      </c>
      <c r="H51" s="84">
        <f t="shared" si="4"/>
        <v>17.209592496839157</v>
      </c>
      <c r="I51" s="85">
        <v>201</v>
      </c>
      <c r="J51" s="84">
        <f t="shared" si="5"/>
        <v>40.200000000000003</v>
      </c>
      <c r="K51" s="85">
        <v>52.5</v>
      </c>
      <c r="L51" s="84">
        <f t="shared" si="6"/>
        <v>3.4175331450609927</v>
      </c>
      <c r="M51" s="86">
        <f t="shared" si="7"/>
        <v>8.6310000000000002</v>
      </c>
      <c r="N51" s="85">
        <v>89.3</v>
      </c>
      <c r="O51" s="84">
        <f t="shared" si="8"/>
        <v>29.766666666666666</v>
      </c>
      <c r="P51" s="85">
        <v>36.6</v>
      </c>
      <c r="Q51" s="84">
        <f t="shared" si="9"/>
        <v>2.2779303240699793</v>
      </c>
      <c r="R51" s="85">
        <f t="shared" si="10"/>
        <v>3.5909999999999997</v>
      </c>
      <c r="S51" s="86">
        <v>223.4</v>
      </c>
      <c r="T51" s="87">
        <v>53</v>
      </c>
    </row>
    <row r="52" spans="1:20" x14ac:dyDescent="0.25">
      <c r="A52" s="70" t="str">
        <f t="shared" si="0"/>
        <v>RECF  100*80*2.5</v>
      </c>
      <c r="B52" s="71">
        <f t="shared" si="1"/>
        <v>6.7424031687002488</v>
      </c>
      <c r="C52" s="15">
        <v>100</v>
      </c>
      <c r="D52" s="15">
        <v>80</v>
      </c>
      <c r="E52" s="15">
        <v>2.5</v>
      </c>
      <c r="F52" s="15">
        <f t="shared" si="2"/>
        <v>2.5</v>
      </c>
      <c r="G52" s="15">
        <f t="shared" si="3"/>
        <v>5</v>
      </c>
      <c r="H52" s="71">
        <f t="shared" si="4"/>
        <v>8.5890486225480878</v>
      </c>
      <c r="I52" s="15">
        <v>127</v>
      </c>
      <c r="J52" s="71">
        <f t="shared" si="5"/>
        <v>25.4</v>
      </c>
      <c r="K52" s="15">
        <v>30</v>
      </c>
      <c r="L52" s="71">
        <f t="shared" si="6"/>
        <v>3.8452920479722272</v>
      </c>
      <c r="M52" s="72">
        <f t="shared" si="7"/>
        <v>4.5</v>
      </c>
      <c r="N52" s="15">
        <v>90.1</v>
      </c>
      <c r="O52" s="71">
        <f t="shared" si="8"/>
        <v>22.524999999999999</v>
      </c>
      <c r="P52" s="15">
        <v>25.8</v>
      </c>
      <c r="Q52" s="71">
        <f t="shared" si="9"/>
        <v>3.2388427640389645</v>
      </c>
      <c r="R52" s="15">
        <f t="shared" si="10"/>
        <v>3.5</v>
      </c>
      <c r="S52" s="72">
        <v>165.8</v>
      </c>
      <c r="T52" s="15">
        <v>35.729999999999997</v>
      </c>
    </row>
    <row r="53" spans="1:20" x14ac:dyDescent="0.25">
      <c r="A53" s="70" t="str">
        <f t="shared" si="0"/>
        <v>RECF  100*80*3</v>
      </c>
      <c r="B53" s="71">
        <f t="shared" si="1"/>
        <v>8.0134605629283566</v>
      </c>
      <c r="C53" s="15">
        <v>100</v>
      </c>
      <c r="D53" s="15">
        <v>80</v>
      </c>
      <c r="E53" s="15">
        <v>3</v>
      </c>
      <c r="F53" s="15">
        <f t="shared" si="2"/>
        <v>3</v>
      </c>
      <c r="G53" s="15">
        <f t="shared" si="3"/>
        <v>6</v>
      </c>
      <c r="H53" s="71">
        <f t="shared" si="4"/>
        <v>10.208230016469244</v>
      </c>
      <c r="I53" s="15">
        <v>149</v>
      </c>
      <c r="J53" s="71">
        <f t="shared" si="5"/>
        <v>29.8</v>
      </c>
      <c r="K53" s="15">
        <v>35.4</v>
      </c>
      <c r="L53" s="71">
        <f t="shared" si="6"/>
        <v>3.8204798248038454</v>
      </c>
      <c r="M53" s="72">
        <f t="shared" si="7"/>
        <v>5.28</v>
      </c>
      <c r="N53" s="15">
        <v>105</v>
      </c>
      <c r="O53" s="71">
        <f t="shared" si="8"/>
        <v>26.25</v>
      </c>
      <c r="P53" s="15">
        <v>30.4</v>
      </c>
      <c r="Q53" s="71">
        <f t="shared" si="9"/>
        <v>3.2071511325149409</v>
      </c>
      <c r="R53" s="15">
        <f t="shared" si="10"/>
        <v>4.08</v>
      </c>
      <c r="S53" s="72">
        <v>196.10000000000002</v>
      </c>
      <c r="T53" s="15">
        <v>41.91</v>
      </c>
    </row>
    <row r="54" spans="1:20" x14ac:dyDescent="0.25">
      <c r="A54" s="70" t="str">
        <f t="shared" si="0"/>
        <v>RECF  100*80*4</v>
      </c>
      <c r="B54" s="71">
        <f t="shared" si="1"/>
        <v>10.478152111872635</v>
      </c>
      <c r="C54" s="15">
        <v>100</v>
      </c>
      <c r="D54" s="15">
        <v>80</v>
      </c>
      <c r="E54" s="15">
        <v>4</v>
      </c>
      <c r="F54" s="15">
        <f t="shared" si="2"/>
        <v>4</v>
      </c>
      <c r="G54" s="15">
        <f t="shared" si="3"/>
        <v>8</v>
      </c>
      <c r="H54" s="71">
        <f t="shared" si="4"/>
        <v>13.347964473723101</v>
      </c>
      <c r="I54" s="15">
        <v>189</v>
      </c>
      <c r="J54" s="71">
        <f t="shared" si="5"/>
        <v>37.799999999999997</v>
      </c>
      <c r="K54" s="15">
        <v>45.6</v>
      </c>
      <c r="L54" s="71">
        <f t="shared" si="6"/>
        <v>3.7629061002000324</v>
      </c>
      <c r="M54" s="72">
        <f t="shared" si="7"/>
        <v>6.72</v>
      </c>
      <c r="N54" s="15">
        <v>134</v>
      </c>
      <c r="O54" s="71">
        <f t="shared" si="8"/>
        <v>33.5</v>
      </c>
      <c r="P54" s="15">
        <v>39.1</v>
      </c>
      <c r="Q54" s="71">
        <f t="shared" si="9"/>
        <v>3.1684355550217664</v>
      </c>
      <c r="R54" s="15">
        <f t="shared" si="10"/>
        <v>5.12</v>
      </c>
      <c r="S54" s="72">
        <v>253.8</v>
      </c>
      <c r="T54" s="15">
        <v>53.38</v>
      </c>
    </row>
    <row r="55" spans="1:20" x14ac:dyDescent="0.25">
      <c r="A55" s="70" t="str">
        <f t="shared" si="0"/>
        <v>RECF  100*80*5</v>
      </c>
      <c r="B55" s="71">
        <f t="shared" si="1"/>
        <v>12.839612674800991</v>
      </c>
      <c r="C55" s="15">
        <v>100</v>
      </c>
      <c r="D55" s="15">
        <v>80</v>
      </c>
      <c r="E55" s="15">
        <v>5</v>
      </c>
      <c r="F55" s="15">
        <f t="shared" si="2"/>
        <v>5</v>
      </c>
      <c r="G55" s="15">
        <f t="shared" si="3"/>
        <v>10</v>
      </c>
      <c r="H55" s="71">
        <f t="shared" si="4"/>
        <v>16.356194490192344</v>
      </c>
      <c r="I55" s="15">
        <v>225</v>
      </c>
      <c r="J55" s="71">
        <f t="shared" si="5"/>
        <v>45</v>
      </c>
      <c r="K55" s="15">
        <v>55</v>
      </c>
      <c r="L55" s="71">
        <f t="shared" si="6"/>
        <v>3.7089427180842351</v>
      </c>
      <c r="M55" s="72">
        <f t="shared" si="7"/>
        <v>8</v>
      </c>
      <c r="N55" s="15">
        <v>159</v>
      </c>
      <c r="O55" s="71">
        <f t="shared" si="8"/>
        <v>39.75</v>
      </c>
      <c r="P55" s="15">
        <v>47.1</v>
      </c>
      <c r="Q55" s="71">
        <f t="shared" si="9"/>
        <v>3.1178658781493342</v>
      </c>
      <c r="R55" s="15">
        <f t="shared" si="10"/>
        <v>6</v>
      </c>
      <c r="S55" s="72">
        <v>307.5</v>
      </c>
      <c r="T55" s="15">
        <v>63.72</v>
      </c>
    </row>
    <row r="56" spans="1:20" x14ac:dyDescent="0.25">
      <c r="A56" s="70" t="str">
        <f t="shared" si="0"/>
        <v>RECF  100*80*6</v>
      </c>
      <c r="B56" s="71">
        <f t="shared" si="1"/>
        <v>15.097842251713429</v>
      </c>
      <c r="C56" s="15">
        <v>100</v>
      </c>
      <c r="D56" s="15">
        <v>80</v>
      </c>
      <c r="E56" s="15">
        <v>6</v>
      </c>
      <c r="F56" s="15">
        <f t="shared" si="2"/>
        <v>6</v>
      </c>
      <c r="G56" s="15">
        <f t="shared" si="3"/>
        <v>12</v>
      </c>
      <c r="H56" s="71">
        <f t="shared" si="4"/>
        <v>19.232920065876979</v>
      </c>
      <c r="I56" s="15">
        <v>257</v>
      </c>
      <c r="J56" s="71">
        <f t="shared" si="5"/>
        <v>51.4</v>
      </c>
      <c r="K56" s="15">
        <v>63.7</v>
      </c>
      <c r="L56" s="71">
        <f t="shared" si="6"/>
        <v>3.6554760964354807</v>
      </c>
      <c r="M56" s="72">
        <f t="shared" si="7"/>
        <v>9.120000000000001</v>
      </c>
      <c r="N56" s="15">
        <v>181</v>
      </c>
      <c r="O56" s="71">
        <f t="shared" si="8"/>
        <v>45.25</v>
      </c>
      <c r="P56" s="15">
        <v>54.5</v>
      </c>
      <c r="Q56" s="71">
        <f t="shared" si="9"/>
        <v>3.0677267556611549</v>
      </c>
      <c r="R56" s="15">
        <f t="shared" si="10"/>
        <v>6.72</v>
      </c>
      <c r="S56" s="72">
        <v>357.40000000000003</v>
      </c>
      <c r="T56" s="15">
        <v>72.98</v>
      </c>
    </row>
    <row r="57" spans="1:20" x14ac:dyDescent="0.25">
      <c r="A57" s="70" t="str">
        <f t="shared" si="0"/>
        <v>RECF  100*80*6.3</v>
      </c>
      <c r="B57" s="71">
        <f t="shared" si="1"/>
        <v>15.487730110018738</v>
      </c>
      <c r="C57" s="15">
        <v>100</v>
      </c>
      <c r="D57" s="15">
        <v>80</v>
      </c>
      <c r="E57" s="15">
        <v>6.3</v>
      </c>
      <c r="F57" s="15">
        <f t="shared" si="2"/>
        <v>9.4499999999999993</v>
      </c>
      <c r="G57" s="15">
        <f t="shared" si="3"/>
        <v>15.75</v>
      </c>
      <c r="H57" s="71">
        <f t="shared" si="4"/>
        <v>19.729592496839157</v>
      </c>
      <c r="I57" s="15">
        <v>256</v>
      </c>
      <c r="J57" s="71">
        <f t="shared" si="5"/>
        <v>51.2</v>
      </c>
      <c r="K57" s="15">
        <v>64.3</v>
      </c>
      <c r="L57" s="71">
        <f t="shared" si="6"/>
        <v>3.6021427953633145</v>
      </c>
      <c r="M57" s="72">
        <f t="shared" si="7"/>
        <v>8.6310000000000002</v>
      </c>
      <c r="N57" s="15">
        <v>181</v>
      </c>
      <c r="O57" s="71">
        <f t="shared" si="8"/>
        <v>45.25</v>
      </c>
      <c r="P57" s="15">
        <v>55.1</v>
      </c>
      <c r="Q57" s="71">
        <f t="shared" si="9"/>
        <v>3.0288671832933254</v>
      </c>
      <c r="R57" s="15">
        <f t="shared" si="10"/>
        <v>6.1110000000000007</v>
      </c>
      <c r="S57" s="72">
        <v>371.40000000000003</v>
      </c>
      <c r="T57" s="15">
        <v>74.97</v>
      </c>
    </row>
    <row r="58" spans="1:20" x14ac:dyDescent="0.25">
      <c r="A58" s="73" t="str">
        <f t="shared" si="0"/>
        <v>RECF  120*60*2.5</v>
      </c>
      <c r="B58" s="74">
        <f t="shared" si="1"/>
        <v>6.7424031687002488</v>
      </c>
      <c r="C58" s="75">
        <v>120</v>
      </c>
      <c r="D58" s="75">
        <v>60</v>
      </c>
      <c r="E58" s="75">
        <v>2.5</v>
      </c>
      <c r="F58" s="75">
        <f t="shared" si="2"/>
        <v>2.5</v>
      </c>
      <c r="G58" s="75">
        <f t="shared" si="3"/>
        <v>5</v>
      </c>
      <c r="H58" s="74">
        <f t="shared" si="4"/>
        <v>8.5890486225480878</v>
      </c>
      <c r="I58" s="75">
        <v>161</v>
      </c>
      <c r="J58" s="74">
        <f t="shared" si="5"/>
        <v>26.833333333333332</v>
      </c>
      <c r="K58" s="75">
        <v>33.200000000000003</v>
      </c>
      <c r="L58" s="74">
        <f t="shared" si="6"/>
        <v>4.3295265515615871</v>
      </c>
      <c r="M58" s="76">
        <f t="shared" si="7"/>
        <v>5.5</v>
      </c>
      <c r="N58" s="75">
        <v>55.1</v>
      </c>
      <c r="O58" s="74">
        <f t="shared" si="8"/>
        <v>18.366666666666667</v>
      </c>
      <c r="P58" s="75">
        <v>20.5</v>
      </c>
      <c r="Q58" s="74">
        <f t="shared" si="9"/>
        <v>2.5328138292220959</v>
      </c>
      <c r="R58" s="75">
        <f t="shared" si="10"/>
        <v>2.5</v>
      </c>
      <c r="S58" s="76">
        <v>132.6</v>
      </c>
      <c r="T58" s="77">
        <v>31.75</v>
      </c>
    </row>
    <row r="59" spans="1:20" x14ac:dyDescent="0.25">
      <c r="A59" s="78" t="str">
        <f t="shared" si="0"/>
        <v>RECF  120*60*3</v>
      </c>
      <c r="B59" s="79">
        <f t="shared" si="1"/>
        <v>8.0134605629283566</v>
      </c>
      <c r="C59" s="80">
        <v>120</v>
      </c>
      <c r="D59" s="80">
        <v>60</v>
      </c>
      <c r="E59" s="80">
        <v>3</v>
      </c>
      <c r="F59" s="80">
        <f t="shared" si="2"/>
        <v>3</v>
      </c>
      <c r="G59" s="80">
        <f t="shared" si="3"/>
        <v>6</v>
      </c>
      <c r="H59" s="79">
        <f t="shared" si="4"/>
        <v>10.208230016469244</v>
      </c>
      <c r="I59" s="80">
        <v>189</v>
      </c>
      <c r="J59" s="79">
        <f t="shared" si="5"/>
        <v>31.5</v>
      </c>
      <c r="K59" s="80">
        <v>39.200000000000003</v>
      </c>
      <c r="L59" s="79">
        <f t="shared" si="6"/>
        <v>4.3028447678513064</v>
      </c>
      <c r="M59" s="81">
        <f t="shared" si="7"/>
        <v>6.48</v>
      </c>
      <c r="N59" s="80">
        <v>64.3</v>
      </c>
      <c r="O59" s="79">
        <f t="shared" si="8"/>
        <v>21.433333333333334</v>
      </c>
      <c r="P59" s="80">
        <v>24.2</v>
      </c>
      <c r="Q59" s="79">
        <f t="shared" si="9"/>
        <v>2.5097488439525408</v>
      </c>
      <c r="R59" s="80">
        <f t="shared" si="10"/>
        <v>2.88</v>
      </c>
      <c r="S59" s="81">
        <v>156.30000000000001</v>
      </c>
      <c r="T59" s="82">
        <v>37.14</v>
      </c>
    </row>
    <row r="60" spans="1:20" x14ac:dyDescent="0.25">
      <c r="A60" s="78" t="str">
        <f t="shared" si="0"/>
        <v>RECF  120*60*4</v>
      </c>
      <c r="B60" s="79">
        <f t="shared" si="1"/>
        <v>10.478152111872635</v>
      </c>
      <c r="C60" s="80">
        <v>120</v>
      </c>
      <c r="D60" s="80">
        <v>60</v>
      </c>
      <c r="E60" s="80">
        <v>4</v>
      </c>
      <c r="F60" s="80">
        <f t="shared" si="2"/>
        <v>4</v>
      </c>
      <c r="G60" s="80">
        <f t="shared" si="3"/>
        <v>8</v>
      </c>
      <c r="H60" s="79">
        <f t="shared" si="4"/>
        <v>13.347964473723101</v>
      </c>
      <c r="I60" s="80">
        <v>140</v>
      </c>
      <c r="J60" s="79">
        <f t="shared" si="5"/>
        <v>23.333333333333332</v>
      </c>
      <c r="K60" s="80">
        <v>50.4</v>
      </c>
      <c r="L60" s="79">
        <f t="shared" si="6"/>
        <v>3.2385939243148942</v>
      </c>
      <c r="M60" s="81">
        <f t="shared" si="7"/>
        <v>8.32</v>
      </c>
      <c r="N60" s="80">
        <v>81</v>
      </c>
      <c r="O60" s="79">
        <f t="shared" si="8"/>
        <v>27</v>
      </c>
      <c r="P60" s="80">
        <v>31</v>
      </c>
      <c r="Q60" s="79">
        <f t="shared" si="9"/>
        <v>2.4634002910253905</v>
      </c>
      <c r="R60" s="80">
        <f t="shared" si="10"/>
        <v>3.52</v>
      </c>
      <c r="S60" s="81">
        <v>201.10000000000002</v>
      </c>
      <c r="T60" s="82">
        <v>47.05</v>
      </c>
    </row>
    <row r="61" spans="1:20" x14ac:dyDescent="0.25">
      <c r="A61" s="78" t="str">
        <f t="shared" si="0"/>
        <v>RECF  120*60*5</v>
      </c>
      <c r="B61" s="79">
        <f t="shared" si="1"/>
        <v>12.839612674800991</v>
      </c>
      <c r="C61" s="80">
        <v>120</v>
      </c>
      <c r="D61" s="80">
        <v>60</v>
      </c>
      <c r="E61" s="80">
        <v>5</v>
      </c>
      <c r="F61" s="80">
        <f t="shared" si="2"/>
        <v>5</v>
      </c>
      <c r="G61" s="80">
        <f t="shared" si="3"/>
        <v>10</v>
      </c>
      <c r="H61" s="79">
        <f t="shared" si="4"/>
        <v>16.356194490192344</v>
      </c>
      <c r="I61" s="80">
        <v>286</v>
      </c>
      <c r="J61" s="79">
        <f t="shared" si="5"/>
        <v>47.666666666666664</v>
      </c>
      <c r="K61" s="80">
        <v>60.9</v>
      </c>
      <c r="L61" s="79">
        <f t="shared" si="6"/>
        <v>4.1815941886130785</v>
      </c>
      <c r="M61" s="81">
        <f t="shared" si="7"/>
        <v>10</v>
      </c>
      <c r="N61" s="80">
        <v>95.5</v>
      </c>
      <c r="O61" s="79">
        <f t="shared" si="8"/>
        <v>31.833333333333332</v>
      </c>
      <c r="P61" s="80">
        <v>37.299999999999997</v>
      </c>
      <c r="Q61" s="79">
        <f t="shared" si="9"/>
        <v>2.4163539624960872</v>
      </c>
      <c r="R61" s="80">
        <f t="shared" si="10"/>
        <v>4</v>
      </c>
      <c r="S61" s="81">
        <v>242.20000000000002</v>
      </c>
      <c r="T61" s="82">
        <v>55.85</v>
      </c>
    </row>
    <row r="62" spans="1:20" x14ac:dyDescent="0.25">
      <c r="A62" s="78" t="str">
        <f t="shared" si="0"/>
        <v>RECF  120*60*6</v>
      </c>
      <c r="B62" s="79">
        <f t="shared" si="1"/>
        <v>15.097842251713429</v>
      </c>
      <c r="C62" s="80">
        <v>120</v>
      </c>
      <c r="D62" s="80">
        <v>60</v>
      </c>
      <c r="E62" s="80">
        <v>6</v>
      </c>
      <c r="F62" s="80">
        <f t="shared" si="2"/>
        <v>6</v>
      </c>
      <c r="G62" s="80">
        <f t="shared" si="3"/>
        <v>12</v>
      </c>
      <c r="H62" s="79">
        <f t="shared" si="4"/>
        <v>19.232920065876979</v>
      </c>
      <c r="I62" s="80">
        <v>326</v>
      </c>
      <c r="J62" s="79">
        <f t="shared" si="5"/>
        <v>54.333333333333336</v>
      </c>
      <c r="K62" s="80">
        <v>70.400000000000006</v>
      </c>
      <c r="L62" s="79">
        <f t="shared" si="6"/>
        <v>4.1170504298924024</v>
      </c>
      <c r="M62" s="81">
        <f t="shared" si="7"/>
        <v>11.52</v>
      </c>
      <c r="N62" s="80">
        <v>108</v>
      </c>
      <c r="O62" s="79">
        <f t="shared" si="8"/>
        <v>36</v>
      </c>
      <c r="P62" s="80">
        <v>42.9</v>
      </c>
      <c r="Q62" s="79">
        <f t="shared" si="9"/>
        <v>2.3696776062503169</v>
      </c>
      <c r="R62" s="80">
        <f t="shared" si="10"/>
        <v>4.32</v>
      </c>
      <c r="S62" s="81">
        <v>279.7</v>
      </c>
      <c r="T62" s="82">
        <v>63.6</v>
      </c>
    </row>
    <row r="63" spans="1:20" x14ac:dyDescent="0.25">
      <c r="A63" s="78" t="str">
        <f t="shared" si="0"/>
        <v>RECF  120*60*6.3</v>
      </c>
      <c r="B63" s="79">
        <f t="shared" si="1"/>
        <v>15.487730110018738</v>
      </c>
      <c r="C63" s="80">
        <v>120</v>
      </c>
      <c r="D63" s="80">
        <v>60</v>
      </c>
      <c r="E63" s="80">
        <v>6.3</v>
      </c>
      <c r="F63" s="80">
        <f t="shared" si="2"/>
        <v>9.4499999999999993</v>
      </c>
      <c r="G63" s="80">
        <f t="shared" si="3"/>
        <v>15.75</v>
      </c>
      <c r="H63" s="79">
        <f t="shared" si="4"/>
        <v>19.729592496839157</v>
      </c>
      <c r="I63" s="80">
        <v>324</v>
      </c>
      <c r="J63" s="79">
        <f t="shared" si="5"/>
        <v>54</v>
      </c>
      <c r="K63" s="80">
        <v>70.900000000000006</v>
      </c>
      <c r="L63" s="79">
        <f t="shared" si="6"/>
        <v>4.0524106447837287</v>
      </c>
      <c r="M63" s="81">
        <f t="shared" si="7"/>
        <v>11.151</v>
      </c>
      <c r="N63" s="80">
        <v>108</v>
      </c>
      <c r="O63" s="79">
        <f t="shared" si="8"/>
        <v>36</v>
      </c>
      <c r="P63" s="80">
        <v>43.4</v>
      </c>
      <c r="Q63" s="79">
        <f t="shared" si="9"/>
        <v>2.3396603766327906</v>
      </c>
      <c r="R63" s="80">
        <f t="shared" si="10"/>
        <v>3.5909999999999997</v>
      </c>
      <c r="S63" s="81">
        <v>289.3</v>
      </c>
      <c r="T63" s="82">
        <v>65.14</v>
      </c>
    </row>
    <row r="64" spans="1:20" x14ac:dyDescent="0.25">
      <c r="A64" s="83" t="str">
        <f t="shared" si="0"/>
        <v>RECF  120*60*8</v>
      </c>
      <c r="B64" s="84">
        <f t="shared" si="1"/>
        <v>18.87334459665405</v>
      </c>
      <c r="C64" s="85">
        <v>120</v>
      </c>
      <c r="D64" s="85">
        <v>60</v>
      </c>
      <c r="E64" s="85">
        <v>8</v>
      </c>
      <c r="F64" s="85">
        <f t="shared" si="2"/>
        <v>12</v>
      </c>
      <c r="G64" s="85">
        <f t="shared" si="3"/>
        <v>20</v>
      </c>
      <c r="H64" s="84">
        <f t="shared" si="4"/>
        <v>24.042477193189871</v>
      </c>
      <c r="I64" s="85">
        <v>368</v>
      </c>
      <c r="J64" s="84">
        <f t="shared" si="5"/>
        <v>61.333333333333336</v>
      </c>
      <c r="K64" s="85">
        <v>83.4</v>
      </c>
      <c r="L64" s="84">
        <f t="shared" si="6"/>
        <v>3.9123193981531488</v>
      </c>
      <c r="M64" s="86">
        <f t="shared" si="7"/>
        <v>12.8</v>
      </c>
      <c r="N64" s="85">
        <v>121</v>
      </c>
      <c r="O64" s="84">
        <f t="shared" si="8"/>
        <v>40.333333333333336</v>
      </c>
      <c r="P64" s="85">
        <v>50.7</v>
      </c>
      <c r="Q64" s="84">
        <f t="shared" si="9"/>
        <v>2.2433812140025862</v>
      </c>
      <c r="R64" s="85">
        <f t="shared" si="10"/>
        <v>3.2</v>
      </c>
      <c r="S64" s="86">
        <v>339.6</v>
      </c>
      <c r="T64" s="87">
        <v>74.959999999999994</v>
      </c>
    </row>
    <row r="65" spans="1:20" x14ac:dyDescent="0.25">
      <c r="A65" s="70" t="str">
        <f t="shared" si="0"/>
        <v>RECF  120*80*3</v>
      </c>
      <c r="B65" s="71">
        <f t="shared" si="1"/>
        <v>8.9554605629283586</v>
      </c>
      <c r="C65" s="15">
        <v>120</v>
      </c>
      <c r="D65" s="15">
        <v>80</v>
      </c>
      <c r="E65" s="15">
        <v>3</v>
      </c>
      <c r="F65" s="15">
        <f t="shared" si="2"/>
        <v>3</v>
      </c>
      <c r="G65" s="15">
        <f t="shared" si="3"/>
        <v>6</v>
      </c>
      <c r="H65" s="71">
        <f t="shared" si="4"/>
        <v>11.408230016469245</v>
      </c>
      <c r="I65" s="15">
        <v>230</v>
      </c>
      <c r="J65" s="71">
        <f t="shared" si="5"/>
        <v>38.333333333333336</v>
      </c>
      <c r="K65" s="15">
        <v>46.2</v>
      </c>
      <c r="L65" s="71">
        <f t="shared" si="6"/>
        <v>4.4900872846798086</v>
      </c>
      <c r="M65" s="72">
        <f t="shared" si="7"/>
        <v>6.48</v>
      </c>
      <c r="N65" s="15">
        <v>123</v>
      </c>
      <c r="O65" s="71">
        <f t="shared" si="8"/>
        <v>30.75</v>
      </c>
      <c r="P65" s="15">
        <v>35</v>
      </c>
      <c r="Q65" s="71">
        <f t="shared" si="9"/>
        <v>3.2835483923694273</v>
      </c>
      <c r="R65" s="15">
        <f t="shared" si="10"/>
        <v>4.08</v>
      </c>
      <c r="S65" s="72">
        <v>255.5</v>
      </c>
      <c r="T65" s="15">
        <v>50.8</v>
      </c>
    </row>
    <row r="66" spans="1:20" x14ac:dyDescent="0.25">
      <c r="A66" s="70" t="str">
        <f t="shared" si="0"/>
        <v>RECF  120*80*4</v>
      </c>
      <c r="B66" s="71">
        <f t="shared" si="1"/>
        <v>11.734152111872634</v>
      </c>
      <c r="C66" s="15">
        <v>120</v>
      </c>
      <c r="D66" s="15">
        <v>80</v>
      </c>
      <c r="E66" s="15">
        <v>4</v>
      </c>
      <c r="F66" s="15">
        <f t="shared" si="2"/>
        <v>4</v>
      </c>
      <c r="G66" s="15">
        <f t="shared" si="3"/>
        <v>8</v>
      </c>
      <c r="H66" s="71">
        <f t="shared" si="4"/>
        <v>14.947964473723101</v>
      </c>
      <c r="I66" s="15">
        <v>294</v>
      </c>
      <c r="J66" s="71">
        <f t="shared" si="5"/>
        <v>49</v>
      </c>
      <c r="K66" s="15">
        <v>59.7</v>
      </c>
      <c r="L66" s="71">
        <f t="shared" si="6"/>
        <v>4.4348877978102514</v>
      </c>
      <c r="M66" s="72">
        <f t="shared" si="7"/>
        <v>8.32</v>
      </c>
      <c r="N66" s="15">
        <v>157</v>
      </c>
      <c r="O66" s="71">
        <f t="shared" si="8"/>
        <v>39.25</v>
      </c>
      <c r="P66" s="15">
        <v>45.2</v>
      </c>
      <c r="Q66" s="71">
        <f t="shared" si="9"/>
        <v>3.2408490086762396</v>
      </c>
      <c r="R66" s="15">
        <f t="shared" si="10"/>
        <v>5.12</v>
      </c>
      <c r="S66" s="72">
        <v>331.20000000000005</v>
      </c>
      <c r="T66" s="15">
        <v>64.930000000000007</v>
      </c>
    </row>
    <row r="67" spans="1:20" x14ac:dyDescent="0.25">
      <c r="A67" s="70" t="str">
        <f t="shared" si="0"/>
        <v>RECF  120*80*5</v>
      </c>
      <c r="B67" s="71">
        <f t="shared" si="1"/>
        <v>14.409612674800991</v>
      </c>
      <c r="C67" s="15">
        <v>120</v>
      </c>
      <c r="D67" s="15">
        <v>80</v>
      </c>
      <c r="E67" s="15">
        <v>5</v>
      </c>
      <c r="F67" s="15">
        <f t="shared" si="2"/>
        <v>5</v>
      </c>
      <c r="G67" s="15">
        <f t="shared" si="3"/>
        <v>10</v>
      </c>
      <c r="H67" s="71">
        <f t="shared" si="4"/>
        <v>18.356194490192344</v>
      </c>
      <c r="I67" s="15">
        <v>352</v>
      </c>
      <c r="J67" s="71">
        <f t="shared" si="5"/>
        <v>58.666666666666664</v>
      </c>
      <c r="K67" s="15">
        <v>72.400000000000006</v>
      </c>
      <c r="L67" s="71">
        <f t="shared" si="6"/>
        <v>4.3790510332225079</v>
      </c>
      <c r="M67" s="72">
        <f t="shared" si="7"/>
        <v>10</v>
      </c>
      <c r="N67" s="15">
        <v>187</v>
      </c>
      <c r="O67" s="71">
        <f t="shared" si="8"/>
        <v>46.75</v>
      </c>
      <c r="P67" s="15">
        <v>54.6</v>
      </c>
      <c r="Q67" s="71">
        <f t="shared" si="9"/>
        <v>3.1917544899741315</v>
      </c>
      <c r="R67" s="15">
        <f t="shared" si="10"/>
        <v>6</v>
      </c>
      <c r="S67" s="72">
        <v>402.3</v>
      </c>
      <c r="T67" s="15">
        <v>77.77</v>
      </c>
    </row>
    <row r="68" spans="1:20" x14ac:dyDescent="0.25">
      <c r="A68" s="70" t="str">
        <f t="shared" si="0"/>
        <v>RECF  120*80*6</v>
      </c>
      <c r="B68" s="71">
        <f t="shared" si="1"/>
        <v>16.981842251713431</v>
      </c>
      <c r="C68" s="15">
        <v>120</v>
      </c>
      <c r="D68" s="15">
        <v>80</v>
      </c>
      <c r="E68" s="15">
        <v>6</v>
      </c>
      <c r="F68" s="15">
        <f t="shared" si="2"/>
        <v>6</v>
      </c>
      <c r="G68" s="15">
        <f t="shared" si="3"/>
        <v>12</v>
      </c>
      <c r="H68" s="71">
        <f t="shared" si="4"/>
        <v>21.632920065876981</v>
      </c>
      <c r="I68" s="15">
        <v>404</v>
      </c>
      <c r="J68" s="71">
        <f t="shared" si="5"/>
        <v>67.333333333333329</v>
      </c>
      <c r="K68" s="15">
        <v>84.1</v>
      </c>
      <c r="L68" s="71">
        <f t="shared" si="6"/>
        <v>4.3214859939392616</v>
      </c>
      <c r="M68" s="72">
        <f t="shared" si="7"/>
        <v>11.52</v>
      </c>
      <c r="N68" s="15">
        <v>214</v>
      </c>
      <c r="O68" s="71">
        <f t="shared" si="8"/>
        <v>53.5</v>
      </c>
      <c r="P68" s="15">
        <v>63.4</v>
      </c>
      <c r="Q68" s="71">
        <f t="shared" si="9"/>
        <v>3.1452075817719423</v>
      </c>
      <c r="R68" s="15">
        <f t="shared" si="10"/>
        <v>6.72</v>
      </c>
      <c r="S68" s="72">
        <v>468.5</v>
      </c>
      <c r="T68" s="15">
        <v>89.4</v>
      </c>
    </row>
    <row r="69" spans="1:20" x14ac:dyDescent="0.25">
      <c r="A69" s="70" t="str">
        <f t="shared" ref="A69:A132" si="11">$B$3&amp;"  "&amp;C69&amp;"*"&amp;D69&amp;"*"&amp;E69</f>
        <v>RECF  120*80*6.3</v>
      </c>
      <c r="B69" s="71">
        <f t="shared" ref="B69:B132" si="12">H69*0.785</f>
        <v>17.465930110018739</v>
      </c>
      <c r="C69" s="15">
        <v>120</v>
      </c>
      <c r="D69" s="15">
        <v>80</v>
      </c>
      <c r="E69" s="15">
        <v>6.3</v>
      </c>
      <c r="F69" s="15">
        <f t="shared" ref="F69:F132" si="13">IF(E69&lt;=6,1*E69,IF(E69&lt;=10,1.5*E69,2*E69))</f>
        <v>9.4499999999999993</v>
      </c>
      <c r="G69" s="15">
        <f t="shared" ref="G69:G132" si="14">IF(E69&lt;=6,2*E69,IF(E69&lt;=10,2.5*E69,3*E69))</f>
        <v>15.75</v>
      </c>
      <c r="H69" s="71">
        <f t="shared" ref="H69:H132" si="15">(2*(C69-2*G69)*E69+2*(D69-2*G69)*E69+PI()*(G69^2-F69^2))*0.01</f>
        <v>22.249592496839156</v>
      </c>
      <c r="I69" s="15">
        <v>405</v>
      </c>
      <c r="J69" s="71">
        <f t="shared" ref="J69:J132" si="16">I69/(0.5*C69*0.1)</f>
        <v>67.5</v>
      </c>
      <c r="K69" s="15">
        <v>85.3</v>
      </c>
      <c r="L69" s="71">
        <f t="shared" ref="L69:L132" si="17">SQRT(I69/H69)</f>
        <v>4.2664482379025603</v>
      </c>
      <c r="M69" s="72">
        <f t="shared" ref="M69:M132" si="18">2*(C69-2*G69)*E69*0.01</f>
        <v>11.151</v>
      </c>
      <c r="N69" s="15">
        <v>215</v>
      </c>
      <c r="O69" s="71">
        <f t="shared" ref="O69:O132" si="19">N69/(0.5*D69*0.1)</f>
        <v>53.75</v>
      </c>
      <c r="P69" s="15">
        <v>64.400000000000006</v>
      </c>
      <c r="Q69" s="71">
        <f t="shared" ref="Q69:Q132" si="20">SQRT(N69/H69)</f>
        <v>3.1085524485736262</v>
      </c>
      <c r="R69" s="15">
        <f t="shared" ref="R69:R132" si="21">2*(D69-2*G69)*E69*0.01</f>
        <v>6.1110000000000007</v>
      </c>
      <c r="S69" s="72">
        <v>487.8</v>
      </c>
      <c r="T69" s="15">
        <v>92.07</v>
      </c>
    </row>
    <row r="70" spans="1:20" x14ac:dyDescent="0.25">
      <c r="A70" s="70" t="str">
        <f t="shared" si="11"/>
        <v>RECF  120*80*8</v>
      </c>
      <c r="B70" s="71">
        <f t="shared" si="12"/>
        <v>21.385344596654051</v>
      </c>
      <c r="C70" s="15">
        <v>120</v>
      </c>
      <c r="D70" s="15">
        <v>80</v>
      </c>
      <c r="E70" s="15">
        <v>8</v>
      </c>
      <c r="F70" s="15">
        <f t="shared" si="13"/>
        <v>12</v>
      </c>
      <c r="G70" s="15">
        <f t="shared" si="14"/>
        <v>20</v>
      </c>
      <c r="H70" s="71">
        <f t="shared" si="15"/>
        <v>27.24247719318987</v>
      </c>
      <c r="I70" s="15">
        <v>469</v>
      </c>
      <c r="J70" s="71">
        <f t="shared" si="16"/>
        <v>78.166666666666671</v>
      </c>
      <c r="K70" s="15">
        <v>101</v>
      </c>
      <c r="L70" s="71">
        <f t="shared" si="17"/>
        <v>4.1491880972158093</v>
      </c>
      <c r="M70" s="72">
        <f t="shared" si="18"/>
        <v>12.8</v>
      </c>
      <c r="N70" s="15">
        <v>247</v>
      </c>
      <c r="O70" s="71">
        <f t="shared" si="19"/>
        <v>61.75</v>
      </c>
      <c r="P70" s="15">
        <v>76.3</v>
      </c>
      <c r="Q70" s="71">
        <f t="shared" si="20"/>
        <v>3.0110999983823552</v>
      </c>
      <c r="R70" s="15">
        <f t="shared" si="21"/>
        <v>6.4</v>
      </c>
      <c r="S70" s="72">
        <v>584</v>
      </c>
      <c r="T70" s="15">
        <v>108</v>
      </c>
    </row>
    <row r="71" spans="1:20" x14ac:dyDescent="0.25">
      <c r="A71" s="73" t="str">
        <f t="shared" si="11"/>
        <v>RECF  140*80*4</v>
      </c>
      <c r="B71" s="74">
        <f t="shared" si="12"/>
        <v>12.990152111872636</v>
      </c>
      <c r="C71" s="75">
        <v>140</v>
      </c>
      <c r="D71" s="75">
        <v>80</v>
      </c>
      <c r="E71" s="75">
        <v>4</v>
      </c>
      <c r="F71" s="75">
        <f t="shared" si="13"/>
        <v>4</v>
      </c>
      <c r="G71" s="75">
        <f t="shared" si="14"/>
        <v>8</v>
      </c>
      <c r="H71" s="74">
        <f t="shared" si="15"/>
        <v>16.547964473723102</v>
      </c>
      <c r="I71" s="75">
        <v>429</v>
      </c>
      <c r="J71" s="74">
        <f t="shared" si="16"/>
        <v>61.285714285714285</v>
      </c>
      <c r="K71" s="75">
        <v>75.5</v>
      </c>
      <c r="L71" s="74">
        <f t="shared" si="17"/>
        <v>5.091624366330529</v>
      </c>
      <c r="M71" s="76">
        <f t="shared" si="18"/>
        <v>9.92</v>
      </c>
      <c r="N71" s="75">
        <v>180</v>
      </c>
      <c r="O71" s="74">
        <f t="shared" si="19"/>
        <v>45</v>
      </c>
      <c r="P71" s="75">
        <v>51.3</v>
      </c>
      <c r="Q71" s="74">
        <f t="shared" si="20"/>
        <v>3.2981010867016218</v>
      </c>
      <c r="R71" s="75">
        <f t="shared" si="21"/>
        <v>5.12</v>
      </c>
      <c r="S71" s="76">
        <v>411.6</v>
      </c>
      <c r="T71" s="77">
        <v>76.48</v>
      </c>
    </row>
    <row r="72" spans="1:20" x14ac:dyDescent="0.25">
      <c r="A72" s="78" t="str">
        <f t="shared" si="11"/>
        <v>RECF  140*80*5</v>
      </c>
      <c r="B72" s="79">
        <f t="shared" si="12"/>
        <v>15.979612674800991</v>
      </c>
      <c r="C72" s="80">
        <v>140</v>
      </c>
      <c r="D72" s="80">
        <v>80</v>
      </c>
      <c r="E72" s="80">
        <v>5</v>
      </c>
      <c r="F72" s="80">
        <f t="shared" si="13"/>
        <v>5</v>
      </c>
      <c r="G72" s="80">
        <f t="shared" si="14"/>
        <v>10</v>
      </c>
      <c r="H72" s="79">
        <f t="shared" si="15"/>
        <v>20.356194490192344</v>
      </c>
      <c r="I72" s="80">
        <v>416</v>
      </c>
      <c r="J72" s="79">
        <f t="shared" si="16"/>
        <v>59.428571428571431</v>
      </c>
      <c r="K72" s="80">
        <v>91.7</v>
      </c>
      <c r="L72" s="79">
        <f t="shared" si="17"/>
        <v>4.520623824404681</v>
      </c>
      <c r="M72" s="81">
        <f t="shared" si="18"/>
        <v>12</v>
      </c>
      <c r="N72" s="80">
        <v>215</v>
      </c>
      <c r="O72" s="79">
        <f t="shared" si="19"/>
        <v>53.75</v>
      </c>
      <c r="P72" s="80">
        <v>62.1</v>
      </c>
      <c r="Q72" s="79">
        <f t="shared" si="20"/>
        <v>3.2499070063550946</v>
      </c>
      <c r="R72" s="80">
        <f t="shared" si="21"/>
        <v>6</v>
      </c>
      <c r="S72" s="81">
        <v>500.5</v>
      </c>
      <c r="T72" s="82">
        <v>91.83</v>
      </c>
    </row>
    <row r="73" spans="1:20" x14ac:dyDescent="0.25">
      <c r="A73" s="78" t="str">
        <f t="shared" si="11"/>
        <v>RECF  140*80*6</v>
      </c>
      <c r="B73" s="79">
        <f t="shared" si="12"/>
        <v>18.865842251713431</v>
      </c>
      <c r="C73" s="80">
        <v>140</v>
      </c>
      <c r="D73" s="80">
        <v>80</v>
      </c>
      <c r="E73" s="80">
        <v>6</v>
      </c>
      <c r="F73" s="80">
        <f t="shared" si="13"/>
        <v>6</v>
      </c>
      <c r="G73" s="80">
        <f t="shared" si="14"/>
        <v>12</v>
      </c>
      <c r="H73" s="79">
        <f t="shared" si="15"/>
        <v>24.032920065876979</v>
      </c>
      <c r="I73" s="80">
        <v>495</v>
      </c>
      <c r="J73" s="79">
        <f t="shared" si="16"/>
        <v>70.714285714285708</v>
      </c>
      <c r="K73" s="80">
        <v>107</v>
      </c>
      <c r="L73" s="79">
        <f t="shared" si="17"/>
        <v>4.5383640302089274</v>
      </c>
      <c r="M73" s="81">
        <f t="shared" si="18"/>
        <v>13.92</v>
      </c>
      <c r="N73" s="80">
        <v>247</v>
      </c>
      <c r="O73" s="79">
        <f t="shared" si="19"/>
        <v>61.75</v>
      </c>
      <c r="P73" s="80">
        <v>72.3</v>
      </c>
      <c r="Q73" s="79">
        <f t="shared" si="20"/>
        <v>3.2058648192517576</v>
      </c>
      <c r="R73" s="80">
        <f t="shared" si="21"/>
        <v>6.72</v>
      </c>
      <c r="S73" s="81">
        <v>583.80000000000007</v>
      </c>
      <c r="T73" s="82">
        <v>105.8</v>
      </c>
    </row>
    <row r="74" spans="1:20" x14ac:dyDescent="0.25">
      <c r="A74" s="78" t="str">
        <f t="shared" si="11"/>
        <v>RECF  140*80*6.3</v>
      </c>
      <c r="B74" s="79">
        <f t="shared" si="12"/>
        <v>19.444130110018737</v>
      </c>
      <c r="C74" s="80">
        <v>140</v>
      </c>
      <c r="D74" s="80">
        <v>80</v>
      </c>
      <c r="E74" s="80">
        <v>6.3</v>
      </c>
      <c r="F74" s="80">
        <f t="shared" si="13"/>
        <v>9.4499999999999993</v>
      </c>
      <c r="G74" s="80">
        <f t="shared" si="14"/>
        <v>15.75</v>
      </c>
      <c r="H74" s="79">
        <f t="shared" si="15"/>
        <v>24.769592496839156</v>
      </c>
      <c r="I74" s="80">
        <v>599</v>
      </c>
      <c r="J74" s="79">
        <f t="shared" si="16"/>
        <v>85.571428571428569</v>
      </c>
      <c r="K74" s="80">
        <v>109</v>
      </c>
      <c r="L74" s="79">
        <f t="shared" si="17"/>
        <v>4.9176088344965798</v>
      </c>
      <c r="M74" s="81">
        <f t="shared" si="18"/>
        <v>13.670999999999999</v>
      </c>
      <c r="N74" s="80">
        <v>249</v>
      </c>
      <c r="O74" s="79">
        <f t="shared" si="19"/>
        <v>62.25</v>
      </c>
      <c r="P74" s="80">
        <v>73.7</v>
      </c>
      <c r="Q74" s="79">
        <f t="shared" si="20"/>
        <v>3.1705911472609416</v>
      </c>
      <c r="R74" s="80">
        <f t="shared" si="21"/>
        <v>6.1110000000000007</v>
      </c>
      <c r="S74" s="81">
        <v>608.5</v>
      </c>
      <c r="T74" s="82">
        <v>109.2</v>
      </c>
    </row>
    <row r="75" spans="1:20" x14ac:dyDescent="0.25">
      <c r="A75" s="83" t="str">
        <f t="shared" si="11"/>
        <v>RECF  140*80*8</v>
      </c>
      <c r="B75" s="84">
        <f t="shared" si="12"/>
        <v>23.897344596654047</v>
      </c>
      <c r="C75" s="85">
        <v>140</v>
      </c>
      <c r="D75" s="85">
        <v>80</v>
      </c>
      <c r="E75" s="85">
        <v>8</v>
      </c>
      <c r="F75" s="85">
        <f t="shared" si="13"/>
        <v>12</v>
      </c>
      <c r="G75" s="85">
        <f t="shared" si="14"/>
        <v>20</v>
      </c>
      <c r="H75" s="84">
        <f t="shared" si="15"/>
        <v>30.44247719318987</v>
      </c>
      <c r="I75" s="85">
        <v>700</v>
      </c>
      <c r="J75" s="84">
        <f t="shared" si="16"/>
        <v>100</v>
      </c>
      <c r="K75" s="85">
        <v>130</v>
      </c>
      <c r="L75" s="84">
        <f t="shared" si="17"/>
        <v>4.7952253922355288</v>
      </c>
      <c r="M75" s="86">
        <f t="shared" si="18"/>
        <v>16</v>
      </c>
      <c r="N75" s="85">
        <v>289</v>
      </c>
      <c r="O75" s="84">
        <f t="shared" si="19"/>
        <v>72.25</v>
      </c>
      <c r="P75" s="85">
        <v>87.8</v>
      </c>
      <c r="Q75" s="84">
        <f t="shared" si="20"/>
        <v>3.0811222251725034</v>
      </c>
      <c r="R75" s="85">
        <f t="shared" si="21"/>
        <v>6.4</v>
      </c>
      <c r="S75" s="86">
        <v>731.40000000000009</v>
      </c>
      <c r="T75" s="87">
        <v>128.80000000000001</v>
      </c>
    </row>
    <row r="76" spans="1:20" x14ac:dyDescent="0.25">
      <c r="A76" s="70" t="str">
        <f t="shared" si="11"/>
        <v>RECF  150*100*4</v>
      </c>
      <c r="B76" s="71">
        <f t="shared" si="12"/>
        <v>14.874152111872634</v>
      </c>
      <c r="C76" s="15">
        <v>150</v>
      </c>
      <c r="D76" s="15">
        <v>100</v>
      </c>
      <c r="E76" s="15">
        <v>4</v>
      </c>
      <c r="F76" s="15">
        <f t="shared" si="13"/>
        <v>4</v>
      </c>
      <c r="G76" s="15">
        <f t="shared" si="14"/>
        <v>8</v>
      </c>
      <c r="H76" s="71">
        <f t="shared" si="15"/>
        <v>18.947964473723101</v>
      </c>
      <c r="I76" s="15">
        <v>594</v>
      </c>
      <c r="J76" s="71">
        <f t="shared" si="16"/>
        <v>79.2</v>
      </c>
      <c r="K76" s="15">
        <v>95.6</v>
      </c>
      <c r="L76" s="71">
        <f t="shared" si="17"/>
        <v>5.5990190044515371</v>
      </c>
      <c r="M76" s="72">
        <f t="shared" si="18"/>
        <v>10.72</v>
      </c>
      <c r="N76" s="15">
        <v>318</v>
      </c>
      <c r="O76" s="71">
        <f t="shared" si="19"/>
        <v>63.6</v>
      </c>
      <c r="P76" s="15">
        <v>72.400000000000006</v>
      </c>
      <c r="Q76" s="71">
        <f t="shared" si="20"/>
        <v>4.0966822398391063</v>
      </c>
      <c r="R76" s="15">
        <f t="shared" si="21"/>
        <v>6.72</v>
      </c>
      <c r="S76" s="72">
        <v>661.6</v>
      </c>
      <c r="T76" s="15">
        <v>104.9</v>
      </c>
    </row>
    <row r="77" spans="1:20" x14ac:dyDescent="0.25">
      <c r="A77" s="70" t="str">
        <f t="shared" si="11"/>
        <v>RECF  150*100*5</v>
      </c>
      <c r="B77" s="71">
        <f t="shared" si="12"/>
        <v>18.334612674800994</v>
      </c>
      <c r="C77" s="15">
        <v>150</v>
      </c>
      <c r="D77" s="15">
        <v>100</v>
      </c>
      <c r="E77" s="15">
        <v>5</v>
      </c>
      <c r="F77" s="15">
        <f t="shared" si="13"/>
        <v>5</v>
      </c>
      <c r="G77" s="15">
        <f t="shared" si="14"/>
        <v>10</v>
      </c>
      <c r="H77" s="71">
        <f t="shared" si="15"/>
        <v>23.356194490192348</v>
      </c>
      <c r="I77" s="15">
        <v>718</v>
      </c>
      <c r="J77" s="71">
        <f t="shared" si="16"/>
        <v>95.733333333333334</v>
      </c>
      <c r="K77" s="15">
        <v>117</v>
      </c>
      <c r="L77" s="71">
        <f t="shared" si="17"/>
        <v>5.5444845880708664</v>
      </c>
      <c r="M77" s="72">
        <f t="shared" si="18"/>
        <v>13</v>
      </c>
      <c r="N77" s="15">
        <v>383</v>
      </c>
      <c r="O77" s="71">
        <f t="shared" si="19"/>
        <v>76.599999999999994</v>
      </c>
      <c r="P77" s="15">
        <v>88.2</v>
      </c>
      <c r="Q77" s="71">
        <f t="shared" si="20"/>
        <v>4.0494714879262954</v>
      </c>
      <c r="R77" s="15">
        <f t="shared" si="21"/>
        <v>8</v>
      </c>
      <c r="S77" s="72">
        <v>808.7</v>
      </c>
      <c r="T77" s="15">
        <v>126.8</v>
      </c>
    </row>
    <row r="78" spans="1:20" x14ac:dyDescent="0.25">
      <c r="A78" s="70" t="str">
        <f t="shared" si="11"/>
        <v>RECF  150*100*6</v>
      </c>
      <c r="B78" s="71">
        <f t="shared" si="12"/>
        <v>21.691842251713432</v>
      </c>
      <c r="C78" s="15">
        <v>150</v>
      </c>
      <c r="D78" s="15">
        <v>100</v>
      </c>
      <c r="E78" s="15">
        <v>6</v>
      </c>
      <c r="F78" s="15">
        <f t="shared" si="13"/>
        <v>6</v>
      </c>
      <c r="G78" s="15">
        <f t="shared" si="14"/>
        <v>12</v>
      </c>
      <c r="H78" s="71">
        <f t="shared" si="15"/>
        <v>27.632920065876981</v>
      </c>
      <c r="I78" s="15">
        <v>832</v>
      </c>
      <c r="J78" s="71">
        <f t="shared" si="16"/>
        <v>110.93333333333334</v>
      </c>
      <c r="K78" s="15">
        <v>137</v>
      </c>
      <c r="L78" s="71">
        <f t="shared" si="17"/>
        <v>5.4871681975167963</v>
      </c>
      <c r="M78" s="72">
        <f t="shared" si="18"/>
        <v>15.120000000000001</v>
      </c>
      <c r="N78" s="15">
        <v>443</v>
      </c>
      <c r="O78" s="71">
        <f t="shared" si="19"/>
        <v>88.6</v>
      </c>
      <c r="P78" s="15">
        <v>103</v>
      </c>
      <c r="Q78" s="71">
        <f t="shared" si="20"/>
        <v>4.0039484071394895</v>
      </c>
      <c r="R78" s="15">
        <f t="shared" si="21"/>
        <v>9.120000000000001</v>
      </c>
      <c r="S78" s="72">
        <v>948.30000000000007</v>
      </c>
      <c r="T78" s="15">
        <v>147.1</v>
      </c>
    </row>
    <row r="79" spans="1:20" x14ac:dyDescent="0.25">
      <c r="A79" s="70" t="str">
        <f t="shared" si="11"/>
        <v>RECF  150*100*6.3</v>
      </c>
      <c r="B79" s="71">
        <f t="shared" si="12"/>
        <v>22.411430110018735</v>
      </c>
      <c r="C79" s="15">
        <v>150</v>
      </c>
      <c r="D79" s="15">
        <v>100</v>
      </c>
      <c r="E79" s="15">
        <v>6.3</v>
      </c>
      <c r="F79" s="15">
        <f t="shared" si="13"/>
        <v>9.4499999999999993</v>
      </c>
      <c r="G79" s="15">
        <f t="shared" si="14"/>
        <v>15.75</v>
      </c>
      <c r="H79" s="71">
        <f t="shared" si="15"/>
        <v>28.549592496839153</v>
      </c>
      <c r="I79" s="15">
        <v>844</v>
      </c>
      <c r="J79" s="71">
        <f t="shared" si="16"/>
        <v>112.53333333333333</v>
      </c>
      <c r="K79" s="15">
        <v>140</v>
      </c>
      <c r="L79" s="71">
        <f t="shared" si="17"/>
        <v>5.4371493988072661</v>
      </c>
      <c r="M79" s="72">
        <f t="shared" si="18"/>
        <v>14.930999999999999</v>
      </c>
      <c r="N79" s="15">
        <v>450</v>
      </c>
      <c r="O79" s="71">
        <f t="shared" si="19"/>
        <v>90</v>
      </c>
      <c r="P79" s="15">
        <v>106</v>
      </c>
      <c r="Q79" s="71">
        <f t="shared" si="20"/>
        <v>3.9701443730281052</v>
      </c>
      <c r="R79" s="15">
        <f t="shared" si="21"/>
        <v>8.6310000000000002</v>
      </c>
      <c r="S79" s="72">
        <v>991.6</v>
      </c>
      <c r="T79" s="15">
        <v>152.30000000000001</v>
      </c>
    </row>
    <row r="80" spans="1:20" x14ac:dyDescent="0.25">
      <c r="A80" s="70" t="str">
        <f t="shared" si="11"/>
        <v>RECF  150*100*8</v>
      </c>
      <c r="B80" s="71">
        <f t="shared" si="12"/>
        <v>27.665344596654048</v>
      </c>
      <c r="C80" s="15">
        <v>150</v>
      </c>
      <c r="D80" s="15">
        <v>100</v>
      </c>
      <c r="E80" s="15">
        <v>8</v>
      </c>
      <c r="F80" s="15">
        <f t="shared" si="13"/>
        <v>12</v>
      </c>
      <c r="G80" s="15">
        <f t="shared" si="14"/>
        <v>20</v>
      </c>
      <c r="H80" s="71">
        <f t="shared" si="15"/>
        <v>35.24247719318987</v>
      </c>
      <c r="I80" s="15">
        <v>999</v>
      </c>
      <c r="J80" s="71">
        <f t="shared" si="16"/>
        <v>133.19999999999999</v>
      </c>
      <c r="K80" s="15">
        <v>169</v>
      </c>
      <c r="L80" s="71">
        <f t="shared" si="17"/>
        <v>5.3241407792275828</v>
      </c>
      <c r="M80" s="72">
        <f t="shared" si="18"/>
        <v>17.600000000000001</v>
      </c>
      <c r="N80" s="15">
        <v>530</v>
      </c>
      <c r="O80" s="71">
        <f t="shared" si="19"/>
        <v>106</v>
      </c>
      <c r="P80" s="15">
        <v>127</v>
      </c>
      <c r="Q80" s="71">
        <f t="shared" si="20"/>
        <v>3.877972465099274</v>
      </c>
      <c r="R80" s="15">
        <f t="shared" si="21"/>
        <v>9.6</v>
      </c>
      <c r="S80" s="72">
        <v>1206</v>
      </c>
      <c r="T80" s="15">
        <v>181.8</v>
      </c>
    </row>
    <row r="81" spans="1:20" x14ac:dyDescent="0.25">
      <c r="A81" s="70" t="str">
        <f t="shared" si="11"/>
        <v>RECF  150*100*10</v>
      </c>
      <c r="B81" s="71">
        <f t="shared" si="12"/>
        <v>33.414600932271959</v>
      </c>
      <c r="C81" s="15">
        <v>150</v>
      </c>
      <c r="D81" s="15">
        <v>100</v>
      </c>
      <c r="E81" s="15">
        <v>10</v>
      </c>
      <c r="F81" s="15">
        <f t="shared" si="13"/>
        <v>15</v>
      </c>
      <c r="G81" s="15">
        <f t="shared" si="14"/>
        <v>25</v>
      </c>
      <c r="H81" s="71">
        <f t="shared" si="15"/>
        <v>42.56637061435918</v>
      </c>
      <c r="I81" s="15">
        <v>1145</v>
      </c>
      <c r="J81" s="71">
        <f t="shared" si="16"/>
        <v>152.66666666666666</v>
      </c>
      <c r="K81" s="15">
        <v>198</v>
      </c>
      <c r="L81" s="71">
        <f t="shared" si="17"/>
        <v>5.1864408869164444</v>
      </c>
      <c r="M81" s="72">
        <f t="shared" si="18"/>
        <v>20</v>
      </c>
      <c r="N81" s="15">
        <v>603</v>
      </c>
      <c r="O81" s="71">
        <f t="shared" si="19"/>
        <v>120.6</v>
      </c>
      <c r="P81" s="15">
        <v>149</v>
      </c>
      <c r="Q81" s="71">
        <f t="shared" si="20"/>
        <v>3.7637896621927953</v>
      </c>
      <c r="R81" s="15">
        <f t="shared" si="21"/>
        <v>10</v>
      </c>
      <c r="S81" s="72">
        <v>1426</v>
      </c>
      <c r="T81" s="15">
        <v>211</v>
      </c>
    </row>
    <row r="82" spans="1:20" x14ac:dyDescent="0.25">
      <c r="A82" s="70" t="str">
        <f t="shared" si="11"/>
        <v>RECF  150*100*12</v>
      </c>
      <c r="B82" s="71">
        <f t="shared" si="12"/>
        <v>37.726681678089513</v>
      </c>
      <c r="C82" s="15">
        <v>150</v>
      </c>
      <c r="D82" s="15">
        <v>100</v>
      </c>
      <c r="E82" s="15">
        <v>12</v>
      </c>
      <c r="F82" s="15">
        <f t="shared" si="13"/>
        <v>24</v>
      </c>
      <c r="G82" s="15">
        <f t="shared" si="14"/>
        <v>36</v>
      </c>
      <c r="H82" s="71">
        <f t="shared" si="15"/>
        <v>48.059467105846508</v>
      </c>
      <c r="I82" s="15">
        <v>1166</v>
      </c>
      <c r="J82" s="71">
        <f t="shared" si="16"/>
        <v>155.46666666666667</v>
      </c>
      <c r="K82" s="15">
        <v>212</v>
      </c>
      <c r="L82" s="71">
        <f t="shared" si="17"/>
        <v>4.9256074759219262</v>
      </c>
      <c r="M82" s="72">
        <f t="shared" si="18"/>
        <v>18.72</v>
      </c>
      <c r="N82" s="15">
        <v>616</v>
      </c>
      <c r="O82" s="71">
        <f t="shared" si="19"/>
        <v>123.2</v>
      </c>
      <c r="P82" s="15">
        <v>160</v>
      </c>
      <c r="Q82" s="71">
        <f t="shared" si="20"/>
        <v>3.580147177832754</v>
      </c>
      <c r="R82" s="15">
        <f t="shared" si="21"/>
        <v>6.72</v>
      </c>
      <c r="S82" s="72">
        <v>1573</v>
      </c>
      <c r="T82" s="15">
        <v>228.7</v>
      </c>
    </row>
    <row r="83" spans="1:20" x14ac:dyDescent="0.25">
      <c r="A83" s="70" t="str">
        <f t="shared" si="11"/>
        <v>RECF  150*100*12.5</v>
      </c>
      <c r="B83" s="71">
        <f t="shared" si="12"/>
        <v>38.891798695843654</v>
      </c>
      <c r="C83" s="15">
        <v>150</v>
      </c>
      <c r="D83" s="15">
        <v>100</v>
      </c>
      <c r="E83" s="15">
        <v>12.5</v>
      </c>
      <c r="F83" s="15">
        <f t="shared" si="13"/>
        <v>25</v>
      </c>
      <c r="G83" s="15">
        <f t="shared" si="14"/>
        <v>37.5</v>
      </c>
      <c r="H83" s="71">
        <f t="shared" si="15"/>
        <v>49.543692606170261</v>
      </c>
      <c r="I83" s="15">
        <v>1179</v>
      </c>
      <c r="J83" s="71">
        <f t="shared" si="16"/>
        <v>157.19999999999999</v>
      </c>
      <c r="K83" s="15">
        <v>216</v>
      </c>
      <c r="L83" s="71">
        <f t="shared" si="17"/>
        <v>4.8782349832968661</v>
      </c>
      <c r="M83" s="72">
        <f t="shared" si="18"/>
        <v>18.75</v>
      </c>
      <c r="N83" s="15">
        <v>622</v>
      </c>
      <c r="O83" s="71">
        <f t="shared" si="19"/>
        <v>124.4</v>
      </c>
      <c r="P83" s="15">
        <v>163</v>
      </c>
      <c r="Q83" s="71">
        <f t="shared" si="20"/>
        <v>3.5432435574103933</v>
      </c>
      <c r="R83" s="15">
        <f t="shared" si="21"/>
        <v>6.25</v>
      </c>
      <c r="S83" s="72">
        <v>1606</v>
      </c>
      <c r="T83" s="15">
        <v>232.9</v>
      </c>
    </row>
    <row r="84" spans="1:20" x14ac:dyDescent="0.25">
      <c r="A84" s="73" t="str">
        <f t="shared" si="11"/>
        <v>RECF  160*80*4</v>
      </c>
      <c r="B84" s="74">
        <f t="shared" si="12"/>
        <v>14.246152111872634</v>
      </c>
      <c r="C84" s="75">
        <v>160</v>
      </c>
      <c r="D84" s="75">
        <v>80</v>
      </c>
      <c r="E84" s="75">
        <v>4</v>
      </c>
      <c r="F84" s="75">
        <f t="shared" si="13"/>
        <v>4</v>
      </c>
      <c r="G84" s="75">
        <f t="shared" si="14"/>
        <v>8</v>
      </c>
      <c r="H84" s="74">
        <f t="shared" si="15"/>
        <v>18.1479644737231</v>
      </c>
      <c r="I84" s="75">
        <v>597</v>
      </c>
      <c r="J84" s="74">
        <f t="shared" si="16"/>
        <v>74.625</v>
      </c>
      <c r="K84" s="75">
        <v>92.8</v>
      </c>
      <c r="L84" s="74">
        <f t="shared" si="17"/>
        <v>5.7355253730500069</v>
      </c>
      <c r="M84" s="76">
        <f t="shared" si="18"/>
        <v>11.52</v>
      </c>
      <c r="N84" s="75">
        <v>203</v>
      </c>
      <c r="O84" s="74">
        <f t="shared" si="19"/>
        <v>50.75</v>
      </c>
      <c r="P84" s="75">
        <v>57.3</v>
      </c>
      <c r="Q84" s="74">
        <f t="shared" si="20"/>
        <v>3.3445220130290898</v>
      </c>
      <c r="R84" s="75">
        <f t="shared" si="21"/>
        <v>5.12</v>
      </c>
      <c r="S84" s="76">
        <v>494.1</v>
      </c>
      <c r="T84" s="77">
        <v>88.03</v>
      </c>
    </row>
    <row r="85" spans="1:20" x14ac:dyDescent="0.25">
      <c r="A85" s="78" t="str">
        <f t="shared" si="11"/>
        <v>RECF  160*80*5</v>
      </c>
      <c r="B85" s="79">
        <f t="shared" si="12"/>
        <v>17.549612674800994</v>
      </c>
      <c r="C85" s="80">
        <v>160</v>
      </c>
      <c r="D85" s="80">
        <v>80</v>
      </c>
      <c r="E85" s="80">
        <v>5</v>
      </c>
      <c r="F85" s="80">
        <f t="shared" si="13"/>
        <v>5</v>
      </c>
      <c r="G85" s="80">
        <f t="shared" si="14"/>
        <v>10</v>
      </c>
      <c r="H85" s="79">
        <f t="shared" si="15"/>
        <v>22.356194490192348</v>
      </c>
      <c r="I85" s="80">
        <v>720</v>
      </c>
      <c r="J85" s="79">
        <f t="shared" si="16"/>
        <v>90</v>
      </c>
      <c r="K85" s="80">
        <v>113</v>
      </c>
      <c r="L85" s="79">
        <f t="shared" si="17"/>
        <v>5.675018853002773</v>
      </c>
      <c r="M85" s="81">
        <f t="shared" si="18"/>
        <v>14</v>
      </c>
      <c r="N85" s="80">
        <v>243</v>
      </c>
      <c r="O85" s="79">
        <f t="shared" si="19"/>
        <v>60.75</v>
      </c>
      <c r="P85" s="80">
        <v>69.599999999999994</v>
      </c>
      <c r="Q85" s="79">
        <f t="shared" si="20"/>
        <v>3.2968880260639288</v>
      </c>
      <c r="R85" s="80">
        <f t="shared" si="21"/>
        <v>6</v>
      </c>
      <c r="S85" s="81">
        <v>601.30000000000007</v>
      </c>
      <c r="T85" s="82">
        <v>105.9</v>
      </c>
    </row>
    <row r="86" spans="1:20" x14ac:dyDescent="0.25">
      <c r="A86" s="78" t="str">
        <f t="shared" si="11"/>
        <v>RECF  160*80*6</v>
      </c>
      <c r="B86" s="79">
        <f t="shared" si="12"/>
        <v>20.749842251713428</v>
      </c>
      <c r="C86" s="80">
        <v>160</v>
      </c>
      <c r="D86" s="80">
        <v>80</v>
      </c>
      <c r="E86" s="80">
        <v>6</v>
      </c>
      <c r="F86" s="80">
        <f t="shared" si="13"/>
        <v>6</v>
      </c>
      <c r="G86" s="80">
        <f t="shared" si="14"/>
        <v>12</v>
      </c>
      <c r="H86" s="79">
        <f t="shared" si="15"/>
        <v>26.432920065876978</v>
      </c>
      <c r="I86" s="80">
        <v>833</v>
      </c>
      <c r="J86" s="79">
        <f t="shared" si="16"/>
        <v>104.125</v>
      </c>
      <c r="K86" s="80">
        <v>132</v>
      </c>
      <c r="L86" s="79">
        <f t="shared" si="17"/>
        <v>5.6137094290329177</v>
      </c>
      <c r="M86" s="81">
        <f t="shared" si="18"/>
        <v>16.32</v>
      </c>
      <c r="N86" s="80">
        <v>280</v>
      </c>
      <c r="O86" s="79">
        <f t="shared" si="19"/>
        <v>70</v>
      </c>
      <c r="P86" s="80">
        <v>81.099999999999994</v>
      </c>
      <c r="Q86" s="79">
        <f t="shared" si="20"/>
        <v>3.2546661295223296</v>
      </c>
      <c r="R86" s="80">
        <f t="shared" si="21"/>
        <v>6.72</v>
      </c>
      <c r="S86" s="81">
        <v>702.1</v>
      </c>
      <c r="T86" s="82">
        <v>122.3</v>
      </c>
    </row>
    <row r="87" spans="1:20" x14ac:dyDescent="0.25">
      <c r="A87" s="78" t="str">
        <f t="shared" si="11"/>
        <v>RECF  160*80*6.3</v>
      </c>
      <c r="B87" s="79">
        <f t="shared" si="12"/>
        <v>21.422330110018738</v>
      </c>
      <c r="C87" s="80">
        <v>160</v>
      </c>
      <c r="D87" s="80">
        <v>80</v>
      </c>
      <c r="E87" s="80">
        <v>6.3</v>
      </c>
      <c r="F87" s="80">
        <f t="shared" si="13"/>
        <v>9.4499999999999993</v>
      </c>
      <c r="G87" s="80">
        <f t="shared" si="14"/>
        <v>15.75</v>
      </c>
      <c r="H87" s="79">
        <f t="shared" si="15"/>
        <v>27.289592496839155</v>
      </c>
      <c r="I87" s="80">
        <v>842</v>
      </c>
      <c r="J87" s="79">
        <f t="shared" si="16"/>
        <v>105.25</v>
      </c>
      <c r="K87" s="80">
        <v>135</v>
      </c>
      <c r="L87" s="79">
        <f t="shared" si="17"/>
        <v>5.5546605048168898</v>
      </c>
      <c r="M87" s="81">
        <f t="shared" si="18"/>
        <v>16.190999999999999</v>
      </c>
      <c r="N87" s="80">
        <v>283</v>
      </c>
      <c r="O87" s="79">
        <f t="shared" si="19"/>
        <v>70.75</v>
      </c>
      <c r="P87" s="80">
        <v>83</v>
      </c>
      <c r="Q87" s="79">
        <f t="shared" si="20"/>
        <v>3.2202878426227688</v>
      </c>
      <c r="R87" s="80">
        <f t="shared" si="21"/>
        <v>6.1110000000000007</v>
      </c>
      <c r="S87" s="81">
        <v>732.30000000000007</v>
      </c>
      <c r="T87" s="82">
        <v>126.3</v>
      </c>
    </row>
    <row r="88" spans="1:20" x14ac:dyDescent="0.25">
      <c r="A88" s="78" t="str">
        <f t="shared" si="11"/>
        <v>RECF  160*80*8</v>
      </c>
      <c r="B88" s="79">
        <f t="shared" si="12"/>
        <v>26.409344596654048</v>
      </c>
      <c r="C88" s="80">
        <v>160</v>
      </c>
      <c r="D88" s="80">
        <v>80</v>
      </c>
      <c r="E88" s="80">
        <v>8</v>
      </c>
      <c r="F88" s="80">
        <f t="shared" si="13"/>
        <v>12</v>
      </c>
      <c r="G88" s="80">
        <f t="shared" si="14"/>
        <v>20</v>
      </c>
      <c r="H88" s="79">
        <f t="shared" si="15"/>
        <v>33.642477193189869</v>
      </c>
      <c r="I88" s="80">
        <v>992</v>
      </c>
      <c r="J88" s="79">
        <f t="shared" si="16"/>
        <v>124</v>
      </c>
      <c r="K88" s="80">
        <v>162</v>
      </c>
      <c r="L88" s="79">
        <f t="shared" si="17"/>
        <v>5.4301503280375059</v>
      </c>
      <c r="M88" s="81">
        <f t="shared" si="18"/>
        <v>19.2</v>
      </c>
      <c r="N88" s="80">
        <v>330</v>
      </c>
      <c r="O88" s="79">
        <f t="shared" si="19"/>
        <v>82.5</v>
      </c>
      <c r="P88" s="80">
        <v>99.4</v>
      </c>
      <c r="Q88" s="79">
        <f t="shared" si="20"/>
        <v>3.1319367772823052</v>
      </c>
      <c r="R88" s="80">
        <f t="shared" si="21"/>
        <v>6.4</v>
      </c>
      <c r="S88" s="81">
        <v>882.30000000000007</v>
      </c>
      <c r="T88" s="82">
        <v>149.5</v>
      </c>
    </row>
    <row r="89" spans="1:20" x14ac:dyDescent="0.25">
      <c r="A89" s="78" t="str">
        <f t="shared" si="11"/>
        <v>RECF  160*80*10</v>
      </c>
      <c r="B89" s="79">
        <f t="shared" si="12"/>
        <v>31.844600932271959</v>
      </c>
      <c r="C89" s="80">
        <v>160</v>
      </c>
      <c r="D89" s="80">
        <v>80</v>
      </c>
      <c r="E89" s="80">
        <v>10</v>
      </c>
      <c r="F89" s="80">
        <f t="shared" si="13"/>
        <v>15</v>
      </c>
      <c r="G89" s="80">
        <f t="shared" si="14"/>
        <v>25</v>
      </c>
      <c r="H89" s="79">
        <f t="shared" si="15"/>
        <v>40.56637061435918</v>
      </c>
      <c r="I89" s="80">
        <v>1128</v>
      </c>
      <c r="J89" s="79">
        <f t="shared" si="16"/>
        <v>141</v>
      </c>
      <c r="K89" s="80">
        <v>190</v>
      </c>
      <c r="L89" s="79">
        <f t="shared" si="17"/>
        <v>5.273166359401988</v>
      </c>
      <c r="M89" s="81">
        <f t="shared" si="18"/>
        <v>22</v>
      </c>
      <c r="N89" s="80">
        <v>371</v>
      </c>
      <c r="O89" s="79">
        <f t="shared" si="19"/>
        <v>92.75</v>
      </c>
      <c r="P89" s="80">
        <v>115</v>
      </c>
      <c r="Q89" s="79">
        <f t="shared" si="20"/>
        <v>3.0241538235952214</v>
      </c>
      <c r="R89" s="80">
        <f t="shared" si="21"/>
        <v>6</v>
      </c>
      <c r="S89" s="81">
        <v>1031</v>
      </c>
      <c r="T89" s="82">
        <v>171.6</v>
      </c>
    </row>
    <row r="90" spans="1:20" x14ac:dyDescent="0.25">
      <c r="A90" s="78" t="str">
        <f t="shared" si="11"/>
        <v>RECF  160*80*12</v>
      </c>
      <c r="B90" s="79">
        <f t="shared" si="12"/>
        <v>35.842681678089512</v>
      </c>
      <c r="C90" s="80">
        <v>160</v>
      </c>
      <c r="D90" s="80">
        <v>80</v>
      </c>
      <c r="E90" s="80">
        <v>12</v>
      </c>
      <c r="F90" s="80">
        <f t="shared" si="13"/>
        <v>24</v>
      </c>
      <c r="G90" s="80">
        <f t="shared" si="14"/>
        <v>36</v>
      </c>
      <c r="H90" s="79">
        <f t="shared" si="15"/>
        <v>45.65946710584651</v>
      </c>
      <c r="I90" s="80">
        <v>1127</v>
      </c>
      <c r="J90" s="79">
        <f t="shared" si="16"/>
        <v>140.875</v>
      </c>
      <c r="K90" s="80">
        <v>201</v>
      </c>
      <c r="L90" s="79">
        <f t="shared" si="17"/>
        <v>4.9681710379263215</v>
      </c>
      <c r="M90" s="81">
        <f t="shared" si="18"/>
        <v>21.12</v>
      </c>
      <c r="N90" s="80">
        <v>371</v>
      </c>
      <c r="O90" s="79">
        <f t="shared" si="19"/>
        <v>92.75</v>
      </c>
      <c r="P90" s="80">
        <v>122</v>
      </c>
      <c r="Q90" s="79">
        <f t="shared" si="20"/>
        <v>2.8505032175232401</v>
      </c>
      <c r="R90" s="80">
        <f t="shared" si="21"/>
        <v>1.92</v>
      </c>
      <c r="S90" s="81">
        <v>1111</v>
      </c>
      <c r="T90" s="82">
        <v>182.6</v>
      </c>
    </row>
    <row r="91" spans="1:20" x14ac:dyDescent="0.25">
      <c r="A91" s="83" t="str">
        <f t="shared" si="11"/>
        <v>RECF  160*80*12.5</v>
      </c>
      <c r="B91" s="84">
        <f t="shared" si="12"/>
        <v>36.929298695843656</v>
      </c>
      <c r="C91" s="85">
        <v>160</v>
      </c>
      <c r="D91" s="85">
        <v>80</v>
      </c>
      <c r="E91" s="85">
        <v>12.5</v>
      </c>
      <c r="F91" s="85">
        <f t="shared" si="13"/>
        <v>25</v>
      </c>
      <c r="G91" s="85">
        <f t="shared" si="14"/>
        <v>37.5</v>
      </c>
      <c r="H91" s="84">
        <f t="shared" si="15"/>
        <v>47.043692606170261</v>
      </c>
      <c r="I91" s="85">
        <v>1135</v>
      </c>
      <c r="J91" s="84">
        <f t="shared" si="16"/>
        <v>141.875</v>
      </c>
      <c r="K91" s="85">
        <v>205</v>
      </c>
      <c r="L91" s="84">
        <f t="shared" si="17"/>
        <v>4.9118741277704459</v>
      </c>
      <c r="M91" s="86">
        <f t="shared" si="18"/>
        <v>21.25</v>
      </c>
      <c r="N91" s="85">
        <v>373</v>
      </c>
      <c r="O91" s="84">
        <f t="shared" si="19"/>
        <v>93.25</v>
      </c>
      <c r="P91" s="85">
        <v>124</v>
      </c>
      <c r="Q91" s="84">
        <f t="shared" si="20"/>
        <v>2.8158123807632474</v>
      </c>
      <c r="R91" s="85">
        <f t="shared" si="21"/>
        <v>1.25</v>
      </c>
      <c r="S91" s="86">
        <v>1129</v>
      </c>
      <c r="T91" s="87">
        <v>185.2</v>
      </c>
    </row>
    <row r="92" spans="1:20" x14ac:dyDescent="0.25">
      <c r="A92" s="70" t="str">
        <f t="shared" si="11"/>
        <v>RECF  180*100*4</v>
      </c>
      <c r="B92" s="71">
        <f t="shared" si="12"/>
        <v>16.758152111872633</v>
      </c>
      <c r="C92" s="15">
        <v>180</v>
      </c>
      <c r="D92" s="15">
        <v>100</v>
      </c>
      <c r="E92" s="15">
        <v>4</v>
      </c>
      <c r="F92" s="15">
        <f t="shared" si="13"/>
        <v>4</v>
      </c>
      <c r="G92" s="15">
        <f t="shared" si="14"/>
        <v>8</v>
      </c>
      <c r="H92" s="71">
        <f t="shared" si="15"/>
        <v>21.347964473723099</v>
      </c>
      <c r="I92" s="15">
        <v>925</v>
      </c>
      <c r="J92" s="71">
        <f t="shared" si="16"/>
        <v>102.77777777777777</v>
      </c>
      <c r="K92" s="15">
        <v>126</v>
      </c>
      <c r="L92" s="71">
        <f t="shared" si="17"/>
        <v>6.5825267197895183</v>
      </c>
      <c r="M92" s="72">
        <f t="shared" si="18"/>
        <v>13.120000000000001</v>
      </c>
      <c r="N92" s="15">
        <v>373</v>
      </c>
      <c r="O92" s="71">
        <f t="shared" si="19"/>
        <v>74.599999999999994</v>
      </c>
      <c r="P92" s="15">
        <v>84</v>
      </c>
      <c r="Q92" s="71">
        <f t="shared" si="20"/>
        <v>4.179999022403238</v>
      </c>
      <c r="R92" s="15">
        <f t="shared" si="21"/>
        <v>6.72</v>
      </c>
      <c r="S92" s="72">
        <v>853.80000000000007</v>
      </c>
      <c r="T92" s="15">
        <v>127.1</v>
      </c>
    </row>
    <row r="93" spans="1:20" x14ac:dyDescent="0.25">
      <c r="A93" s="70" t="str">
        <f t="shared" si="11"/>
        <v>RECF  180*100*5</v>
      </c>
      <c r="B93" s="71">
        <f t="shared" si="12"/>
        <v>20.689612674800994</v>
      </c>
      <c r="C93" s="15">
        <v>180</v>
      </c>
      <c r="D93" s="15">
        <v>100</v>
      </c>
      <c r="E93" s="15">
        <v>5</v>
      </c>
      <c r="F93" s="15">
        <f t="shared" si="13"/>
        <v>5</v>
      </c>
      <c r="G93" s="15">
        <f t="shared" si="14"/>
        <v>10</v>
      </c>
      <c r="H93" s="71">
        <f t="shared" si="15"/>
        <v>26.356194490192348</v>
      </c>
      <c r="I93" s="15">
        <v>1123</v>
      </c>
      <c r="J93" s="71">
        <f t="shared" si="16"/>
        <v>124.77777777777777</v>
      </c>
      <c r="K93" s="15">
        <v>154</v>
      </c>
      <c r="L93" s="71">
        <f t="shared" si="17"/>
        <v>6.5275247365960638</v>
      </c>
      <c r="M93" s="72">
        <f t="shared" si="18"/>
        <v>16</v>
      </c>
      <c r="N93" s="15">
        <v>451</v>
      </c>
      <c r="O93" s="71">
        <f t="shared" si="19"/>
        <v>90.2</v>
      </c>
      <c r="P93" s="15">
        <v>102</v>
      </c>
      <c r="Q93" s="71">
        <f t="shared" si="20"/>
        <v>4.1366323035811545</v>
      </c>
      <c r="R93" s="15">
        <f t="shared" si="21"/>
        <v>8</v>
      </c>
      <c r="S93" s="72">
        <v>1045</v>
      </c>
      <c r="T93" s="15">
        <v>153.9</v>
      </c>
    </row>
    <row r="94" spans="1:20" x14ac:dyDescent="0.25">
      <c r="A94" s="70" t="str">
        <f t="shared" si="11"/>
        <v>RECF  180*100*6</v>
      </c>
      <c r="B94" s="71">
        <f t="shared" si="12"/>
        <v>24.517842251713429</v>
      </c>
      <c r="C94" s="15">
        <v>180</v>
      </c>
      <c r="D94" s="15">
        <v>100</v>
      </c>
      <c r="E94" s="15">
        <v>6</v>
      </c>
      <c r="F94" s="15">
        <f t="shared" si="13"/>
        <v>6</v>
      </c>
      <c r="G94" s="15">
        <f t="shared" si="14"/>
        <v>12</v>
      </c>
      <c r="H94" s="71">
        <f t="shared" si="15"/>
        <v>31.232920065876979</v>
      </c>
      <c r="I94" s="15">
        <v>1307</v>
      </c>
      <c r="J94" s="71">
        <f t="shared" si="16"/>
        <v>145.22222222222223</v>
      </c>
      <c r="K94" s="15">
        <v>181</v>
      </c>
      <c r="L94" s="71">
        <f t="shared" si="17"/>
        <v>6.4689158085417429</v>
      </c>
      <c r="M94" s="72">
        <f t="shared" si="18"/>
        <v>18.72</v>
      </c>
      <c r="N94" s="15">
        <v>522</v>
      </c>
      <c r="O94" s="71">
        <f t="shared" si="19"/>
        <v>104.4</v>
      </c>
      <c r="P94" s="15">
        <v>120</v>
      </c>
      <c r="Q94" s="71">
        <f t="shared" si="20"/>
        <v>4.0881700913326631</v>
      </c>
      <c r="R94" s="15">
        <f t="shared" si="21"/>
        <v>9.120000000000001</v>
      </c>
      <c r="S94" s="72">
        <v>1227</v>
      </c>
      <c r="T94" s="15">
        <v>178.9</v>
      </c>
    </row>
    <row r="95" spans="1:20" x14ac:dyDescent="0.25">
      <c r="A95" s="70" t="str">
        <f t="shared" si="11"/>
        <v>RECF  180*100*6.3</v>
      </c>
      <c r="B95" s="71">
        <f t="shared" si="12"/>
        <v>25.378730110018736</v>
      </c>
      <c r="C95" s="15">
        <v>180</v>
      </c>
      <c r="D95" s="15">
        <v>100</v>
      </c>
      <c r="E95" s="15">
        <v>6.3</v>
      </c>
      <c r="F95" s="15">
        <f t="shared" si="13"/>
        <v>9.4499999999999993</v>
      </c>
      <c r="G95" s="15">
        <f t="shared" si="14"/>
        <v>15.75</v>
      </c>
      <c r="H95" s="71">
        <f t="shared" si="15"/>
        <v>32.329592496839155</v>
      </c>
      <c r="I95" s="15">
        <v>1330</v>
      </c>
      <c r="J95" s="71">
        <f t="shared" si="16"/>
        <v>147.77777777777777</v>
      </c>
      <c r="K95" s="15">
        <v>185</v>
      </c>
      <c r="L95" s="71">
        <f t="shared" si="17"/>
        <v>6.4139519962191924</v>
      </c>
      <c r="M95" s="72">
        <f t="shared" si="18"/>
        <v>18.710999999999999</v>
      </c>
      <c r="N95" s="15">
        <v>533</v>
      </c>
      <c r="O95" s="71">
        <f t="shared" si="19"/>
        <v>106.6</v>
      </c>
      <c r="P95" s="15">
        <v>123</v>
      </c>
      <c r="Q95" s="71">
        <f t="shared" si="20"/>
        <v>4.0603501693343214</v>
      </c>
      <c r="R95" s="15">
        <f t="shared" si="21"/>
        <v>8.6310000000000002</v>
      </c>
      <c r="S95" s="72">
        <v>1283</v>
      </c>
      <c r="T95" s="15">
        <v>185.5</v>
      </c>
    </row>
    <row r="96" spans="1:20" x14ac:dyDescent="0.25">
      <c r="A96" s="70" t="str">
        <f t="shared" si="11"/>
        <v>RECF  180*100*8</v>
      </c>
      <c r="B96" s="71">
        <f t="shared" si="12"/>
        <v>31.433344596654052</v>
      </c>
      <c r="C96" s="15">
        <v>180</v>
      </c>
      <c r="D96" s="15">
        <v>100</v>
      </c>
      <c r="E96" s="15">
        <v>8</v>
      </c>
      <c r="F96" s="15">
        <f t="shared" si="13"/>
        <v>12</v>
      </c>
      <c r="G96" s="15">
        <f t="shared" si="14"/>
        <v>20</v>
      </c>
      <c r="H96" s="71">
        <f t="shared" si="15"/>
        <v>40.042477193189875</v>
      </c>
      <c r="I96" s="15">
        <v>1588</v>
      </c>
      <c r="J96" s="71">
        <f t="shared" si="16"/>
        <v>176.44444444444446</v>
      </c>
      <c r="K96" s="15">
        <v>225</v>
      </c>
      <c r="L96" s="71">
        <f t="shared" si="17"/>
        <v>6.2974507626306595</v>
      </c>
      <c r="M96" s="72">
        <f t="shared" si="18"/>
        <v>22.400000000000002</v>
      </c>
      <c r="N96" s="15">
        <v>632</v>
      </c>
      <c r="O96" s="71">
        <f t="shared" si="19"/>
        <v>126.4</v>
      </c>
      <c r="P96" s="15">
        <v>149</v>
      </c>
      <c r="Q96" s="71">
        <f t="shared" si="20"/>
        <v>3.972812518527582</v>
      </c>
      <c r="R96" s="15">
        <f t="shared" si="21"/>
        <v>9.6</v>
      </c>
      <c r="S96" s="72">
        <v>1565</v>
      </c>
      <c r="T96" s="15">
        <v>222.5</v>
      </c>
    </row>
    <row r="97" spans="1:20" x14ac:dyDescent="0.25">
      <c r="A97" s="70" t="str">
        <f t="shared" si="11"/>
        <v>RECF  180*100*10</v>
      </c>
      <c r="B97" s="71">
        <f t="shared" si="12"/>
        <v>38.12460093227196</v>
      </c>
      <c r="C97" s="15">
        <v>180</v>
      </c>
      <c r="D97" s="15">
        <v>100</v>
      </c>
      <c r="E97" s="15">
        <v>10</v>
      </c>
      <c r="F97" s="15">
        <f t="shared" si="13"/>
        <v>15</v>
      </c>
      <c r="G97" s="15">
        <f t="shared" si="14"/>
        <v>25</v>
      </c>
      <c r="H97" s="71">
        <f t="shared" si="15"/>
        <v>48.56637061435918</v>
      </c>
      <c r="I97" s="15">
        <v>1839</v>
      </c>
      <c r="J97" s="71">
        <f t="shared" si="16"/>
        <v>204.33333333333334</v>
      </c>
      <c r="K97" s="15">
        <v>266</v>
      </c>
      <c r="L97" s="71">
        <f t="shared" si="17"/>
        <v>6.1535118289506778</v>
      </c>
      <c r="M97" s="72">
        <f t="shared" si="18"/>
        <v>26</v>
      </c>
      <c r="N97" s="15">
        <v>725</v>
      </c>
      <c r="O97" s="71">
        <f t="shared" si="19"/>
        <v>145</v>
      </c>
      <c r="P97" s="15">
        <v>176</v>
      </c>
      <c r="Q97" s="71">
        <f t="shared" si="20"/>
        <v>3.863680254540518</v>
      </c>
      <c r="R97" s="15">
        <f t="shared" si="21"/>
        <v>10</v>
      </c>
      <c r="S97" s="72">
        <v>1859</v>
      </c>
      <c r="T97" s="15">
        <v>259.60000000000002</v>
      </c>
    </row>
    <row r="98" spans="1:20" x14ac:dyDescent="0.25">
      <c r="A98" s="70" t="str">
        <f t="shared" si="11"/>
        <v>RECF  180*100*12</v>
      </c>
      <c r="B98" s="71">
        <f t="shared" si="12"/>
        <v>43.378681678089514</v>
      </c>
      <c r="C98" s="15">
        <v>180</v>
      </c>
      <c r="D98" s="15">
        <v>100</v>
      </c>
      <c r="E98" s="15">
        <v>12</v>
      </c>
      <c r="F98" s="15">
        <f t="shared" si="13"/>
        <v>24</v>
      </c>
      <c r="G98" s="15">
        <f t="shared" si="14"/>
        <v>36</v>
      </c>
      <c r="H98" s="71">
        <f t="shared" si="15"/>
        <v>55.259467105846511</v>
      </c>
      <c r="I98" s="15">
        <v>1915</v>
      </c>
      <c r="J98" s="71">
        <f t="shared" si="16"/>
        <v>212.77777777777777</v>
      </c>
      <c r="K98" s="15">
        <v>289</v>
      </c>
      <c r="L98" s="71">
        <f t="shared" si="17"/>
        <v>5.8868238796994898</v>
      </c>
      <c r="M98" s="72">
        <f t="shared" si="18"/>
        <v>25.92</v>
      </c>
      <c r="N98" s="15">
        <v>756</v>
      </c>
      <c r="O98" s="71">
        <f t="shared" si="19"/>
        <v>151.19999999999999</v>
      </c>
      <c r="P98" s="15">
        <v>191</v>
      </c>
      <c r="Q98" s="71">
        <f t="shared" si="20"/>
        <v>3.6987719163863586</v>
      </c>
      <c r="R98" s="15">
        <f t="shared" si="21"/>
        <v>6.72</v>
      </c>
      <c r="S98" s="72">
        <v>2073</v>
      </c>
      <c r="T98" s="15">
        <v>284.5</v>
      </c>
    </row>
    <row r="99" spans="1:20" x14ac:dyDescent="0.25">
      <c r="A99" s="70" t="str">
        <f t="shared" si="11"/>
        <v>RECF  180*100*12.5</v>
      </c>
      <c r="B99" s="71">
        <f t="shared" si="12"/>
        <v>44.779298695843657</v>
      </c>
      <c r="C99" s="15">
        <v>180</v>
      </c>
      <c r="D99" s="15">
        <v>100</v>
      </c>
      <c r="E99" s="15">
        <v>12.5</v>
      </c>
      <c r="F99" s="15">
        <f t="shared" si="13"/>
        <v>25</v>
      </c>
      <c r="G99" s="15">
        <f t="shared" si="14"/>
        <v>37.5</v>
      </c>
      <c r="H99" s="71">
        <f t="shared" si="15"/>
        <v>57.043692606170261</v>
      </c>
      <c r="I99" s="15">
        <v>1945</v>
      </c>
      <c r="J99" s="71">
        <f t="shared" si="16"/>
        <v>216.11111111111111</v>
      </c>
      <c r="K99" s="15">
        <v>296</v>
      </c>
      <c r="L99" s="71">
        <f t="shared" si="17"/>
        <v>5.8392354516322751</v>
      </c>
      <c r="M99" s="72">
        <f t="shared" si="18"/>
        <v>26.25</v>
      </c>
      <c r="N99" s="15">
        <v>767</v>
      </c>
      <c r="O99" s="71">
        <f t="shared" si="19"/>
        <v>153.4</v>
      </c>
      <c r="P99" s="15">
        <v>196</v>
      </c>
      <c r="Q99" s="71">
        <f t="shared" si="20"/>
        <v>3.6668560951552429</v>
      </c>
      <c r="R99" s="15">
        <f t="shared" si="21"/>
        <v>6.25</v>
      </c>
      <c r="S99" s="72">
        <v>2122</v>
      </c>
      <c r="T99" s="15">
        <v>290.39999999999998</v>
      </c>
    </row>
    <row r="100" spans="1:20" x14ac:dyDescent="0.25">
      <c r="A100" s="73" t="str">
        <f t="shared" si="11"/>
        <v>RECF  200*100*4</v>
      </c>
      <c r="B100" s="74">
        <f t="shared" si="12"/>
        <v>18.014152111872633</v>
      </c>
      <c r="C100" s="75">
        <v>200</v>
      </c>
      <c r="D100" s="75">
        <v>100</v>
      </c>
      <c r="E100" s="75">
        <v>4</v>
      </c>
      <c r="F100" s="75">
        <f t="shared" si="13"/>
        <v>4</v>
      </c>
      <c r="G100" s="75">
        <f t="shared" si="14"/>
        <v>8</v>
      </c>
      <c r="H100" s="74">
        <f t="shared" si="15"/>
        <v>22.947964473723101</v>
      </c>
      <c r="I100" s="75">
        <v>1199</v>
      </c>
      <c r="J100" s="74">
        <f t="shared" si="16"/>
        <v>119.9</v>
      </c>
      <c r="K100" s="75">
        <v>148</v>
      </c>
      <c r="L100" s="74">
        <f t="shared" si="17"/>
        <v>7.2283222709973973</v>
      </c>
      <c r="M100" s="76">
        <f t="shared" si="18"/>
        <v>14.72</v>
      </c>
      <c r="N100" s="75">
        <v>410</v>
      </c>
      <c r="O100" s="74">
        <f t="shared" si="19"/>
        <v>82</v>
      </c>
      <c r="P100" s="75">
        <v>91.6</v>
      </c>
      <c r="Q100" s="74">
        <f t="shared" si="20"/>
        <v>4.2268792741898968</v>
      </c>
      <c r="R100" s="75">
        <f t="shared" si="21"/>
        <v>6.72</v>
      </c>
      <c r="S100" s="76">
        <v>985.40000000000009</v>
      </c>
      <c r="T100" s="77">
        <v>141.80000000000001</v>
      </c>
    </row>
    <row r="101" spans="1:20" x14ac:dyDescent="0.25">
      <c r="A101" s="78" t="str">
        <f t="shared" si="11"/>
        <v>RECF  200*100*5</v>
      </c>
      <c r="B101" s="79">
        <f t="shared" si="12"/>
        <v>22.259612674800994</v>
      </c>
      <c r="C101" s="80">
        <v>200</v>
      </c>
      <c r="D101" s="80">
        <v>100</v>
      </c>
      <c r="E101" s="80">
        <v>5</v>
      </c>
      <c r="F101" s="80">
        <f t="shared" si="13"/>
        <v>5</v>
      </c>
      <c r="G101" s="80">
        <f t="shared" si="14"/>
        <v>10</v>
      </c>
      <c r="H101" s="79">
        <f t="shared" si="15"/>
        <v>28.356194490192348</v>
      </c>
      <c r="I101" s="80">
        <v>1457</v>
      </c>
      <c r="J101" s="79">
        <f t="shared" si="16"/>
        <v>145.69999999999999</v>
      </c>
      <c r="K101" s="80">
        <v>181</v>
      </c>
      <c r="L101" s="79">
        <f t="shared" si="17"/>
        <v>7.1681288388187765</v>
      </c>
      <c r="M101" s="81">
        <f t="shared" si="18"/>
        <v>18</v>
      </c>
      <c r="N101" s="80">
        <v>496</v>
      </c>
      <c r="O101" s="79">
        <f t="shared" si="19"/>
        <v>99.2</v>
      </c>
      <c r="P101" s="80">
        <v>112</v>
      </c>
      <c r="Q101" s="79">
        <f t="shared" si="20"/>
        <v>4.1823162085204544</v>
      </c>
      <c r="R101" s="80">
        <f t="shared" si="21"/>
        <v>8</v>
      </c>
      <c r="S101" s="81">
        <v>1206</v>
      </c>
      <c r="T101" s="82">
        <v>171.9</v>
      </c>
    </row>
    <row r="102" spans="1:20" x14ac:dyDescent="0.25">
      <c r="A102" s="78" t="str">
        <f t="shared" si="11"/>
        <v>RECF  200*100*6</v>
      </c>
      <c r="B102" s="79">
        <f t="shared" si="12"/>
        <v>26.401842251713433</v>
      </c>
      <c r="C102" s="80">
        <v>200</v>
      </c>
      <c r="D102" s="80">
        <v>100</v>
      </c>
      <c r="E102" s="80">
        <v>6</v>
      </c>
      <c r="F102" s="80">
        <f t="shared" si="13"/>
        <v>6</v>
      </c>
      <c r="G102" s="80">
        <f t="shared" si="14"/>
        <v>12</v>
      </c>
      <c r="H102" s="79">
        <f t="shared" si="15"/>
        <v>33.632920065876981</v>
      </c>
      <c r="I102" s="80">
        <v>1700</v>
      </c>
      <c r="J102" s="79">
        <f t="shared" si="16"/>
        <v>170</v>
      </c>
      <c r="K102" s="80">
        <v>213</v>
      </c>
      <c r="L102" s="79">
        <f t="shared" si="17"/>
        <v>7.1095509865184683</v>
      </c>
      <c r="M102" s="81">
        <f t="shared" si="18"/>
        <v>21.12</v>
      </c>
      <c r="N102" s="80">
        <v>575</v>
      </c>
      <c r="O102" s="79">
        <f t="shared" si="19"/>
        <v>115</v>
      </c>
      <c r="P102" s="80">
        <v>131</v>
      </c>
      <c r="Q102" s="79">
        <f t="shared" si="20"/>
        <v>4.1347726487890473</v>
      </c>
      <c r="R102" s="80">
        <f t="shared" si="21"/>
        <v>9.120000000000001</v>
      </c>
      <c r="S102" s="81">
        <v>1417</v>
      </c>
      <c r="T102" s="82">
        <v>200.1</v>
      </c>
    </row>
    <row r="103" spans="1:20" x14ac:dyDescent="0.25">
      <c r="A103" s="78" t="str">
        <f t="shared" si="11"/>
        <v>RECF  200*100*6.3</v>
      </c>
      <c r="B103" s="79">
        <f t="shared" si="12"/>
        <v>27.356930110018741</v>
      </c>
      <c r="C103" s="80">
        <v>200</v>
      </c>
      <c r="D103" s="80">
        <v>100</v>
      </c>
      <c r="E103" s="80">
        <v>6.3</v>
      </c>
      <c r="F103" s="80">
        <f t="shared" si="13"/>
        <v>9.4499999999999993</v>
      </c>
      <c r="G103" s="80">
        <f t="shared" si="14"/>
        <v>15.75</v>
      </c>
      <c r="H103" s="79">
        <f t="shared" si="15"/>
        <v>34.849592496839158</v>
      </c>
      <c r="I103" s="80">
        <v>1733</v>
      </c>
      <c r="J103" s="79">
        <f t="shared" si="16"/>
        <v>173.3</v>
      </c>
      <c r="K103" s="80">
        <v>219</v>
      </c>
      <c r="L103" s="79">
        <f t="shared" si="17"/>
        <v>7.0518071888502991</v>
      </c>
      <c r="M103" s="81">
        <f t="shared" si="18"/>
        <v>21.230999999999998</v>
      </c>
      <c r="N103" s="80">
        <v>588</v>
      </c>
      <c r="O103" s="79">
        <f t="shared" si="19"/>
        <v>117.6</v>
      </c>
      <c r="P103" s="80">
        <v>135</v>
      </c>
      <c r="Q103" s="79">
        <f t="shared" si="20"/>
        <v>4.1076157550114303</v>
      </c>
      <c r="R103" s="80">
        <f t="shared" si="21"/>
        <v>8.6310000000000002</v>
      </c>
      <c r="S103" s="81">
        <v>1483</v>
      </c>
      <c r="T103" s="82">
        <v>207.6</v>
      </c>
    </row>
    <row r="104" spans="1:20" x14ac:dyDescent="0.25">
      <c r="A104" s="78" t="str">
        <f t="shared" si="11"/>
        <v>RECF  200*100*8</v>
      </c>
      <c r="B104" s="79">
        <f t="shared" si="12"/>
        <v>33.945344596654053</v>
      </c>
      <c r="C104" s="80">
        <v>200</v>
      </c>
      <c r="D104" s="80">
        <v>100</v>
      </c>
      <c r="E104" s="80">
        <v>8</v>
      </c>
      <c r="F104" s="80">
        <f t="shared" si="13"/>
        <v>12</v>
      </c>
      <c r="G104" s="80">
        <f t="shared" si="14"/>
        <v>20</v>
      </c>
      <c r="H104" s="79">
        <f t="shared" si="15"/>
        <v>43.24247719318987</v>
      </c>
      <c r="I104" s="80">
        <v>2079</v>
      </c>
      <c r="J104" s="79">
        <f t="shared" si="16"/>
        <v>207.9</v>
      </c>
      <c r="K104" s="80">
        <v>267</v>
      </c>
      <c r="L104" s="79">
        <f t="shared" si="17"/>
        <v>6.933810402115161</v>
      </c>
      <c r="M104" s="81">
        <f t="shared" si="18"/>
        <v>25.6</v>
      </c>
      <c r="N104" s="80">
        <v>700</v>
      </c>
      <c r="O104" s="79">
        <f t="shared" si="19"/>
        <v>140</v>
      </c>
      <c r="P104" s="80">
        <v>164</v>
      </c>
      <c r="Q104" s="79">
        <f t="shared" si="20"/>
        <v>4.0234048721381397</v>
      </c>
      <c r="R104" s="80">
        <f t="shared" si="21"/>
        <v>9.6</v>
      </c>
      <c r="S104" s="81">
        <v>1811</v>
      </c>
      <c r="T104" s="82">
        <v>249.6</v>
      </c>
    </row>
    <row r="105" spans="1:20" x14ac:dyDescent="0.25">
      <c r="A105" s="78" t="str">
        <f t="shared" si="11"/>
        <v>RECF  200*100*10</v>
      </c>
      <c r="B105" s="79">
        <f t="shared" si="12"/>
        <v>41.264600932271961</v>
      </c>
      <c r="C105" s="80">
        <v>200</v>
      </c>
      <c r="D105" s="80">
        <v>100</v>
      </c>
      <c r="E105" s="80">
        <v>10</v>
      </c>
      <c r="F105" s="80">
        <f t="shared" si="13"/>
        <v>15</v>
      </c>
      <c r="G105" s="80">
        <f t="shared" si="14"/>
        <v>25</v>
      </c>
      <c r="H105" s="79">
        <f t="shared" si="15"/>
        <v>52.56637061435918</v>
      </c>
      <c r="I105" s="80">
        <v>2421</v>
      </c>
      <c r="J105" s="79">
        <f t="shared" si="16"/>
        <v>242.1</v>
      </c>
      <c r="K105" s="80">
        <v>317</v>
      </c>
      <c r="L105" s="79">
        <f t="shared" si="17"/>
        <v>6.7864616362993671</v>
      </c>
      <c r="M105" s="81">
        <f t="shared" si="18"/>
        <v>30</v>
      </c>
      <c r="N105" s="80">
        <v>807</v>
      </c>
      <c r="O105" s="79">
        <f t="shared" si="19"/>
        <v>161.4</v>
      </c>
      <c r="P105" s="80">
        <v>194</v>
      </c>
      <c r="Q105" s="79">
        <f t="shared" si="20"/>
        <v>3.918165452562508</v>
      </c>
      <c r="R105" s="80">
        <f t="shared" si="21"/>
        <v>10</v>
      </c>
      <c r="S105" s="81">
        <v>2154</v>
      </c>
      <c r="T105" s="82">
        <v>292.10000000000002</v>
      </c>
    </row>
    <row r="106" spans="1:20" x14ac:dyDescent="0.25">
      <c r="A106" s="83" t="str">
        <f t="shared" si="11"/>
        <v>RECF  200*100*12.5</v>
      </c>
      <c r="B106" s="84">
        <f t="shared" si="12"/>
        <v>48.704298695843654</v>
      </c>
      <c r="C106" s="85">
        <v>200</v>
      </c>
      <c r="D106" s="85">
        <v>100</v>
      </c>
      <c r="E106" s="85">
        <v>12.5</v>
      </c>
      <c r="F106" s="85">
        <f t="shared" si="13"/>
        <v>25</v>
      </c>
      <c r="G106" s="85">
        <f t="shared" si="14"/>
        <v>37.5</v>
      </c>
      <c r="H106" s="84">
        <f t="shared" si="15"/>
        <v>62.043692606170261</v>
      </c>
      <c r="I106" s="85">
        <v>2596</v>
      </c>
      <c r="J106" s="84">
        <f t="shared" si="16"/>
        <v>259.60000000000002</v>
      </c>
      <c r="K106" s="85">
        <v>356</v>
      </c>
      <c r="L106" s="84">
        <f t="shared" si="17"/>
        <v>6.4684991486518104</v>
      </c>
      <c r="M106" s="86">
        <f t="shared" si="18"/>
        <v>31.25</v>
      </c>
      <c r="N106" s="85">
        <v>863</v>
      </c>
      <c r="O106" s="84">
        <f t="shared" si="19"/>
        <v>172.6</v>
      </c>
      <c r="P106" s="85">
        <v>217</v>
      </c>
      <c r="Q106" s="84">
        <f t="shared" si="20"/>
        <v>3.7295512473294892</v>
      </c>
      <c r="R106" s="85">
        <f t="shared" si="21"/>
        <v>6.25</v>
      </c>
      <c r="S106" s="86">
        <v>2474</v>
      </c>
      <c r="T106" s="87">
        <v>328.8</v>
      </c>
    </row>
    <row r="107" spans="1:20" x14ac:dyDescent="0.25">
      <c r="A107" s="70" t="str">
        <f t="shared" si="11"/>
        <v>RECF  200*120*4</v>
      </c>
      <c r="B107" s="71">
        <f t="shared" si="12"/>
        <v>19.270152111872637</v>
      </c>
      <c r="C107" s="15">
        <v>200</v>
      </c>
      <c r="D107" s="15">
        <v>120</v>
      </c>
      <c r="E107" s="15">
        <v>4</v>
      </c>
      <c r="F107" s="15">
        <f t="shared" si="13"/>
        <v>4</v>
      </c>
      <c r="G107" s="15">
        <f t="shared" si="14"/>
        <v>8</v>
      </c>
      <c r="H107" s="71">
        <f t="shared" si="15"/>
        <v>24.547964473723102</v>
      </c>
      <c r="I107" s="15">
        <v>1352</v>
      </c>
      <c r="J107" s="71">
        <f t="shared" si="16"/>
        <v>135.19999999999999</v>
      </c>
      <c r="K107" s="15">
        <v>164</v>
      </c>
      <c r="L107" s="71">
        <f t="shared" si="17"/>
        <v>7.421310506025792</v>
      </c>
      <c r="M107" s="72">
        <f t="shared" si="18"/>
        <v>14.72</v>
      </c>
      <c r="N107" s="15">
        <v>617</v>
      </c>
      <c r="O107" s="71">
        <f t="shared" si="19"/>
        <v>102.83333333333333</v>
      </c>
      <c r="P107" s="15">
        <v>115</v>
      </c>
      <c r="Q107" s="71">
        <f t="shared" si="20"/>
        <v>5.0134286549750495</v>
      </c>
      <c r="R107" s="15">
        <f t="shared" si="21"/>
        <v>8.32</v>
      </c>
      <c r="S107" s="72">
        <v>1345</v>
      </c>
      <c r="T107" s="15">
        <v>172.5</v>
      </c>
    </row>
    <row r="108" spans="1:20" x14ac:dyDescent="0.25">
      <c r="A108" s="70" t="str">
        <f t="shared" si="11"/>
        <v>RECF  200*120*5</v>
      </c>
      <c r="B108" s="71">
        <f t="shared" si="12"/>
        <v>23.829612674800995</v>
      </c>
      <c r="C108" s="15">
        <v>200</v>
      </c>
      <c r="D108" s="15">
        <v>120</v>
      </c>
      <c r="E108" s="15">
        <v>5</v>
      </c>
      <c r="F108" s="15">
        <f t="shared" si="13"/>
        <v>5</v>
      </c>
      <c r="G108" s="15">
        <f t="shared" si="14"/>
        <v>10</v>
      </c>
      <c r="H108" s="71">
        <f t="shared" si="15"/>
        <v>30.356194490192348</v>
      </c>
      <c r="I108" s="15">
        <v>1648</v>
      </c>
      <c r="J108" s="71">
        <f t="shared" si="16"/>
        <v>164.8</v>
      </c>
      <c r="K108" s="15">
        <v>201</v>
      </c>
      <c r="L108" s="71">
        <f t="shared" si="17"/>
        <v>7.3680903103700768</v>
      </c>
      <c r="M108" s="72">
        <f t="shared" si="18"/>
        <v>18</v>
      </c>
      <c r="N108" s="15">
        <v>749</v>
      </c>
      <c r="O108" s="71">
        <f t="shared" si="19"/>
        <v>124.83333333333333</v>
      </c>
      <c r="P108" s="15">
        <v>141</v>
      </c>
      <c r="Q108" s="71">
        <f t="shared" si="20"/>
        <v>4.9672640347785695</v>
      </c>
      <c r="R108" s="15">
        <f t="shared" si="21"/>
        <v>10</v>
      </c>
      <c r="S108" s="72">
        <v>1652</v>
      </c>
      <c r="T108" s="15">
        <v>209.9</v>
      </c>
    </row>
    <row r="109" spans="1:20" x14ac:dyDescent="0.25">
      <c r="A109" s="70" t="str">
        <f t="shared" si="11"/>
        <v>RECF  200*120*6</v>
      </c>
      <c r="B109" s="71">
        <f t="shared" si="12"/>
        <v>28.285842251713429</v>
      </c>
      <c r="C109" s="15">
        <v>200</v>
      </c>
      <c r="D109" s="15">
        <v>120</v>
      </c>
      <c r="E109" s="15">
        <v>6</v>
      </c>
      <c r="F109" s="15">
        <f t="shared" si="13"/>
        <v>6</v>
      </c>
      <c r="G109" s="15">
        <f t="shared" si="14"/>
        <v>12</v>
      </c>
      <c r="H109" s="71">
        <f t="shared" si="15"/>
        <v>36.032920065876979</v>
      </c>
      <c r="I109" s="15">
        <v>1926</v>
      </c>
      <c r="J109" s="71">
        <f t="shared" si="16"/>
        <v>192.6</v>
      </c>
      <c r="K109" s="15">
        <v>236</v>
      </c>
      <c r="L109" s="71">
        <f t="shared" si="17"/>
        <v>7.3110274121214038</v>
      </c>
      <c r="M109" s="72">
        <f t="shared" si="18"/>
        <v>21.12</v>
      </c>
      <c r="N109" s="15">
        <v>872</v>
      </c>
      <c r="O109" s="71">
        <f t="shared" si="19"/>
        <v>145.33333333333334</v>
      </c>
      <c r="P109" s="15">
        <v>166</v>
      </c>
      <c r="Q109" s="71">
        <f t="shared" si="20"/>
        <v>4.9193589559780939</v>
      </c>
      <c r="R109" s="15">
        <f t="shared" si="21"/>
        <v>11.52</v>
      </c>
      <c r="S109" s="72">
        <v>1947</v>
      </c>
      <c r="T109" s="15">
        <v>245.1</v>
      </c>
    </row>
    <row r="110" spans="1:20" x14ac:dyDescent="0.25">
      <c r="A110" s="70" t="str">
        <f t="shared" si="11"/>
        <v>RECF  200*120*6.3</v>
      </c>
      <c r="B110" s="71">
        <f t="shared" si="12"/>
        <v>29.335130110018738</v>
      </c>
      <c r="C110" s="15">
        <v>200</v>
      </c>
      <c r="D110" s="15">
        <v>120</v>
      </c>
      <c r="E110" s="15">
        <v>6.3</v>
      </c>
      <c r="F110" s="15">
        <f t="shared" si="13"/>
        <v>9.4499999999999993</v>
      </c>
      <c r="G110" s="15">
        <f t="shared" si="14"/>
        <v>15.75</v>
      </c>
      <c r="H110" s="71">
        <f t="shared" si="15"/>
        <v>37.369592496839154</v>
      </c>
      <c r="I110" s="15">
        <v>1970</v>
      </c>
      <c r="J110" s="71">
        <f t="shared" si="16"/>
        <v>197</v>
      </c>
      <c r="K110" s="15">
        <v>243</v>
      </c>
      <c r="L110" s="71">
        <f t="shared" si="17"/>
        <v>7.2606237521756629</v>
      </c>
      <c r="M110" s="72">
        <f t="shared" si="18"/>
        <v>21.230999999999998</v>
      </c>
      <c r="N110" s="15">
        <v>894</v>
      </c>
      <c r="O110" s="71">
        <f t="shared" si="19"/>
        <v>149</v>
      </c>
      <c r="P110" s="15">
        <v>171</v>
      </c>
      <c r="Q110" s="71">
        <f t="shared" si="20"/>
        <v>4.8911341941892541</v>
      </c>
      <c r="R110" s="15">
        <f t="shared" si="21"/>
        <v>11.151</v>
      </c>
      <c r="S110" s="72">
        <v>2040</v>
      </c>
      <c r="T110" s="15">
        <v>254.7</v>
      </c>
    </row>
    <row r="111" spans="1:20" x14ac:dyDescent="0.25">
      <c r="A111" s="70" t="str">
        <f t="shared" si="11"/>
        <v>RECF  200*120*8</v>
      </c>
      <c r="B111" s="71">
        <f t="shared" si="12"/>
        <v>36.457344596654053</v>
      </c>
      <c r="C111" s="15">
        <v>200</v>
      </c>
      <c r="D111" s="15">
        <v>120</v>
      </c>
      <c r="E111" s="15">
        <v>8</v>
      </c>
      <c r="F111" s="15">
        <f t="shared" si="13"/>
        <v>12</v>
      </c>
      <c r="G111" s="15">
        <f t="shared" si="14"/>
        <v>20</v>
      </c>
      <c r="H111" s="71">
        <f t="shared" si="15"/>
        <v>46.442477193189873</v>
      </c>
      <c r="I111" s="15">
        <v>2374</v>
      </c>
      <c r="J111" s="71">
        <f t="shared" si="16"/>
        <v>237.4</v>
      </c>
      <c r="K111" s="15">
        <v>297</v>
      </c>
      <c r="L111" s="71">
        <f t="shared" si="17"/>
        <v>7.1496152136232203</v>
      </c>
      <c r="M111" s="72">
        <f t="shared" si="18"/>
        <v>25.6</v>
      </c>
      <c r="N111" s="15">
        <v>1072</v>
      </c>
      <c r="O111" s="71">
        <f t="shared" si="19"/>
        <v>178.66666666666666</v>
      </c>
      <c r="P111" s="15">
        <v>209</v>
      </c>
      <c r="Q111" s="71">
        <f t="shared" si="20"/>
        <v>4.8044060416024488</v>
      </c>
      <c r="R111" s="15">
        <f t="shared" si="21"/>
        <v>12.8</v>
      </c>
      <c r="S111" s="72">
        <v>2507</v>
      </c>
      <c r="T111" s="15">
        <v>308.3</v>
      </c>
    </row>
    <row r="112" spans="1:20" x14ac:dyDescent="0.25">
      <c r="A112" s="70" t="str">
        <f t="shared" si="11"/>
        <v>RECF  200*120*10</v>
      </c>
      <c r="B112" s="71">
        <f t="shared" si="12"/>
        <v>44.404600932271961</v>
      </c>
      <c r="C112" s="15">
        <v>200</v>
      </c>
      <c r="D112" s="15">
        <v>120</v>
      </c>
      <c r="E112" s="15">
        <v>10</v>
      </c>
      <c r="F112" s="15">
        <f t="shared" si="13"/>
        <v>15</v>
      </c>
      <c r="G112" s="15">
        <f t="shared" si="14"/>
        <v>25</v>
      </c>
      <c r="H112" s="71">
        <f t="shared" si="15"/>
        <v>56.56637061435918</v>
      </c>
      <c r="I112" s="15">
        <v>2783</v>
      </c>
      <c r="J112" s="71">
        <f t="shared" si="16"/>
        <v>278.3</v>
      </c>
      <c r="K112" s="15">
        <v>355</v>
      </c>
      <c r="L112" s="71">
        <f t="shared" si="17"/>
        <v>7.0141887079658582</v>
      </c>
      <c r="M112" s="72">
        <f t="shared" si="18"/>
        <v>30</v>
      </c>
      <c r="N112" s="15">
        <v>1249</v>
      </c>
      <c r="O112" s="71">
        <f t="shared" si="19"/>
        <v>208.16666666666666</v>
      </c>
      <c r="P112" s="15">
        <v>249</v>
      </c>
      <c r="Q112" s="71">
        <f t="shared" si="20"/>
        <v>4.698963394966059</v>
      </c>
      <c r="R112" s="15">
        <f t="shared" si="21"/>
        <v>14</v>
      </c>
      <c r="S112" s="72">
        <v>3007</v>
      </c>
      <c r="T112" s="15">
        <v>363.7</v>
      </c>
    </row>
    <row r="113" spans="1:20" x14ac:dyDescent="0.25">
      <c r="A113" s="70" t="str">
        <f t="shared" si="11"/>
        <v>RECF  200*120*12</v>
      </c>
      <c r="B113" s="71">
        <f t="shared" si="12"/>
        <v>50.914681678089508</v>
      </c>
      <c r="C113" s="15">
        <v>200</v>
      </c>
      <c r="D113" s="15">
        <v>120</v>
      </c>
      <c r="E113" s="15">
        <v>12</v>
      </c>
      <c r="F113" s="15">
        <f t="shared" si="13"/>
        <v>24</v>
      </c>
      <c r="G113" s="15">
        <f t="shared" si="14"/>
        <v>36</v>
      </c>
      <c r="H113" s="71">
        <f t="shared" si="15"/>
        <v>64.859467105846505</v>
      </c>
      <c r="I113" s="15">
        <v>2976</v>
      </c>
      <c r="J113" s="71">
        <f t="shared" si="16"/>
        <v>297.60000000000002</v>
      </c>
      <c r="K113" s="15">
        <v>392</v>
      </c>
      <c r="L113" s="71">
        <f t="shared" si="17"/>
        <v>6.7737595353432143</v>
      </c>
      <c r="M113" s="72">
        <f t="shared" si="18"/>
        <v>30.72</v>
      </c>
      <c r="N113" s="15">
        <v>1336</v>
      </c>
      <c r="O113" s="71">
        <f t="shared" si="19"/>
        <v>222.66666666666666</v>
      </c>
      <c r="P113" s="15">
        <v>275</v>
      </c>
      <c r="Q113" s="71">
        <f t="shared" si="20"/>
        <v>4.5385439041859348</v>
      </c>
      <c r="R113" s="15">
        <f t="shared" si="21"/>
        <v>11.52</v>
      </c>
      <c r="S113" s="72">
        <v>3419</v>
      </c>
      <c r="T113" s="15">
        <v>405.7</v>
      </c>
    </row>
    <row r="114" spans="1:20" x14ac:dyDescent="0.25">
      <c r="A114" s="70" t="str">
        <f t="shared" si="11"/>
        <v>RECF  200*120*12.5</v>
      </c>
      <c r="B114" s="71">
        <f t="shared" si="12"/>
        <v>52.629298695843666</v>
      </c>
      <c r="C114" s="15">
        <v>200</v>
      </c>
      <c r="D114" s="15">
        <v>120</v>
      </c>
      <c r="E114" s="15">
        <v>12.5</v>
      </c>
      <c r="F114" s="15">
        <f t="shared" si="13"/>
        <v>25</v>
      </c>
      <c r="G114" s="15">
        <f t="shared" si="14"/>
        <v>37.5</v>
      </c>
      <c r="H114" s="71">
        <f t="shared" si="15"/>
        <v>67.043692606170268</v>
      </c>
      <c r="I114" s="15">
        <v>3036</v>
      </c>
      <c r="J114" s="71">
        <f t="shared" si="16"/>
        <v>303.60000000000002</v>
      </c>
      <c r="K114" s="15">
        <v>403</v>
      </c>
      <c r="L114" s="71">
        <f t="shared" si="17"/>
        <v>6.7293314612256534</v>
      </c>
      <c r="M114" s="72">
        <f t="shared" si="18"/>
        <v>31.25</v>
      </c>
      <c r="N114" s="15">
        <v>1362</v>
      </c>
      <c r="O114" s="71">
        <f t="shared" si="19"/>
        <v>227</v>
      </c>
      <c r="P114" s="15">
        <v>282</v>
      </c>
      <c r="Q114" s="71">
        <f t="shared" si="20"/>
        <v>4.5072286549116747</v>
      </c>
      <c r="R114" s="15">
        <f t="shared" si="21"/>
        <v>11.25</v>
      </c>
      <c r="S114" s="72">
        <v>3514</v>
      </c>
      <c r="T114" s="15">
        <v>415.7</v>
      </c>
    </row>
    <row r="115" spans="1:20" x14ac:dyDescent="0.25">
      <c r="A115" s="73" t="str">
        <f t="shared" si="11"/>
        <v>RECF  250*150*5</v>
      </c>
      <c r="B115" s="74">
        <f t="shared" si="12"/>
        <v>30.109612674800996</v>
      </c>
      <c r="C115" s="75">
        <v>250</v>
      </c>
      <c r="D115" s="75">
        <v>150</v>
      </c>
      <c r="E115" s="75">
        <v>5</v>
      </c>
      <c r="F115" s="75">
        <f t="shared" si="13"/>
        <v>5</v>
      </c>
      <c r="G115" s="75">
        <f t="shared" si="14"/>
        <v>10</v>
      </c>
      <c r="H115" s="74">
        <f t="shared" si="15"/>
        <v>38.356194490192351</v>
      </c>
      <c r="I115" s="75">
        <v>3302</v>
      </c>
      <c r="J115" s="74">
        <f t="shared" si="16"/>
        <v>264.16000000000003</v>
      </c>
      <c r="K115" s="75">
        <v>320</v>
      </c>
      <c r="L115" s="74">
        <f t="shared" si="17"/>
        <v>9.2783505845911058</v>
      </c>
      <c r="M115" s="76">
        <f t="shared" si="18"/>
        <v>23</v>
      </c>
      <c r="N115" s="75">
        <v>1507</v>
      </c>
      <c r="O115" s="74">
        <f t="shared" si="19"/>
        <v>200.93333333333334</v>
      </c>
      <c r="P115" s="75">
        <v>225</v>
      </c>
      <c r="Q115" s="74">
        <f t="shared" si="20"/>
        <v>6.2681426290271789</v>
      </c>
      <c r="R115" s="75">
        <f t="shared" si="21"/>
        <v>13</v>
      </c>
      <c r="S115" s="76">
        <v>3285</v>
      </c>
      <c r="T115" s="77">
        <v>336.9</v>
      </c>
    </row>
    <row r="116" spans="1:20" x14ac:dyDescent="0.25">
      <c r="A116" s="78" t="str">
        <f t="shared" si="11"/>
        <v>RECF  250*150*6</v>
      </c>
      <c r="B116" s="79">
        <f t="shared" si="12"/>
        <v>35.821842251713434</v>
      </c>
      <c r="C116" s="80">
        <v>250</v>
      </c>
      <c r="D116" s="80">
        <v>150</v>
      </c>
      <c r="E116" s="80">
        <v>6</v>
      </c>
      <c r="F116" s="80">
        <f t="shared" si="13"/>
        <v>6</v>
      </c>
      <c r="G116" s="80">
        <f t="shared" si="14"/>
        <v>12</v>
      </c>
      <c r="H116" s="79">
        <f t="shared" si="15"/>
        <v>45.632920065876981</v>
      </c>
      <c r="I116" s="80">
        <v>3881</v>
      </c>
      <c r="J116" s="79">
        <f t="shared" si="16"/>
        <v>310.48</v>
      </c>
      <c r="K116" s="80">
        <v>378</v>
      </c>
      <c r="L116" s="79">
        <f t="shared" si="17"/>
        <v>9.2221608168391587</v>
      </c>
      <c r="M116" s="81">
        <f t="shared" si="18"/>
        <v>27.12</v>
      </c>
      <c r="N116" s="80">
        <v>1766</v>
      </c>
      <c r="O116" s="79">
        <f t="shared" si="19"/>
        <v>235.46666666666667</v>
      </c>
      <c r="P116" s="80">
        <v>266</v>
      </c>
      <c r="Q116" s="79">
        <f t="shared" si="20"/>
        <v>6.2209429623249646</v>
      </c>
      <c r="R116" s="80">
        <f t="shared" si="21"/>
        <v>15.120000000000001</v>
      </c>
      <c r="S116" s="81">
        <v>3886</v>
      </c>
      <c r="T116" s="82">
        <v>395.6</v>
      </c>
    </row>
    <row r="117" spans="1:20" x14ac:dyDescent="0.25">
      <c r="A117" s="78" t="str">
        <f t="shared" si="11"/>
        <v>RECF  250*150*6.3</v>
      </c>
      <c r="B117" s="79">
        <f t="shared" si="12"/>
        <v>37.247930110018743</v>
      </c>
      <c r="C117" s="80">
        <v>250</v>
      </c>
      <c r="D117" s="80">
        <v>150</v>
      </c>
      <c r="E117" s="80">
        <v>6.3</v>
      </c>
      <c r="F117" s="80">
        <f t="shared" si="13"/>
        <v>9.4499999999999993</v>
      </c>
      <c r="G117" s="80">
        <f t="shared" si="14"/>
        <v>15.75</v>
      </c>
      <c r="H117" s="79">
        <f t="shared" si="15"/>
        <v>47.449592496839159</v>
      </c>
      <c r="I117" s="80">
        <v>3994</v>
      </c>
      <c r="J117" s="79">
        <f t="shared" si="16"/>
        <v>319.52</v>
      </c>
      <c r="K117" s="80">
        <v>391</v>
      </c>
      <c r="L117" s="79">
        <f t="shared" si="17"/>
        <v>9.1746136907640494</v>
      </c>
      <c r="M117" s="81">
        <f t="shared" si="18"/>
        <v>27.530999999999999</v>
      </c>
      <c r="N117" s="80">
        <v>1820</v>
      </c>
      <c r="O117" s="79">
        <f t="shared" si="19"/>
        <v>242.66666666666666</v>
      </c>
      <c r="P117" s="80">
        <v>275</v>
      </c>
      <c r="Q117" s="79">
        <f t="shared" si="20"/>
        <v>6.19326196694443</v>
      </c>
      <c r="R117" s="80">
        <f t="shared" si="21"/>
        <v>14.930999999999999</v>
      </c>
      <c r="S117" s="81">
        <v>4078</v>
      </c>
      <c r="T117" s="82">
        <v>412.2</v>
      </c>
    </row>
    <row r="118" spans="1:20" x14ac:dyDescent="0.25">
      <c r="A118" s="78" t="str">
        <f t="shared" si="11"/>
        <v>RECF  250*150*8</v>
      </c>
      <c r="B118" s="79">
        <f t="shared" si="12"/>
        <v>46.505344596654048</v>
      </c>
      <c r="C118" s="80">
        <v>250</v>
      </c>
      <c r="D118" s="80">
        <v>150</v>
      </c>
      <c r="E118" s="80">
        <v>8</v>
      </c>
      <c r="F118" s="80">
        <f t="shared" si="13"/>
        <v>12</v>
      </c>
      <c r="G118" s="80">
        <f t="shared" si="14"/>
        <v>20</v>
      </c>
      <c r="H118" s="79">
        <f t="shared" si="15"/>
        <v>59.24247719318987</v>
      </c>
      <c r="I118" s="80">
        <v>4871</v>
      </c>
      <c r="J118" s="79">
        <f t="shared" si="16"/>
        <v>389.68</v>
      </c>
      <c r="K118" s="80">
        <v>482</v>
      </c>
      <c r="L118" s="79">
        <f t="shared" si="17"/>
        <v>9.0676022126370306</v>
      </c>
      <c r="M118" s="81">
        <f t="shared" si="18"/>
        <v>33.6</v>
      </c>
      <c r="N118" s="80">
        <v>2210</v>
      </c>
      <c r="O118" s="79">
        <f t="shared" si="19"/>
        <v>294.66666666666669</v>
      </c>
      <c r="P118" s="80">
        <v>339</v>
      </c>
      <c r="Q118" s="79">
        <f t="shared" si="20"/>
        <v>6.1077258029124</v>
      </c>
      <c r="R118" s="80">
        <f t="shared" si="21"/>
        <v>17.600000000000001</v>
      </c>
      <c r="S118" s="81">
        <v>5050</v>
      </c>
      <c r="T118" s="82">
        <v>504</v>
      </c>
    </row>
    <row r="119" spans="1:20" x14ac:dyDescent="0.25">
      <c r="A119" s="78" t="str">
        <f t="shared" si="11"/>
        <v>RECF  250*150*10</v>
      </c>
      <c r="B119" s="79">
        <f t="shared" si="12"/>
        <v>56.964600932271949</v>
      </c>
      <c r="C119" s="80">
        <v>250</v>
      </c>
      <c r="D119" s="80">
        <v>150</v>
      </c>
      <c r="E119" s="80">
        <v>10</v>
      </c>
      <c r="F119" s="80">
        <f t="shared" si="13"/>
        <v>15</v>
      </c>
      <c r="G119" s="80">
        <f t="shared" si="14"/>
        <v>25</v>
      </c>
      <c r="H119" s="79">
        <f t="shared" si="15"/>
        <v>72.566370614359172</v>
      </c>
      <c r="I119" s="80">
        <v>5796</v>
      </c>
      <c r="J119" s="79">
        <f t="shared" si="16"/>
        <v>463.68</v>
      </c>
      <c r="K119" s="80">
        <v>581</v>
      </c>
      <c r="L119" s="79">
        <f t="shared" si="17"/>
        <v>8.9370973191272629</v>
      </c>
      <c r="M119" s="81">
        <f t="shared" si="18"/>
        <v>40</v>
      </c>
      <c r="N119" s="80">
        <v>22617</v>
      </c>
      <c r="O119" s="79">
        <f t="shared" si="19"/>
        <v>3015.6</v>
      </c>
      <c r="P119" s="80">
        <v>408</v>
      </c>
      <c r="Q119" s="79">
        <f t="shared" si="20"/>
        <v>17.654271360380363</v>
      </c>
      <c r="R119" s="80">
        <f t="shared" si="21"/>
        <v>20</v>
      </c>
      <c r="S119" s="81">
        <v>6121</v>
      </c>
      <c r="T119" s="82">
        <v>602.1</v>
      </c>
    </row>
    <row r="120" spans="1:20" x14ac:dyDescent="0.25">
      <c r="A120" s="78" t="str">
        <f t="shared" si="11"/>
        <v>RECF  250*150*12</v>
      </c>
      <c r="B120" s="79">
        <f t="shared" si="12"/>
        <v>65.986681678089511</v>
      </c>
      <c r="C120" s="80">
        <v>250</v>
      </c>
      <c r="D120" s="80">
        <v>150</v>
      </c>
      <c r="E120" s="80">
        <v>12</v>
      </c>
      <c r="F120" s="80">
        <f t="shared" si="13"/>
        <v>24</v>
      </c>
      <c r="G120" s="80">
        <f t="shared" si="14"/>
        <v>36</v>
      </c>
      <c r="H120" s="79">
        <f t="shared" si="15"/>
        <v>84.059467105846508</v>
      </c>
      <c r="I120" s="80">
        <v>6387</v>
      </c>
      <c r="J120" s="79">
        <f t="shared" si="16"/>
        <v>510.96</v>
      </c>
      <c r="K120" s="80">
        <v>655</v>
      </c>
      <c r="L120" s="79">
        <f t="shared" si="17"/>
        <v>8.7167610676706655</v>
      </c>
      <c r="M120" s="81">
        <f t="shared" si="18"/>
        <v>42.72</v>
      </c>
      <c r="N120" s="80">
        <v>2885</v>
      </c>
      <c r="O120" s="79">
        <f t="shared" si="19"/>
        <v>384.66666666666669</v>
      </c>
      <c r="P120" s="80">
        <v>460</v>
      </c>
      <c r="Q120" s="79">
        <f t="shared" si="20"/>
        <v>5.8584077076257763</v>
      </c>
      <c r="R120" s="80">
        <f t="shared" si="21"/>
        <v>18.72</v>
      </c>
      <c r="S120" s="81">
        <v>7088</v>
      </c>
      <c r="T120" s="82">
        <v>684.4</v>
      </c>
    </row>
    <row r="121" spans="1:20" x14ac:dyDescent="0.25">
      <c r="A121" s="78" t="str">
        <f t="shared" si="11"/>
        <v>RECF  250*150*12.5</v>
      </c>
      <c r="B121" s="79">
        <f t="shared" si="12"/>
        <v>68.329298695843661</v>
      </c>
      <c r="C121" s="80">
        <v>250</v>
      </c>
      <c r="D121" s="80">
        <v>150</v>
      </c>
      <c r="E121" s="80">
        <v>12.5</v>
      </c>
      <c r="F121" s="80">
        <f t="shared" si="13"/>
        <v>25</v>
      </c>
      <c r="G121" s="80">
        <f t="shared" si="14"/>
        <v>37.5</v>
      </c>
      <c r="H121" s="79">
        <f t="shared" si="15"/>
        <v>87.043692606170268</v>
      </c>
      <c r="I121" s="80">
        <v>6553</v>
      </c>
      <c r="J121" s="79">
        <f t="shared" si="16"/>
        <v>524.24</v>
      </c>
      <c r="K121" s="80">
        <v>675</v>
      </c>
      <c r="L121" s="79">
        <f t="shared" si="17"/>
        <v>8.6766370441925726</v>
      </c>
      <c r="M121" s="81">
        <f t="shared" si="18"/>
        <v>43.75</v>
      </c>
      <c r="N121" s="80">
        <v>2956</v>
      </c>
      <c r="O121" s="79">
        <f t="shared" si="19"/>
        <v>394.13333333333333</v>
      </c>
      <c r="P121" s="80">
        <v>474</v>
      </c>
      <c r="Q121" s="79">
        <f t="shared" si="20"/>
        <v>5.8275171671442152</v>
      </c>
      <c r="R121" s="80">
        <f t="shared" si="21"/>
        <v>18.75</v>
      </c>
      <c r="S121" s="81">
        <v>7315</v>
      </c>
      <c r="T121" s="82">
        <v>704.1</v>
      </c>
    </row>
    <row r="122" spans="1:20" x14ac:dyDescent="0.25">
      <c r="A122" s="83" t="str">
        <f t="shared" si="11"/>
        <v>RECF  250*150*16</v>
      </c>
      <c r="B122" s="84">
        <f t="shared" si="12"/>
        <v>83.816322983270254</v>
      </c>
      <c r="C122" s="85">
        <v>250</v>
      </c>
      <c r="D122" s="85">
        <v>150</v>
      </c>
      <c r="E122" s="85">
        <v>16</v>
      </c>
      <c r="F122" s="85">
        <f t="shared" si="13"/>
        <v>32</v>
      </c>
      <c r="G122" s="85">
        <f t="shared" si="14"/>
        <v>48</v>
      </c>
      <c r="H122" s="84">
        <f t="shared" si="15"/>
        <v>106.77238596594937</v>
      </c>
      <c r="I122" s="85">
        <v>7496</v>
      </c>
      <c r="J122" s="84">
        <f t="shared" si="16"/>
        <v>599.67999999999995</v>
      </c>
      <c r="K122" s="85">
        <v>798</v>
      </c>
      <c r="L122" s="84">
        <f t="shared" si="17"/>
        <v>8.3788673528207127</v>
      </c>
      <c r="M122" s="86">
        <f t="shared" si="18"/>
        <v>49.28</v>
      </c>
      <c r="N122" s="85">
        <v>3359</v>
      </c>
      <c r="O122" s="84">
        <f t="shared" si="19"/>
        <v>447.86666666666667</v>
      </c>
      <c r="P122" s="85">
        <v>559</v>
      </c>
      <c r="Q122" s="84">
        <f t="shared" si="20"/>
        <v>5.6088719867968058</v>
      </c>
      <c r="R122" s="85">
        <f t="shared" si="21"/>
        <v>17.28</v>
      </c>
      <c r="S122" s="86">
        <v>8713</v>
      </c>
      <c r="T122" s="87">
        <v>823</v>
      </c>
    </row>
    <row r="123" spans="1:20" x14ac:dyDescent="0.25">
      <c r="A123" s="70" t="str">
        <f t="shared" si="11"/>
        <v>RECF  260*180*5</v>
      </c>
      <c r="B123" s="71">
        <f t="shared" si="12"/>
        <v>33.249612674801</v>
      </c>
      <c r="C123" s="15">
        <v>260</v>
      </c>
      <c r="D123" s="15">
        <v>180</v>
      </c>
      <c r="E123" s="15">
        <v>5</v>
      </c>
      <c r="F123" s="15">
        <f t="shared" si="13"/>
        <v>5</v>
      </c>
      <c r="G123" s="15">
        <f t="shared" si="14"/>
        <v>10</v>
      </c>
      <c r="H123" s="71">
        <f t="shared" si="15"/>
        <v>42.356194490192351</v>
      </c>
      <c r="I123" s="15">
        <v>4119</v>
      </c>
      <c r="J123" s="71">
        <f t="shared" si="16"/>
        <v>316.84615384615387</v>
      </c>
      <c r="K123" s="15">
        <v>377</v>
      </c>
      <c r="L123" s="71">
        <f t="shared" si="17"/>
        <v>9.8613739775295297</v>
      </c>
      <c r="M123" s="72">
        <f t="shared" si="18"/>
        <v>24</v>
      </c>
      <c r="N123" s="15">
        <v>2348</v>
      </c>
      <c r="O123" s="71">
        <f t="shared" si="19"/>
        <v>260.88888888888891</v>
      </c>
      <c r="P123" s="15">
        <v>294</v>
      </c>
      <c r="Q123" s="71">
        <f t="shared" si="20"/>
        <v>7.4454436210118029</v>
      </c>
      <c r="R123" s="15">
        <f t="shared" si="21"/>
        <v>16</v>
      </c>
      <c r="S123" s="72">
        <v>4695</v>
      </c>
      <c r="T123" s="15">
        <v>425.9</v>
      </c>
    </row>
    <row r="124" spans="1:20" x14ac:dyDescent="0.25">
      <c r="A124" s="70" t="str">
        <f t="shared" si="11"/>
        <v>RECF  260*180*6</v>
      </c>
      <c r="B124" s="71">
        <f t="shared" si="12"/>
        <v>39.589842251713428</v>
      </c>
      <c r="C124" s="15">
        <v>260</v>
      </c>
      <c r="D124" s="15">
        <v>180</v>
      </c>
      <c r="E124" s="15">
        <v>6</v>
      </c>
      <c r="F124" s="15">
        <f t="shared" si="13"/>
        <v>6</v>
      </c>
      <c r="G124" s="15">
        <f t="shared" si="14"/>
        <v>12</v>
      </c>
      <c r="H124" s="71">
        <f t="shared" si="15"/>
        <v>50.432920065876978</v>
      </c>
      <c r="I124" s="15">
        <v>4852</v>
      </c>
      <c r="J124" s="71">
        <f t="shared" si="16"/>
        <v>373.23076923076923</v>
      </c>
      <c r="K124" s="15">
        <v>447</v>
      </c>
      <c r="L124" s="71">
        <f t="shared" si="17"/>
        <v>9.8085167672934173</v>
      </c>
      <c r="M124" s="72">
        <f t="shared" si="18"/>
        <v>28.32</v>
      </c>
      <c r="N124" s="15">
        <v>2761</v>
      </c>
      <c r="O124" s="71">
        <f t="shared" si="19"/>
        <v>306.77777777777777</v>
      </c>
      <c r="P124" s="15">
        <v>348</v>
      </c>
      <c r="Q124" s="71">
        <f t="shared" si="20"/>
        <v>7.3990531334540979</v>
      </c>
      <c r="R124" s="15">
        <f t="shared" si="21"/>
        <v>18.72</v>
      </c>
      <c r="S124" s="72"/>
      <c r="T124" s="15"/>
    </row>
    <row r="125" spans="1:20" x14ac:dyDescent="0.25">
      <c r="A125" s="70" t="str">
        <f t="shared" si="11"/>
        <v>RECF  260*180*6.3</v>
      </c>
      <c r="B125" s="71">
        <f t="shared" si="12"/>
        <v>41.204330110018738</v>
      </c>
      <c r="C125" s="15">
        <v>260</v>
      </c>
      <c r="D125" s="15">
        <v>180</v>
      </c>
      <c r="E125" s="15">
        <v>6.3</v>
      </c>
      <c r="F125" s="15">
        <f t="shared" si="13"/>
        <v>9.4499999999999993</v>
      </c>
      <c r="G125" s="15">
        <f t="shared" si="14"/>
        <v>15.75</v>
      </c>
      <c r="H125" s="71">
        <f t="shared" si="15"/>
        <v>52.489592496839158</v>
      </c>
      <c r="I125" s="15">
        <v>5005</v>
      </c>
      <c r="J125" s="71">
        <f t="shared" si="16"/>
        <v>385</v>
      </c>
      <c r="K125" s="15">
        <v>463</v>
      </c>
      <c r="L125" s="71">
        <f t="shared" si="17"/>
        <v>9.7648469411800196</v>
      </c>
      <c r="M125" s="72">
        <f t="shared" si="18"/>
        <v>28.791</v>
      </c>
      <c r="N125" s="15">
        <v>2851</v>
      </c>
      <c r="O125" s="71">
        <f t="shared" si="19"/>
        <v>316.77777777777777</v>
      </c>
      <c r="P125" s="15">
        <v>360</v>
      </c>
      <c r="Q125" s="71">
        <f t="shared" si="20"/>
        <v>7.3699070085792355</v>
      </c>
      <c r="R125" s="15">
        <f t="shared" si="21"/>
        <v>18.710999999999999</v>
      </c>
      <c r="S125" s="72">
        <v>5844</v>
      </c>
      <c r="T125" s="15">
        <v>523</v>
      </c>
    </row>
    <row r="126" spans="1:20" x14ac:dyDescent="0.25">
      <c r="A126" s="70" t="str">
        <f t="shared" si="11"/>
        <v>RECF  260*180*8</v>
      </c>
      <c r="B126" s="71">
        <f t="shared" si="12"/>
        <v>51.529344596654056</v>
      </c>
      <c r="C126" s="15">
        <v>260</v>
      </c>
      <c r="D126" s="15">
        <v>180</v>
      </c>
      <c r="E126" s="15">
        <v>8</v>
      </c>
      <c r="F126" s="15">
        <f t="shared" si="13"/>
        <v>12</v>
      </c>
      <c r="G126" s="15">
        <f t="shared" si="14"/>
        <v>20</v>
      </c>
      <c r="H126" s="71">
        <f t="shared" si="15"/>
        <v>65.642477193189876</v>
      </c>
      <c r="I126" s="15">
        <v>6130</v>
      </c>
      <c r="J126" s="71">
        <f t="shared" si="16"/>
        <v>471.53846153846155</v>
      </c>
      <c r="K126" s="15">
        <v>572</v>
      </c>
      <c r="L126" s="71">
        <f t="shared" si="17"/>
        <v>9.6635735465403432</v>
      </c>
      <c r="M126" s="72">
        <f t="shared" si="18"/>
        <v>35.200000000000003</v>
      </c>
      <c r="N126" s="15">
        <v>3483</v>
      </c>
      <c r="O126" s="71">
        <f t="shared" si="19"/>
        <v>387</v>
      </c>
      <c r="P126" s="15">
        <v>445</v>
      </c>
      <c r="Q126" s="71">
        <f t="shared" si="20"/>
        <v>7.2842401648900736</v>
      </c>
      <c r="R126" s="15">
        <f t="shared" si="21"/>
        <v>22.400000000000002</v>
      </c>
      <c r="S126" s="72">
        <v>7267</v>
      </c>
      <c r="T126" s="15">
        <v>642.4</v>
      </c>
    </row>
    <row r="127" spans="1:20" x14ac:dyDescent="0.25">
      <c r="A127" s="70" t="str">
        <f t="shared" si="11"/>
        <v>RECF  260*180*10</v>
      </c>
      <c r="B127" s="71">
        <f t="shared" si="12"/>
        <v>63.24460093227195</v>
      </c>
      <c r="C127" s="15">
        <v>260</v>
      </c>
      <c r="D127" s="15">
        <v>180</v>
      </c>
      <c r="E127" s="15">
        <v>10</v>
      </c>
      <c r="F127" s="15">
        <f t="shared" si="13"/>
        <v>15</v>
      </c>
      <c r="G127" s="15">
        <f t="shared" si="14"/>
        <v>25</v>
      </c>
      <c r="H127" s="71">
        <f t="shared" si="15"/>
        <v>80.566370614359172</v>
      </c>
      <c r="I127" s="15">
        <v>7333</v>
      </c>
      <c r="J127" s="71">
        <f t="shared" si="16"/>
        <v>564.07692307692309</v>
      </c>
      <c r="K127" s="15">
        <v>693</v>
      </c>
      <c r="L127" s="71">
        <f t="shared" si="17"/>
        <v>9.5403419806140146</v>
      </c>
      <c r="M127" s="72">
        <f t="shared" si="18"/>
        <v>42</v>
      </c>
      <c r="N127" s="15">
        <v>4154</v>
      </c>
      <c r="O127" s="71">
        <f t="shared" si="19"/>
        <v>461.55555555555554</v>
      </c>
      <c r="P127" s="15">
        <v>538</v>
      </c>
      <c r="Q127" s="71">
        <f t="shared" si="20"/>
        <v>7.1805274402960473</v>
      </c>
      <c r="R127" s="15">
        <f t="shared" si="21"/>
        <v>26</v>
      </c>
      <c r="S127" s="72">
        <v>8850</v>
      </c>
      <c r="T127" s="15">
        <v>771.9</v>
      </c>
    </row>
    <row r="128" spans="1:20" x14ac:dyDescent="0.25">
      <c r="A128" s="70" t="str">
        <f t="shared" si="11"/>
        <v>RECF  260*180*12</v>
      </c>
      <c r="B128" s="71">
        <f t="shared" si="12"/>
        <v>73.522681678089512</v>
      </c>
      <c r="C128" s="15">
        <v>260</v>
      </c>
      <c r="D128" s="15">
        <v>180</v>
      </c>
      <c r="E128" s="15">
        <v>12</v>
      </c>
      <c r="F128" s="15">
        <f t="shared" si="13"/>
        <v>24</v>
      </c>
      <c r="G128" s="15">
        <f t="shared" si="14"/>
        <v>36</v>
      </c>
      <c r="H128" s="71">
        <f t="shared" si="15"/>
        <v>93.659467105846502</v>
      </c>
      <c r="I128" s="15">
        <v>8171</v>
      </c>
      <c r="J128" s="71">
        <f t="shared" si="16"/>
        <v>628.53846153846155</v>
      </c>
      <c r="K128" s="15">
        <v>787</v>
      </c>
      <c r="L128" s="71">
        <f t="shared" si="17"/>
        <v>9.3403201845658685</v>
      </c>
      <c r="M128" s="72">
        <f t="shared" si="18"/>
        <v>45.12</v>
      </c>
      <c r="N128" s="15">
        <v>4630</v>
      </c>
      <c r="O128" s="71">
        <f t="shared" si="19"/>
        <v>514.44444444444446</v>
      </c>
      <c r="P128" s="15">
        <v>612</v>
      </c>
      <c r="Q128" s="71">
        <f t="shared" si="20"/>
        <v>7.0309604386901068</v>
      </c>
      <c r="R128" s="15">
        <f t="shared" si="21"/>
        <v>25.92</v>
      </c>
      <c r="S128" s="72">
        <v>10330</v>
      </c>
      <c r="T128" s="15">
        <v>884.4</v>
      </c>
    </row>
    <row r="129" spans="1:20" x14ac:dyDescent="0.25">
      <c r="A129" s="70" t="str">
        <f t="shared" si="11"/>
        <v>RECF  260*180*12.5</v>
      </c>
      <c r="B129" s="71">
        <f t="shared" si="12"/>
        <v>76.17929869584367</v>
      </c>
      <c r="C129" s="15">
        <v>260</v>
      </c>
      <c r="D129" s="15">
        <v>180</v>
      </c>
      <c r="E129" s="15">
        <v>12.5</v>
      </c>
      <c r="F129" s="15">
        <f t="shared" si="13"/>
        <v>25</v>
      </c>
      <c r="G129" s="15">
        <f t="shared" si="14"/>
        <v>37.5</v>
      </c>
      <c r="H129" s="71">
        <f t="shared" si="15"/>
        <v>97.043692606170268</v>
      </c>
      <c r="I129" s="15">
        <v>8400</v>
      </c>
      <c r="J129" s="71">
        <f t="shared" si="16"/>
        <v>646.15384615384619</v>
      </c>
      <c r="K129" s="15">
        <v>812</v>
      </c>
      <c r="L129" s="71">
        <f t="shared" si="17"/>
        <v>9.3037061753586343</v>
      </c>
      <c r="M129" s="72">
        <f t="shared" si="18"/>
        <v>46.25</v>
      </c>
      <c r="N129" s="15">
        <v>4756</v>
      </c>
      <c r="O129" s="71">
        <f t="shared" si="19"/>
        <v>528.44444444444446</v>
      </c>
      <c r="P129" s="15">
        <v>631</v>
      </c>
      <c r="Q129" s="71">
        <f t="shared" si="20"/>
        <v>7.000632280366716</v>
      </c>
      <c r="R129" s="15">
        <f t="shared" si="21"/>
        <v>26.25</v>
      </c>
      <c r="S129" s="72">
        <v>10680</v>
      </c>
      <c r="T129" s="15">
        <v>911.4</v>
      </c>
    </row>
    <row r="130" spans="1:20" x14ac:dyDescent="0.25">
      <c r="A130" s="70" t="str">
        <f t="shared" si="11"/>
        <v>RECF  260*180*16</v>
      </c>
      <c r="B130" s="71">
        <f t="shared" si="12"/>
        <v>93.864322983270256</v>
      </c>
      <c r="C130" s="15">
        <v>260</v>
      </c>
      <c r="D130" s="15">
        <v>180</v>
      </c>
      <c r="E130" s="15">
        <v>16</v>
      </c>
      <c r="F130" s="15">
        <f t="shared" si="13"/>
        <v>32</v>
      </c>
      <c r="G130" s="15">
        <f t="shared" si="14"/>
        <v>48</v>
      </c>
      <c r="H130" s="71">
        <f t="shared" si="15"/>
        <v>119.57238596594937</v>
      </c>
      <c r="I130" s="15">
        <v>9752</v>
      </c>
      <c r="J130" s="71">
        <f t="shared" si="16"/>
        <v>750.15384615384619</v>
      </c>
      <c r="K130" s="15">
        <v>970</v>
      </c>
      <c r="L130" s="71">
        <f t="shared" si="17"/>
        <v>9.0309075968069248</v>
      </c>
      <c r="M130" s="72">
        <f t="shared" si="18"/>
        <v>52.480000000000004</v>
      </c>
      <c r="N130" s="15">
        <v>5499</v>
      </c>
      <c r="O130" s="71">
        <f t="shared" si="19"/>
        <v>611</v>
      </c>
      <c r="P130" s="15">
        <v>752</v>
      </c>
      <c r="Q130" s="71">
        <f t="shared" si="20"/>
        <v>6.7815100887798039</v>
      </c>
      <c r="R130" s="15">
        <f t="shared" si="21"/>
        <v>26.88</v>
      </c>
      <c r="S130" s="72">
        <v>12890</v>
      </c>
      <c r="T130" s="15">
        <v>1079</v>
      </c>
    </row>
    <row r="131" spans="1:20" x14ac:dyDescent="0.25">
      <c r="A131" s="73" t="str">
        <f t="shared" si="11"/>
        <v>RECF  300*100*6</v>
      </c>
      <c r="B131" s="74">
        <f t="shared" si="12"/>
        <v>35.821842251713434</v>
      </c>
      <c r="C131" s="75">
        <v>300</v>
      </c>
      <c r="D131" s="75">
        <v>100</v>
      </c>
      <c r="E131" s="75">
        <v>6</v>
      </c>
      <c r="F131" s="75">
        <f t="shared" si="13"/>
        <v>6</v>
      </c>
      <c r="G131" s="75">
        <f t="shared" si="14"/>
        <v>12</v>
      </c>
      <c r="H131" s="74">
        <f t="shared" si="15"/>
        <v>45.632920065876981</v>
      </c>
      <c r="I131" s="75">
        <v>4772</v>
      </c>
      <c r="J131" s="74">
        <f t="shared" si="16"/>
        <v>318.13333333333333</v>
      </c>
      <c r="K131" s="75">
        <v>411</v>
      </c>
      <c r="L131" s="74">
        <f t="shared" si="17"/>
        <v>10.226124771150914</v>
      </c>
      <c r="M131" s="76">
        <f t="shared" si="18"/>
        <v>33.119999999999997</v>
      </c>
      <c r="N131" s="75">
        <v>841</v>
      </c>
      <c r="O131" s="74">
        <f t="shared" si="19"/>
        <v>168.2</v>
      </c>
      <c r="P131" s="75">
        <v>188</v>
      </c>
      <c r="Q131" s="74">
        <f t="shared" si="20"/>
        <v>4.2929800250728354</v>
      </c>
      <c r="R131" s="75">
        <f t="shared" si="21"/>
        <v>9.120000000000001</v>
      </c>
      <c r="S131" s="76">
        <v>2403</v>
      </c>
      <c r="T131" s="77">
        <v>306.2</v>
      </c>
    </row>
    <row r="132" spans="1:20" x14ac:dyDescent="0.25">
      <c r="A132" s="78" t="str">
        <f t="shared" si="11"/>
        <v>RECF  300*100*6.3</v>
      </c>
      <c r="B132" s="79">
        <f t="shared" si="12"/>
        <v>37.247930110018743</v>
      </c>
      <c r="C132" s="80">
        <v>300</v>
      </c>
      <c r="D132" s="80">
        <v>100</v>
      </c>
      <c r="E132" s="80">
        <v>6.3</v>
      </c>
      <c r="F132" s="80">
        <f t="shared" si="13"/>
        <v>9.4499999999999993</v>
      </c>
      <c r="G132" s="80">
        <f t="shared" si="14"/>
        <v>15.75</v>
      </c>
      <c r="H132" s="79">
        <f t="shared" si="15"/>
        <v>47.449592496839159</v>
      </c>
      <c r="I132" s="80">
        <v>4898</v>
      </c>
      <c r="J132" s="79">
        <f t="shared" si="16"/>
        <v>326.53333333333336</v>
      </c>
      <c r="K132" s="80">
        <v>425</v>
      </c>
      <c r="L132" s="79">
        <f t="shared" si="17"/>
        <v>10.159986874539943</v>
      </c>
      <c r="M132" s="81">
        <f t="shared" si="18"/>
        <v>33.831000000000003</v>
      </c>
      <c r="N132" s="80">
        <v>865</v>
      </c>
      <c r="O132" s="79">
        <f t="shared" si="19"/>
        <v>173</v>
      </c>
      <c r="P132" s="80">
        <v>194</v>
      </c>
      <c r="Q132" s="79">
        <f t="shared" si="20"/>
        <v>4.2696454242846062</v>
      </c>
      <c r="R132" s="80">
        <f t="shared" si="21"/>
        <v>8.6310000000000002</v>
      </c>
      <c r="S132" s="81">
        <v>2515</v>
      </c>
      <c r="T132" s="82">
        <v>318.3</v>
      </c>
    </row>
    <row r="133" spans="1:20" x14ac:dyDescent="0.25">
      <c r="A133" s="78" t="str">
        <f t="shared" ref="A133:A168" si="22">$B$3&amp;"  "&amp;C133&amp;"*"&amp;D133&amp;"*"&amp;E133</f>
        <v>RECF  300*100*8</v>
      </c>
      <c r="B133" s="79">
        <f t="shared" ref="B133:B196" si="23">H133*0.785</f>
        <v>46.505344596654048</v>
      </c>
      <c r="C133" s="80">
        <v>300</v>
      </c>
      <c r="D133" s="80">
        <v>100</v>
      </c>
      <c r="E133" s="80">
        <v>8</v>
      </c>
      <c r="F133" s="80">
        <f t="shared" ref="F133:F196" si="24">IF(E133&lt;=6,1*E133,IF(E133&lt;=10,1.5*E133,2*E133))</f>
        <v>12</v>
      </c>
      <c r="G133" s="80">
        <f t="shared" ref="G133:G196" si="25">IF(E133&lt;=6,2*E133,IF(E133&lt;=10,2.5*E133,3*E133))</f>
        <v>20</v>
      </c>
      <c r="H133" s="79">
        <f t="shared" ref="H133:H196" si="26">(2*(C133-2*G133)*E133+2*(D133-2*G133)*E133+PI()*(G133^2-F133^2))*0.01</f>
        <v>59.24247719318987</v>
      </c>
      <c r="I133" s="80">
        <v>5960</v>
      </c>
      <c r="J133" s="79">
        <f t="shared" ref="J133:J196" si="27">I133/(0.5*C133*0.1)</f>
        <v>397.33333333333331</v>
      </c>
      <c r="K133" s="80">
        <v>523</v>
      </c>
      <c r="L133" s="79">
        <f t="shared" ref="L133:L196" si="28">SQRT(I133/H133)</f>
        <v>10.030129143906976</v>
      </c>
      <c r="M133" s="81">
        <f t="shared" ref="M133:M196" si="29">2*(C133-2*G133)*E133*0.01</f>
        <v>41.6</v>
      </c>
      <c r="N133" s="80">
        <v>1039</v>
      </c>
      <c r="O133" s="79">
        <f t="shared" ref="O133:O196" si="30">N133/(0.5*D133*0.1)</f>
        <v>207.8</v>
      </c>
      <c r="P133" s="80">
        <v>238</v>
      </c>
      <c r="Q133" s="79">
        <f t="shared" ref="Q133:Q196" si="31">SQRT(N133/H133)</f>
        <v>4.1878504917638715</v>
      </c>
      <c r="R133" s="80">
        <f t="shared" ref="R133:R196" si="32">2*(D133-2*G133)*E133*0.01</f>
        <v>9.6</v>
      </c>
      <c r="S133" s="81">
        <v>3080</v>
      </c>
      <c r="T133" s="82">
        <v>385.2</v>
      </c>
    </row>
    <row r="134" spans="1:20" x14ac:dyDescent="0.25">
      <c r="A134" s="78" t="str">
        <f t="shared" si="22"/>
        <v>RECF  300*100*10</v>
      </c>
      <c r="B134" s="79">
        <f t="shared" si="23"/>
        <v>56.964600932271949</v>
      </c>
      <c r="C134" s="80">
        <v>300</v>
      </c>
      <c r="D134" s="80">
        <v>100</v>
      </c>
      <c r="E134" s="80">
        <v>10</v>
      </c>
      <c r="F134" s="80">
        <f t="shared" si="24"/>
        <v>15</v>
      </c>
      <c r="G134" s="80">
        <f t="shared" si="25"/>
        <v>25</v>
      </c>
      <c r="H134" s="79">
        <f t="shared" si="26"/>
        <v>72.566370614359172</v>
      </c>
      <c r="I134" s="80">
        <v>7071</v>
      </c>
      <c r="J134" s="79">
        <f t="shared" si="27"/>
        <v>471.4</v>
      </c>
      <c r="K134" s="80">
        <v>630</v>
      </c>
      <c r="L134" s="79">
        <f t="shared" si="28"/>
        <v>9.8712628726588072</v>
      </c>
      <c r="M134" s="81">
        <f t="shared" si="29"/>
        <v>50</v>
      </c>
      <c r="N134" s="80">
        <v>1213</v>
      </c>
      <c r="O134" s="79">
        <f t="shared" si="30"/>
        <v>242.6</v>
      </c>
      <c r="P134" s="80">
        <v>284</v>
      </c>
      <c r="Q134" s="79">
        <f t="shared" si="31"/>
        <v>4.0884877342502319</v>
      </c>
      <c r="R134" s="80">
        <f t="shared" si="32"/>
        <v>10</v>
      </c>
      <c r="S134" s="81">
        <v>3681</v>
      </c>
      <c r="T134" s="82">
        <v>454.5</v>
      </c>
    </row>
    <row r="135" spans="1:20" x14ac:dyDescent="0.25">
      <c r="A135" s="78" t="str">
        <f t="shared" si="22"/>
        <v>RECF  300*100*12</v>
      </c>
      <c r="B135" s="79">
        <f t="shared" si="23"/>
        <v>65.986681678089511</v>
      </c>
      <c r="C135" s="80">
        <v>300</v>
      </c>
      <c r="D135" s="80">
        <v>100</v>
      </c>
      <c r="E135" s="80">
        <v>12</v>
      </c>
      <c r="F135" s="80">
        <f t="shared" si="24"/>
        <v>24</v>
      </c>
      <c r="G135" s="80">
        <f t="shared" si="25"/>
        <v>36</v>
      </c>
      <c r="H135" s="79">
        <f t="shared" si="26"/>
        <v>84.059467105846508</v>
      </c>
      <c r="I135" s="80">
        <v>7723</v>
      </c>
      <c r="J135" s="79">
        <f t="shared" si="27"/>
        <v>514.86666666666667</v>
      </c>
      <c r="K135" s="80">
        <v>707</v>
      </c>
      <c r="L135" s="79">
        <f t="shared" si="28"/>
        <v>9.585167381762119</v>
      </c>
      <c r="M135" s="81">
        <f t="shared" si="29"/>
        <v>54.72</v>
      </c>
      <c r="N135" s="80">
        <v>1317</v>
      </c>
      <c r="O135" s="79">
        <f t="shared" si="30"/>
        <v>263.39999999999998</v>
      </c>
      <c r="P135" s="80">
        <v>318</v>
      </c>
      <c r="Q135" s="79">
        <f t="shared" si="31"/>
        <v>3.9582167406223632</v>
      </c>
      <c r="R135" s="80">
        <f t="shared" si="32"/>
        <v>6.72</v>
      </c>
      <c r="S135" s="81">
        <v>4177</v>
      </c>
      <c r="T135" s="82">
        <v>508.5</v>
      </c>
    </row>
    <row r="136" spans="1:20" x14ac:dyDescent="0.25">
      <c r="A136" s="78" t="str">
        <f t="shared" si="22"/>
        <v>RECF  300*100*12.5</v>
      </c>
      <c r="B136" s="79">
        <f t="shared" si="23"/>
        <v>68.329298695843661</v>
      </c>
      <c r="C136" s="80">
        <v>300</v>
      </c>
      <c r="D136" s="80">
        <v>100</v>
      </c>
      <c r="E136" s="80">
        <v>12.5</v>
      </c>
      <c r="F136" s="80">
        <f t="shared" si="24"/>
        <v>25</v>
      </c>
      <c r="G136" s="80">
        <f t="shared" si="25"/>
        <v>37.5</v>
      </c>
      <c r="H136" s="79">
        <f t="shared" si="26"/>
        <v>87.043692606170268</v>
      </c>
      <c r="I136" s="80">
        <v>7913</v>
      </c>
      <c r="J136" s="79">
        <f t="shared" si="27"/>
        <v>527.5333333333333</v>
      </c>
      <c r="K136" s="80">
        <v>728</v>
      </c>
      <c r="L136" s="79">
        <f t="shared" si="28"/>
        <v>9.5345879588982871</v>
      </c>
      <c r="M136" s="81">
        <f t="shared" si="29"/>
        <v>56.25</v>
      </c>
      <c r="N136" s="80">
        <v>1345</v>
      </c>
      <c r="O136" s="79">
        <f t="shared" si="30"/>
        <v>269</v>
      </c>
      <c r="P136" s="80">
        <v>327</v>
      </c>
      <c r="Q136" s="79">
        <f t="shared" si="31"/>
        <v>3.9309044635227406</v>
      </c>
      <c r="R136" s="80">
        <f t="shared" si="32"/>
        <v>6.25</v>
      </c>
      <c r="S136" s="81">
        <v>4292</v>
      </c>
      <c r="T136" s="82">
        <v>521.20000000000005</v>
      </c>
    </row>
    <row r="137" spans="1:20" x14ac:dyDescent="0.25">
      <c r="A137" s="83" t="str">
        <f t="shared" si="22"/>
        <v>RECF  300*100*16</v>
      </c>
      <c r="B137" s="84">
        <f t="shared" si="23"/>
        <v>83.816322983270254</v>
      </c>
      <c r="C137" s="85">
        <v>300</v>
      </c>
      <c r="D137" s="85">
        <v>100</v>
      </c>
      <c r="E137" s="85">
        <v>16</v>
      </c>
      <c r="F137" s="85">
        <f t="shared" si="24"/>
        <v>32</v>
      </c>
      <c r="G137" s="85">
        <f t="shared" si="25"/>
        <v>48</v>
      </c>
      <c r="H137" s="84">
        <f t="shared" si="26"/>
        <v>106.77238596594937</v>
      </c>
      <c r="I137" s="85">
        <v>8958</v>
      </c>
      <c r="J137" s="84">
        <f t="shared" si="27"/>
        <v>597.20000000000005</v>
      </c>
      <c r="K137" s="85">
        <v>858</v>
      </c>
      <c r="L137" s="84">
        <f t="shared" si="28"/>
        <v>9.1595904411554923</v>
      </c>
      <c r="M137" s="86">
        <f t="shared" si="29"/>
        <v>65.28</v>
      </c>
      <c r="N137" s="85">
        <v>1485</v>
      </c>
      <c r="O137" s="84">
        <f t="shared" si="30"/>
        <v>297</v>
      </c>
      <c r="P137" s="85">
        <v>379</v>
      </c>
      <c r="Q137" s="84">
        <f t="shared" si="31"/>
        <v>3.7293552304966537</v>
      </c>
      <c r="R137" s="85">
        <f t="shared" si="32"/>
        <v>1.28</v>
      </c>
      <c r="S137" s="86">
        <v>4939</v>
      </c>
      <c r="T137" s="87">
        <v>592.29999999999995</v>
      </c>
    </row>
    <row r="138" spans="1:20" x14ac:dyDescent="0.25">
      <c r="A138" s="70" t="str">
        <f t="shared" si="22"/>
        <v>RECF  300*150*6</v>
      </c>
      <c r="B138" s="71">
        <f t="shared" si="23"/>
        <v>40.531842251713428</v>
      </c>
      <c r="C138" s="15">
        <v>300</v>
      </c>
      <c r="D138" s="15">
        <v>150</v>
      </c>
      <c r="E138" s="15">
        <v>6</v>
      </c>
      <c r="F138" s="15">
        <f t="shared" si="24"/>
        <v>6</v>
      </c>
      <c r="G138" s="15">
        <f t="shared" si="25"/>
        <v>12</v>
      </c>
      <c r="H138" s="71">
        <f t="shared" si="26"/>
        <v>51.632920065876981</v>
      </c>
      <c r="I138" s="15">
        <v>6069</v>
      </c>
      <c r="J138" s="71">
        <f t="shared" si="27"/>
        <v>404.6</v>
      </c>
      <c r="K138" s="15">
        <v>499</v>
      </c>
      <c r="L138" s="71">
        <f t="shared" si="28"/>
        <v>10.841646065031496</v>
      </c>
      <c r="M138" s="72">
        <f t="shared" si="29"/>
        <v>33.119999999999997</v>
      </c>
      <c r="N138" s="15">
        <v>2077</v>
      </c>
      <c r="O138" s="71">
        <f t="shared" si="30"/>
        <v>276.93333333333334</v>
      </c>
      <c r="P138" s="15">
        <v>309</v>
      </c>
      <c r="Q138" s="71">
        <f t="shared" si="31"/>
        <v>6.3424186391208277</v>
      </c>
      <c r="R138" s="15">
        <f t="shared" si="32"/>
        <v>15.120000000000001</v>
      </c>
      <c r="S138" s="72">
        <v>4988</v>
      </c>
      <c r="T138" s="15">
        <v>478.6</v>
      </c>
    </row>
    <row r="139" spans="1:20" x14ac:dyDescent="0.25">
      <c r="A139" s="70" t="str">
        <f t="shared" si="22"/>
        <v>RECF  300*150*6.3</v>
      </c>
      <c r="B139" s="71">
        <f t="shared" si="23"/>
        <v>42.193430110018745</v>
      </c>
      <c r="C139" s="15">
        <v>300</v>
      </c>
      <c r="D139" s="15">
        <v>150</v>
      </c>
      <c r="E139" s="15">
        <v>6.3</v>
      </c>
      <c r="F139" s="15">
        <f t="shared" si="24"/>
        <v>9.4499999999999993</v>
      </c>
      <c r="G139" s="15">
        <f t="shared" si="25"/>
        <v>15.75</v>
      </c>
      <c r="H139" s="71">
        <f t="shared" si="26"/>
        <v>53.749592496839163</v>
      </c>
      <c r="I139" s="15">
        <v>6257</v>
      </c>
      <c r="J139" s="71">
        <f t="shared" si="27"/>
        <v>417.13333333333333</v>
      </c>
      <c r="K139" s="15">
        <v>517</v>
      </c>
      <c r="L139" s="71">
        <f t="shared" si="28"/>
        <v>10.789355165349841</v>
      </c>
      <c r="M139" s="72">
        <f t="shared" si="29"/>
        <v>33.831000000000003</v>
      </c>
      <c r="N139" s="15">
        <v>2146</v>
      </c>
      <c r="O139" s="71">
        <f t="shared" si="30"/>
        <v>286.13333333333333</v>
      </c>
      <c r="P139" s="15">
        <v>321</v>
      </c>
      <c r="Q139" s="71">
        <f t="shared" si="31"/>
        <v>6.3186932265784739</v>
      </c>
      <c r="R139" s="15">
        <f t="shared" si="32"/>
        <v>14.930999999999999</v>
      </c>
      <c r="S139" s="72">
        <v>5234</v>
      </c>
      <c r="T139" s="15">
        <v>498.9</v>
      </c>
    </row>
    <row r="140" spans="1:20" x14ac:dyDescent="0.25">
      <c r="A140" s="70" t="str">
        <f t="shared" si="22"/>
        <v>RECF  300*150*8</v>
      </c>
      <c r="B140" s="71">
        <f t="shared" si="23"/>
        <v>52.785344596654049</v>
      </c>
      <c r="C140" s="15">
        <v>300</v>
      </c>
      <c r="D140" s="15">
        <v>150</v>
      </c>
      <c r="E140" s="15">
        <v>8</v>
      </c>
      <c r="F140" s="15">
        <f t="shared" si="24"/>
        <v>12</v>
      </c>
      <c r="G140" s="15">
        <f t="shared" si="25"/>
        <v>20</v>
      </c>
      <c r="H140" s="71">
        <f t="shared" si="26"/>
        <v>67.24247719318987</v>
      </c>
      <c r="I140" s="15">
        <v>7666</v>
      </c>
      <c r="J140" s="71">
        <f t="shared" si="27"/>
        <v>511.06666666666666</v>
      </c>
      <c r="K140" s="15">
        <v>640</v>
      </c>
      <c r="L140" s="71">
        <f t="shared" si="28"/>
        <v>10.677327290416073</v>
      </c>
      <c r="M140" s="72">
        <f t="shared" si="29"/>
        <v>41.6</v>
      </c>
      <c r="N140" s="15">
        <v>2614</v>
      </c>
      <c r="O140" s="71">
        <f t="shared" si="30"/>
        <v>348.53333333333336</v>
      </c>
      <c r="P140" s="15">
        <v>396</v>
      </c>
      <c r="Q140" s="71">
        <f t="shared" si="31"/>
        <v>6.2349207754561213</v>
      </c>
      <c r="R140" s="15">
        <f t="shared" si="32"/>
        <v>17.600000000000001</v>
      </c>
      <c r="S140" s="72">
        <v>6491</v>
      </c>
      <c r="T140" s="15">
        <v>611.5</v>
      </c>
    </row>
    <row r="141" spans="1:20" x14ac:dyDescent="0.25">
      <c r="A141" s="70" t="str">
        <f t="shared" si="22"/>
        <v>RECF  300*150*10</v>
      </c>
      <c r="B141" s="71">
        <f t="shared" si="23"/>
        <v>64.814600932271958</v>
      </c>
      <c r="C141" s="15">
        <v>300</v>
      </c>
      <c r="D141" s="15">
        <v>150</v>
      </c>
      <c r="E141" s="15">
        <v>10</v>
      </c>
      <c r="F141" s="15">
        <f t="shared" si="24"/>
        <v>15</v>
      </c>
      <c r="G141" s="15">
        <f t="shared" si="25"/>
        <v>25</v>
      </c>
      <c r="H141" s="71">
        <f t="shared" si="26"/>
        <v>82.566370614359172</v>
      </c>
      <c r="I141" s="15">
        <v>9174</v>
      </c>
      <c r="J141" s="71">
        <f t="shared" si="27"/>
        <v>611.6</v>
      </c>
      <c r="K141" s="15">
        <v>775</v>
      </c>
      <c r="L141" s="71">
        <f t="shared" si="28"/>
        <v>10.540901876425361</v>
      </c>
      <c r="M141" s="72">
        <f t="shared" si="29"/>
        <v>50</v>
      </c>
      <c r="N141" s="15">
        <v>3108</v>
      </c>
      <c r="O141" s="71">
        <f t="shared" si="30"/>
        <v>414.4</v>
      </c>
      <c r="P141" s="15">
        <v>478</v>
      </c>
      <c r="Q141" s="71">
        <f t="shared" si="31"/>
        <v>6.1353438547794807</v>
      </c>
      <c r="R141" s="15">
        <f t="shared" si="32"/>
        <v>20</v>
      </c>
      <c r="S141" s="72">
        <v>7879</v>
      </c>
      <c r="T141" s="15">
        <v>732.8</v>
      </c>
    </row>
    <row r="142" spans="1:20" x14ac:dyDescent="0.25">
      <c r="A142" s="70" t="str">
        <f t="shared" si="22"/>
        <v>RECF  300*150*12</v>
      </c>
      <c r="B142" s="71">
        <f t="shared" si="23"/>
        <v>75.406681678089512</v>
      </c>
      <c r="C142" s="15">
        <v>300</v>
      </c>
      <c r="D142" s="15">
        <v>150</v>
      </c>
      <c r="E142" s="15">
        <v>12</v>
      </c>
      <c r="F142" s="15">
        <f t="shared" si="24"/>
        <v>24</v>
      </c>
      <c r="G142" s="15">
        <f t="shared" si="25"/>
        <v>36</v>
      </c>
      <c r="H142" s="71">
        <f t="shared" si="26"/>
        <v>96.059467105846508</v>
      </c>
      <c r="I142" s="15">
        <v>10213</v>
      </c>
      <c r="J142" s="71">
        <f t="shared" si="27"/>
        <v>680.86666666666667</v>
      </c>
      <c r="K142" s="15">
        <v>880</v>
      </c>
      <c r="L142" s="71">
        <f t="shared" si="28"/>
        <v>10.311137527997696</v>
      </c>
      <c r="M142" s="72">
        <f t="shared" si="29"/>
        <v>54.72</v>
      </c>
      <c r="N142" s="15">
        <v>3457</v>
      </c>
      <c r="O142" s="71">
        <f t="shared" si="30"/>
        <v>460.93333333333334</v>
      </c>
      <c r="P142" s="15">
        <v>543</v>
      </c>
      <c r="Q142" s="71">
        <f t="shared" si="31"/>
        <v>5.9990102399177774</v>
      </c>
      <c r="R142" s="15">
        <f t="shared" si="32"/>
        <v>18.72</v>
      </c>
      <c r="S142" s="72">
        <v>9153</v>
      </c>
      <c r="T142" s="15">
        <v>836.9</v>
      </c>
    </row>
    <row r="143" spans="1:20" x14ac:dyDescent="0.25">
      <c r="A143" s="70" t="str">
        <f t="shared" si="22"/>
        <v>RECF  300*150*12.5</v>
      </c>
      <c r="B143" s="71">
        <f t="shared" si="23"/>
        <v>78.141798695843661</v>
      </c>
      <c r="C143" s="15">
        <v>300</v>
      </c>
      <c r="D143" s="15">
        <v>150</v>
      </c>
      <c r="E143" s="15">
        <v>12.5</v>
      </c>
      <c r="F143" s="15">
        <f t="shared" si="24"/>
        <v>25</v>
      </c>
      <c r="G143" s="15">
        <f t="shared" si="25"/>
        <v>37.5</v>
      </c>
      <c r="H143" s="71">
        <f t="shared" si="26"/>
        <v>99.543692606170268</v>
      </c>
      <c r="I143" s="15">
        <v>10498</v>
      </c>
      <c r="J143" s="71">
        <f t="shared" si="27"/>
        <v>699.86666666666667</v>
      </c>
      <c r="K143" s="15">
        <v>908</v>
      </c>
      <c r="L143" s="71">
        <f t="shared" si="28"/>
        <v>10.269431696941661</v>
      </c>
      <c r="M143" s="72">
        <f t="shared" si="29"/>
        <v>56.25</v>
      </c>
      <c r="N143" s="15">
        <v>3549</v>
      </c>
      <c r="O143" s="71">
        <f t="shared" si="30"/>
        <v>473.2</v>
      </c>
      <c r="P143" s="15">
        <v>560</v>
      </c>
      <c r="Q143" s="71">
        <f t="shared" si="31"/>
        <v>5.9709870073208231</v>
      </c>
      <c r="R143" s="15">
        <f t="shared" si="32"/>
        <v>18.75</v>
      </c>
      <c r="S143" s="72">
        <v>9452</v>
      </c>
      <c r="T143" s="15">
        <v>861.8</v>
      </c>
    </row>
    <row r="144" spans="1:20" x14ac:dyDescent="0.25">
      <c r="A144" s="70" t="str">
        <f t="shared" si="22"/>
        <v>RECF  300*150*16</v>
      </c>
      <c r="B144" s="71">
        <f t="shared" si="23"/>
        <v>96.376322983270256</v>
      </c>
      <c r="C144" s="15">
        <v>300</v>
      </c>
      <c r="D144" s="15">
        <v>150</v>
      </c>
      <c r="E144" s="15">
        <v>16</v>
      </c>
      <c r="F144" s="15">
        <f t="shared" si="24"/>
        <v>32</v>
      </c>
      <c r="G144" s="15">
        <f t="shared" si="25"/>
        <v>48</v>
      </c>
      <c r="H144" s="71">
        <f t="shared" si="26"/>
        <v>122.77238596594937</v>
      </c>
      <c r="I144" s="15">
        <v>12188</v>
      </c>
      <c r="J144" s="71">
        <f t="shared" si="27"/>
        <v>812.5333333333333</v>
      </c>
      <c r="K144" s="15">
        <v>1085</v>
      </c>
      <c r="L144" s="71">
        <f t="shared" si="28"/>
        <v>9.9635906118821946</v>
      </c>
      <c r="M144" s="72">
        <f t="shared" si="29"/>
        <v>65.28</v>
      </c>
      <c r="N144" s="15">
        <v>4081</v>
      </c>
      <c r="O144" s="71">
        <f t="shared" si="30"/>
        <v>544.13333333333333</v>
      </c>
      <c r="P144" s="15">
        <v>666</v>
      </c>
      <c r="Q144" s="71">
        <f t="shared" si="31"/>
        <v>5.7654465382246576</v>
      </c>
      <c r="R144" s="15">
        <f t="shared" si="32"/>
        <v>17.28</v>
      </c>
      <c r="S144" s="72">
        <v>11330</v>
      </c>
      <c r="T144" s="15">
        <v>1015</v>
      </c>
    </row>
    <row r="145" spans="1:20" x14ac:dyDescent="0.25">
      <c r="A145" s="73" t="str">
        <f t="shared" si="22"/>
        <v>RECF  300*200*6</v>
      </c>
      <c r="B145" s="74">
        <f t="shared" si="23"/>
        <v>45.241842251713429</v>
      </c>
      <c r="C145" s="75">
        <v>300</v>
      </c>
      <c r="D145" s="75">
        <v>200</v>
      </c>
      <c r="E145" s="75">
        <v>6</v>
      </c>
      <c r="F145" s="75">
        <f t="shared" si="24"/>
        <v>6</v>
      </c>
      <c r="G145" s="75">
        <f t="shared" si="25"/>
        <v>12</v>
      </c>
      <c r="H145" s="74">
        <f t="shared" si="26"/>
        <v>57.632920065876981</v>
      </c>
      <c r="I145" s="75">
        <v>7365</v>
      </c>
      <c r="J145" s="74">
        <f t="shared" si="27"/>
        <v>491</v>
      </c>
      <c r="K145" s="75">
        <v>588</v>
      </c>
      <c r="L145" s="74">
        <f t="shared" si="28"/>
        <v>11.304492326877625</v>
      </c>
      <c r="M145" s="76">
        <f t="shared" si="29"/>
        <v>33.119999999999997</v>
      </c>
      <c r="N145" s="75">
        <v>3959</v>
      </c>
      <c r="O145" s="74">
        <f t="shared" si="30"/>
        <v>395.9</v>
      </c>
      <c r="P145" s="75">
        <v>446</v>
      </c>
      <c r="Q145" s="74">
        <f t="shared" si="31"/>
        <v>8.2881468758875396</v>
      </c>
      <c r="R145" s="75">
        <f t="shared" si="32"/>
        <v>21.12</v>
      </c>
      <c r="S145" s="76">
        <v>8115</v>
      </c>
      <c r="T145" s="77">
        <v>651.20000000000005</v>
      </c>
    </row>
    <row r="146" spans="1:20" x14ac:dyDescent="0.25">
      <c r="A146" s="78" t="str">
        <f t="shared" si="22"/>
        <v>RECF  300*200*6.3</v>
      </c>
      <c r="B146" s="79">
        <f t="shared" si="23"/>
        <v>47.138930110018741</v>
      </c>
      <c r="C146" s="80">
        <v>300</v>
      </c>
      <c r="D146" s="80">
        <v>200</v>
      </c>
      <c r="E146" s="80">
        <v>6.3</v>
      </c>
      <c r="F146" s="80">
        <f t="shared" si="24"/>
        <v>9.4499999999999993</v>
      </c>
      <c r="G146" s="80">
        <f t="shared" si="25"/>
        <v>15.75</v>
      </c>
      <c r="H146" s="79">
        <f t="shared" si="26"/>
        <v>60.049592496839161</v>
      </c>
      <c r="I146" s="80">
        <v>7616</v>
      </c>
      <c r="J146" s="79">
        <f t="shared" si="27"/>
        <v>507.73333333333335</v>
      </c>
      <c r="K146" s="80">
        <v>610</v>
      </c>
      <c r="L146" s="79">
        <f t="shared" si="28"/>
        <v>11.261816207730106</v>
      </c>
      <c r="M146" s="81">
        <f t="shared" si="29"/>
        <v>33.831000000000003</v>
      </c>
      <c r="N146" s="80">
        <v>4098</v>
      </c>
      <c r="O146" s="79">
        <f t="shared" si="30"/>
        <v>409.8</v>
      </c>
      <c r="P146" s="80">
        <v>463</v>
      </c>
      <c r="Q146" s="79">
        <f t="shared" si="31"/>
        <v>8.2609680927728864</v>
      </c>
      <c r="R146" s="80">
        <f t="shared" si="32"/>
        <v>21.230999999999998</v>
      </c>
      <c r="S146" s="81">
        <v>8524</v>
      </c>
      <c r="T146" s="82">
        <v>679.8</v>
      </c>
    </row>
    <row r="147" spans="1:20" x14ac:dyDescent="0.25">
      <c r="A147" s="78" t="str">
        <f t="shared" si="22"/>
        <v>RECF  300*200*8</v>
      </c>
      <c r="B147" s="79">
        <f t="shared" si="23"/>
        <v>59.06534459665405</v>
      </c>
      <c r="C147" s="80">
        <v>300</v>
      </c>
      <c r="D147" s="80">
        <v>200</v>
      </c>
      <c r="E147" s="80">
        <v>8</v>
      </c>
      <c r="F147" s="80">
        <f t="shared" si="24"/>
        <v>12</v>
      </c>
      <c r="G147" s="80">
        <f t="shared" si="25"/>
        <v>20</v>
      </c>
      <c r="H147" s="79">
        <f t="shared" si="26"/>
        <v>75.24247719318987</v>
      </c>
      <c r="I147" s="80">
        <v>9371</v>
      </c>
      <c r="J147" s="79">
        <f t="shared" si="27"/>
        <v>624.73333333333335</v>
      </c>
      <c r="K147" s="80">
        <v>756</v>
      </c>
      <c r="L147" s="79">
        <f t="shared" si="28"/>
        <v>11.159928863264977</v>
      </c>
      <c r="M147" s="81">
        <f t="shared" si="29"/>
        <v>41.6</v>
      </c>
      <c r="N147" s="80">
        <v>5030</v>
      </c>
      <c r="O147" s="79">
        <f t="shared" si="30"/>
        <v>503</v>
      </c>
      <c r="P147" s="80">
        <v>574</v>
      </c>
      <c r="Q147" s="79">
        <f t="shared" si="31"/>
        <v>8.1762177640952221</v>
      </c>
      <c r="R147" s="80">
        <f t="shared" si="32"/>
        <v>25.6</v>
      </c>
      <c r="S147" s="81">
        <v>10630</v>
      </c>
      <c r="T147" s="82">
        <v>838.4</v>
      </c>
    </row>
    <row r="148" spans="1:20" x14ac:dyDescent="0.25">
      <c r="A148" s="78" t="str">
        <f t="shared" si="22"/>
        <v>RECF  300*200*10</v>
      </c>
      <c r="B148" s="79">
        <f t="shared" si="23"/>
        <v>72.664600932271952</v>
      </c>
      <c r="C148" s="80">
        <v>300</v>
      </c>
      <c r="D148" s="80">
        <v>200</v>
      </c>
      <c r="E148" s="80">
        <v>10</v>
      </c>
      <c r="F148" s="80">
        <f t="shared" si="24"/>
        <v>15</v>
      </c>
      <c r="G148" s="80">
        <f t="shared" si="25"/>
        <v>25</v>
      </c>
      <c r="H148" s="79">
        <f t="shared" si="26"/>
        <v>92.566370614359172</v>
      </c>
      <c r="I148" s="80">
        <v>11278</v>
      </c>
      <c r="J148" s="79">
        <f t="shared" si="27"/>
        <v>751.86666666666667</v>
      </c>
      <c r="K148" s="80">
        <v>920</v>
      </c>
      <c r="L148" s="79">
        <f t="shared" si="28"/>
        <v>11.037975534042998</v>
      </c>
      <c r="M148" s="81">
        <f t="shared" si="29"/>
        <v>50</v>
      </c>
      <c r="N148" s="80">
        <v>6035</v>
      </c>
      <c r="O148" s="79">
        <f t="shared" si="30"/>
        <v>603.5</v>
      </c>
      <c r="P148" s="80">
        <v>697</v>
      </c>
      <c r="Q148" s="79">
        <f t="shared" si="31"/>
        <v>8.0744327024662184</v>
      </c>
      <c r="R148" s="80">
        <f t="shared" si="32"/>
        <v>30</v>
      </c>
      <c r="S148" s="81">
        <v>12990</v>
      </c>
      <c r="T148" s="82">
        <v>1012</v>
      </c>
    </row>
    <row r="149" spans="1:20" x14ac:dyDescent="0.25">
      <c r="A149" s="78" t="str">
        <f t="shared" si="22"/>
        <v>RECF  300*200*12</v>
      </c>
      <c r="B149" s="79">
        <f t="shared" si="23"/>
        <v>84.826681678089514</v>
      </c>
      <c r="C149" s="80">
        <v>300</v>
      </c>
      <c r="D149" s="80">
        <v>200</v>
      </c>
      <c r="E149" s="80">
        <v>12</v>
      </c>
      <c r="F149" s="80">
        <f t="shared" si="24"/>
        <v>24</v>
      </c>
      <c r="G149" s="80">
        <f t="shared" si="25"/>
        <v>36</v>
      </c>
      <c r="H149" s="79">
        <f t="shared" si="26"/>
        <v>108.05946710584651</v>
      </c>
      <c r="I149" s="80">
        <v>12702</v>
      </c>
      <c r="J149" s="79">
        <f t="shared" si="27"/>
        <v>846.8</v>
      </c>
      <c r="K149" s="80">
        <v>1053</v>
      </c>
      <c r="L149" s="79">
        <f t="shared" si="28"/>
        <v>10.841881181808549</v>
      </c>
      <c r="M149" s="81">
        <f t="shared" si="29"/>
        <v>54.72</v>
      </c>
      <c r="N149" s="80">
        <v>6798</v>
      </c>
      <c r="O149" s="79">
        <f t="shared" si="30"/>
        <v>679.8</v>
      </c>
      <c r="P149" s="80">
        <v>798</v>
      </c>
      <c r="Q149" s="79">
        <f t="shared" si="31"/>
        <v>7.9315701448502978</v>
      </c>
      <c r="R149" s="80">
        <f t="shared" si="32"/>
        <v>30.72</v>
      </c>
      <c r="S149" s="81">
        <v>15240</v>
      </c>
      <c r="T149" s="82">
        <v>1167</v>
      </c>
    </row>
    <row r="150" spans="1:20" x14ac:dyDescent="0.25">
      <c r="A150" s="78" t="str">
        <f t="shared" si="22"/>
        <v>RECF  300*200*12.5</v>
      </c>
      <c r="B150" s="79">
        <f t="shared" si="23"/>
        <v>87.954298695843661</v>
      </c>
      <c r="C150" s="80">
        <v>300</v>
      </c>
      <c r="D150" s="80">
        <v>200</v>
      </c>
      <c r="E150" s="80">
        <v>12.5</v>
      </c>
      <c r="F150" s="80">
        <f t="shared" si="24"/>
        <v>25</v>
      </c>
      <c r="G150" s="80">
        <f t="shared" si="25"/>
        <v>37.5</v>
      </c>
      <c r="H150" s="79">
        <f t="shared" si="26"/>
        <v>112.04369260617027</v>
      </c>
      <c r="I150" s="80">
        <v>13082</v>
      </c>
      <c r="J150" s="79">
        <f t="shared" si="27"/>
        <v>872.13333333333333</v>
      </c>
      <c r="K150" s="80">
        <v>1088</v>
      </c>
      <c r="L150" s="79">
        <f t="shared" si="28"/>
        <v>10.805462630448771</v>
      </c>
      <c r="M150" s="81">
        <f t="shared" si="29"/>
        <v>56.25</v>
      </c>
      <c r="N150" s="80">
        <v>6997</v>
      </c>
      <c r="O150" s="79">
        <f t="shared" si="30"/>
        <v>699.7</v>
      </c>
      <c r="P150" s="80">
        <v>825</v>
      </c>
      <c r="Q150" s="79">
        <f t="shared" si="31"/>
        <v>7.9024586176972971</v>
      </c>
      <c r="R150" s="80">
        <f t="shared" si="32"/>
        <v>31.25</v>
      </c>
      <c r="S150" s="81">
        <v>15770</v>
      </c>
      <c r="T150" s="82">
        <v>1204</v>
      </c>
    </row>
    <row r="151" spans="1:20" x14ac:dyDescent="0.25">
      <c r="A151" s="83" t="str">
        <f t="shared" si="22"/>
        <v>RECF  300*200*16</v>
      </c>
      <c r="B151" s="84">
        <f t="shared" si="23"/>
        <v>108.93632298327024</v>
      </c>
      <c r="C151" s="85">
        <v>300</v>
      </c>
      <c r="D151" s="85">
        <v>200</v>
      </c>
      <c r="E151" s="85">
        <v>16</v>
      </c>
      <c r="F151" s="85">
        <f t="shared" si="24"/>
        <v>32</v>
      </c>
      <c r="G151" s="85">
        <f t="shared" si="25"/>
        <v>48</v>
      </c>
      <c r="H151" s="84">
        <f t="shared" si="26"/>
        <v>138.77238596594935</v>
      </c>
      <c r="I151" s="85">
        <v>15417</v>
      </c>
      <c r="J151" s="84">
        <f t="shared" si="27"/>
        <v>1027.8</v>
      </c>
      <c r="K151" s="85">
        <v>1312</v>
      </c>
      <c r="L151" s="84">
        <f t="shared" si="28"/>
        <v>10.540189244901876</v>
      </c>
      <c r="M151" s="86">
        <f t="shared" si="29"/>
        <v>65.28</v>
      </c>
      <c r="N151" s="85">
        <v>8212</v>
      </c>
      <c r="O151" s="84">
        <f t="shared" si="30"/>
        <v>821.2</v>
      </c>
      <c r="P151" s="85">
        <v>993</v>
      </c>
      <c r="Q151" s="84">
        <f t="shared" si="31"/>
        <v>7.6925963176376868</v>
      </c>
      <c r="R151" s="85">
        <f t="shared" si="32"/>
        <v>33.28</v>
      </c>
      <c r="S151" s="86">
        <v>19220</v>
      </c>
      <c r="T151" s="87">
        <v>1442</v>
      </c>
    </row>
    <row r="152" spans="1:20" x14ac:dyDescent="0.25">
      <c r="A152" s="70" t="str">
        <f t="shared" si="22"/>
        <v>RECF  350*250*6</v>
      </c>
      <c r="B152" s="71">
        <f t="shared" si="23"/>
        <v>54.661842251713423</v>
      </c>
      <c r="C152" s="15">
        <v>350</v>
      </c>
      <c r="D152" s="15">
        <v>250</v>
      </c>
      <c r="E152" s="15">
        <v>6</v>
      </c>
      <c r="F152" s="15">
        <f t="shared" si="24"/>
        <v>6</v>
      </c>
      <c r="G152" s="15">
        <f t="shared" si="25"/>
        <v>12</v>
      </c>
      <c r="H152" s="71">
        <f t="shared" si="26"/>
        <v>69.632920065876974</v>
      </c>
      <c r="I152" s="15">
        <v>12452</v>
      </c>
      <c r="J152" s="71">
        <f t="shared" si="27"/>
        <v>711.54285714285709</v>
      </c>
      <c r="K152" s="15">
        <v>842</v>
      </c>
      <c r="L152" s="71">
        <f t="shared" si="28"/>
        <v>13.372489086350054</v>
      </c>
      <c r="M152" s="72">
        <f t="shared" si="29"/>
        <v>39.119999999999997</v>
      </c>
      <c r="N152" s="15">
        <v>7454</v>
      </c>
      <c r="O152" s="71">
        <f t="shared" si="30"/>
        <v>596.32000000000005</v>
      </c>
      <c r="P152" s="15">
        <v>671</v>
      </c>
      <c r="Q152" s="71">
        <f t="shared" si="31"/>
        <v>10.34635534934338</v>
      </c>
      <c r="R152" s="15">
        <f t="shared" si="32"/>
        <v>27.12</v>
      </c>
      <c r="S152" s="72">
        <v>14550</v>
      </c>
      <c r="T152" s="15">
        <v>966.8</v>
      </c>
    </row>
    <row r="153" spans="1:20" x14ac:dyDescent="0.25">
      <c r="A153" s="70" t="str">
        <f t="shared" si="22"/>
        <v>RECF  350*250*6.3</v>
      </c>
      <c r="B153" s="71">
        <f t="shared" si="23"/>
        <v>57.029930110018746</v>
      </c>
      <c r="C153" s="15">
        <v>350</v>
      </c>
      <c r="D153" s="15">
        <v>250</v>
      </c>
      <c r="E153" s="15">
        <v>6.3</v>
      </c>
      <c r="F153" s="15">
        <f t="shared" si="24"/>
        <v>9.4499999999999993</v>
      </c>
      <c r="G153" s="15">
        <f t="shared" si="25"/>
        <v>15.75</v>
      </c>
      <c r="H153" s="71">
        <f t="shared" si="26"/>
        <v>72.649592496839162</v>
      </c>
      <c r="I153" s="15">
        <v>13913</v>
      </c>
      <c r="J153" s="71">
        <f t="shared" si="27"/>
        <v>795.02857142857147</v>
      </c>
      <c r="K153" s="15">
        <v>876</v>
      </c>
      <c r="L153" s="71">
        <f t="shared" si="28"/>
        <v>13.838652413536579</v>
      </c>
      <c r="M153" s="72">
        <f t="shared" si="29"/>
        <v>40.131</v>
      </c>
      <c r="N153" s="15">
        <v>7736</v>
      </c>
      <c r="O153" s="71">
        <f t="shared" si="30"/>
        <v>618.88</v>
      </c>
      <c r="P153" s="15">
        <v>698</v>
      </c>
      <c r="Q153" s="71">
        <f t="shared" si="31"/>
        <v>10.319095678178414</v>
      </c>
      <c r="R153" s="15">
        <f t="shared" si="32"/>
        <v>27.530999999999999</v>
      </c>
      <c r="S153" s="72">
        <v>15290</v>
      </c>
      <c r="T153" s="15">
        <v>1010</v>
      </c>
    </row>
    <row r="154" spans="1:20" x14ac:dyDescent="0.25">
      <c r="A154" s="70" t="str">
        <f t="shared" si="22"/>
        <v>RECF  350*250*8</v>
      </c>
      <c r="B154" s="71">
        <f t="shared" si="23"/>
        <v>71.62534459665406</v>
      </c>
      <c r="C154" s="15">
        <v>350</v>
      </c>
      <c r="D154" s="15">
        <v>250</v>
      </c>
      <c r="E154" s="15">
        <v>8</v>
      </c>
      <c r="F154" s="15">
        <f t="shared" si="24"/>
        <v>12</v>
      </c>
      <c r="G154" s="15">
        <f t="shared" si="25"/>
        <v>20</v>
      </c>
      <c r="H154" s="71">
        <f t="shared" si="26"/>
        <v>91.242477193189885</v>
      </c>
      <c r="I154" s="15">
        <v>15980</v>
      </c>
      <c r="J154" s="71">
        <f t="shared" si="27"/>
        <v>913.14285714285711</v>
      </c>
      <c r="K154" s="15">
        <v>1091</v>
      </c>
      <c r="L154" s="71">
        <f t="shared" si="28"/>
        <v>13.233961097357042</v>
      </c>
      <c r="M154" s="72">
        <f t="shared" si="29"/>
        <v>49.6</v>
      </c>
      <c r="N154" s="15">
        <v>9558</v>
      </c>
      <c r="O154" s="71">
        <f t="shared" si="30"/>
        <v>764.64</v>
      </c>
      <c r="P154" s="15">
        <v>869</v>
      </c>
      <c r="Q154" s="71">
        <f t="shared" si="31"/>
        <v>10.234932416296983</v>
      </c>
      <c r="R154" s="15">
        <f t="shared" si="32"/>
        <v>33.6</v>
      </c>
      <c r="S154" s="72">
        <v>19140</v>
      </c>
      <c r="T154" s="15">
        <v>1253</v>
      </c>
    </row>
    <row r="155" spans="1:20" x14ac:dyDescent="0.25">
      <c r="A155" s="70" t="str">
        <f t="shared" si="22"/>
        <v>RECF  350*250*10</v>
      </c>
      <c r="B155" s="71">
        <f t="shared" si="23"/>
        <v>88.364600932271955</v>
      </c>
      <c r="C155" s="15">
        <v>350</v>
      </c>
      <c r="D155" s="15">
        <v>250</v>
      </c>
      <c r="E155" s="15">
        <v>10</v>
      </c>
      <c r="F155" s="15">
        <f t="shared" si="24"/>
        <v>15</v>
      </c>
      <c r="G155" s="15">
        <f t="shared" si="25"/>
        <v>25</v>
      </c>
      <c r="H155" s="71">
        <f t="shared" si="26"/>
        <v>112.56637061435917</v>
      </c>
      <c r="I155" s="15">
        <v>19367</v>
      </c>
      <c r="J155" s="71">
        <f t="shared" si="27"/>
        <v>1106.6857142857143</v>
      </c>
      <c r="K155" s="15">
        <v>1334</v>
      </c>
      <c r="L155" s="71">
        <f t="shared" si="28"/>
        <v>13.116768220455775</v>
      </c>
      <c r="M155" s="72">
        <f t="shared" si="29"/>
        <v>60</v>
      </c>
      <c r="N155" s="15">
        <v>11559</v>
      </c>
      <c r="O155" s="71">
        <f t="shared" si="30"/>
        <v>924.72</v>
      </c>
      <c r="P155" s="15">
        <v>1061</v>
      </c>
      <c r="Q155" s="71">
        <f t="shared" si="31"/>
        <v>10.133414324849172</v>
      </c>
      <c r="R155" s="15">
        <f t="shared" si="32"/>
        <v>40</v>
      </c>
      <c r="S155" s="72">
        <v>23500</v>
      </c>
      <c r="T155" s="15">
        <v>1522</v>
      </c>
    </row>
    <row r="156" spans="1:20" x14ac:dyDescent="0.25">
      <c r="A156" s="70" t="str">
        <f t="shared" si="22"/>
        <v>RECF  350*250*12</v>
      </c>
      <c r="B156" s="71">
        <f t="shared" si="23"/>
        <v>103.66668167808952</v>
      </c>
      <c r="C156" s="15">
        <v>350</v>
      </c>
      <c r="D156" s="15">
        <v>250</v>
      </c>
      <c r="E156" s="15">
        <v>12</v>
      </c>
      <c r="F156" s="15">
        <f t="shared" si="24"/>
        <v>24</v>
      </c>
      <c r="G156" s="15">
        <f t="shared" si="25"/>
        <v>36</v>
      </c>
      <c r="H156" s="71">
        <f t="shared" si="26"/>
        <v>132.05946710584652</v>
      </c>
      <c r="I156" s="15">
        <v>22096</v>
      </c>
      <c r="J156" s="71">
        <f t="shared" si="27"/>
        <v>1262.6285714285714</v>
      </c>
      <c r="K156" s="15">
        <v>1541</v>
      </c>
      <c r="L156" s="71">
        <f t="shared" si="28"/>
        <v>12.935167605426901</v>
      </c>
      <c r="M156" s="72">
        <f t="shared" si="29"/>
        <v>66.72</v>
      </c>
      <c r="N156" s="15">
        <v>13190</v>
      </c>
      <c r="O156" s="71">
        <f t="shared" si="30"/>
        <v>1055.2</v>
      </c>
      <c r="P156" s="15">
        <v>1226</v>
      </c>
      <c r="Q156" s="71">
        <f t="shared" si="31"/>
        <v>9.993960475565947</v>
      </c>
      <c r="R156" s="15">
        <f t="shared" si="32"/>
        <v>42.72</v>
      </c>
      <c r="S156" s="72">
        <v>27750</v>
      </c>
      <c r="T156" s="15">
        <v>1770</v>
      </c>
    </row>
    <row r="157" spans="1:20" x14ac:dyDescent="0.25">
      <c r="A157" s="70" t="str">
        <f t="shared" si="22"/>
        <v>RECF  350*250*12.5</v>
      </c>
      <c r="B157" s="71">
        <f t="shared" si="23"/>
        <v>107.57929869584365</v>
      </c>
      <c r="C157" s="15">
        <v>350</v>
      </c>
      <c r="D157" s="15">
        <v>250</v>
      </c>
      <c r="E157" s="15">
        <v>12.5</v>
      </c>
      <c r="F157" s="15">
        <f t="shared" si="24"/>
        <v>25</v>
      </c>
      <c r="G157" s="15">
        <f t="shared" si="25"/>
        <v>37.5</v>
      </c>
      <c r="H157" s="71">
        <f t="shared" si="26"/>
        <v>137.04369260617025</v>
      </c>
      <c r="I157" s="15">
        <v>22809</v>
      </c>
      <c r="J157" s="71">
        <f t="shared" si="27"/>
        <v>1303.3714285714286</v>
      </c>
      <c r="K157" s="15">
        <v>1595</v>
      </c>
      <c r="L157" s="71">
        <f t="shared" si="28"/>
        <v>12.901006574965903</v>
      </c>
      <c r="M157" s="72">
        <f t="shared" si="29"/>
        <v>68.75</v>
      </c>
      <c r="N157" s="15">
        <v>13610</v>
      </c>
      <c r="O157" s="71">
        <f t="shared" si="30"/>
        <v>1088.8</v>
      </c>
      <c r="P157" s="15">
        <v>1269</v>
      </c>
      <c r="Q157" s="71">
        <f t="shared" si="31"/>
        <v>9.9655101672514395</v>
      </c>
      <c r="R157" s="15">
        <f t="shared" si="32"/>
        <v>43.75</v>
      </c>
      <c r="S157" s="72">
        <v>28760</v>
      </c>
      <c r="T157" s="15">
        <v>1830</v>
      </c>
    </row>
    <row r="158" spans="1:20" x14ac:dyDescent="0.25">
      <c r="A158" s="70" t="str">
        <f t="shared" si="22"/>
        <v>RECF  350*250*16</v>
      </c>
      <c r="B158" s="71">
        <f t="shared" si="23"/>
        <v>134.05632298327023</v>
      </c>
      <c r="C158" s="15">
        <v>350</v>
      </c>
      <c r="D158" s="15">
        <v>250</v>
      </c>
      <c r="E158" s="15">
        <v>16</v>
      </c>
      <c r="F158" s="15">
        <f t="shared" si="24"/>
        <v>32</v>
      </c>
      <c r="G158" s="15">
        <f t="shared" si="25"/>
        <v>48</v>
      </c>
      <c r="H158" s="71">
        <f t="shared" si="26"/>
        <v>170.77238596594935</v>
      </c>
      <c r="I158" s="15">
        <v>27345</v>
      </c>
      <c r="J158" s="71">
        <f t="shared" si="27"/>
        <v>1562.5714285714287</v>
      </c>
      <c r="K158" s="15">
        <v>1946</v>
      </c>
      <c r="L158" s="71">
        <f t="shared" si="28"/>
        <v>12.654067324015831</v>
      </c>
      <c r="M158" s="72">
        <f t="shared" si="29"/>
        <v>81.28</v>
      </c>
      <c r="N158" s="15">
        <v>16270</v>
      </c>
      <c r="O158" s="71">
        <f t="shared" si="30"/>
        <v>1301.5999999999999</v>
      </c>
      <c r="P158" s="15">
        <v>1547</v>
      </c>
      <c r="Q158" s="71">
        <f t="shared" si="31"/>
        <v>9.760789644010579</v>
      </c>
      <c r="R158" s="15">
        <f t="shared" si="32"/>
        <v>49.28</v>
      </c>
      <c r="S158" s="72">
        <v>35500</v>
      </c>
      <c r="T158" s="15">
        <v>2220</v>
      </c>
    </row>
    <row r="159" spans="1:20" x14ac:dyDescent="0.25">
      <c r="A159" s="73" t="str">
        <f t="shared" si="22"/>
        <v>RECF  400*200*8</v>
      </c>
      <c r="B159" s="74">
        <f t="shared" si="23"/>
        <v>71.62534459665406</v>
      </c>
      <c r="C159" s="75">
        <v>400</v>
      </c>
      <c r="D159" s="75">
        <v>200</v>
      </c>
      <c r="E159" s="75">
        <v>8</v>
      </c>
      <c r="F159" s="75">
        <f t="shared" si="24"/>
        <v>12</v>
      </c>
      <c r="G159" s="75">
        <f t="shared" si="25"/>
        <v>20</v>
      </c>
      <c r="H159" s="74">
        <f t="shared" si="26"/>
        <v>91.242477193189885</v>
      </c>
      <c r="I159" s="75">
        <v>18950</v>
      </c>
      <c r="J159" s="74">
        <f t="shared" si="27"/>
        <v>947.5</v>
      </c>
      <c r="K159" s="75">
        <v>1173</v>
      </c>
      <c r="L159" s="74">
        <f t="shared" si="28"/>
        <v>14.411396707523155</v>
      </c>
      <c r="M159" s="76">
        <f t="shared" si="29"/>
        <v>57.6</v>
      </c>
      <c r="N159" s="75">
        <v>6505</v>
      </c>
      <c r="O159" s="74">
        <f t="shared" si="30"/>
        <v>650.5</v>
      </c>
      <c r="P159" s="75">
        <v>727</v>
      </c>
      <c r="Q159" s="74">
        <f t="shared" si="31"/>
        <v>8.4435507220336525</v>
      </c>
      <c r="R159" s="75">
        <f t="shared" si="32"/>
        <v>25.6</v>
      </c>
      <c r="S159" s="76">
        <v>15820</v>
      </c>
      <c r="T159" s="77">
        <v>1133</v>
      </c>
    </row>
    <row r="160" spans="1:20" x14ac:dyDescent="0.25">
      <c r="A160" s="78" t="str">
        <f t="shared" si="22"/>
        <v>RECF  400*200*10</v>
      </c>
      <c r="B160" s="79">
        <f t="shared" si="23"/>
        <v>88.364600932271955</v>
      </c>
      <c r="C160" s="80">
        <v>400</v>
      </c>
      <c r="D160" s="80">
        <v>200</v>
      </c>
      <c r="E160" s="80">
        <v>10</v>
      </c>
      <c r="F160" s="80">
        <f t="shared" si="24"/>
        <v>15</v>
      </c>
      <c r="G160" s="80">
        <f t="shared" si="25"/>
        <v>25</v>
      </c>
      <c r="H160" s="79">
        <f t="shared" si="26"/>
        <v>112.56637061435917</v>
      </c>
      <c r="I160" s="80">
        <v>22956</v>
      </c>
      <c r="J160" s="79">
        <f t="shared" si="27"/>
        <v>1147.8</v>
      </c>
      <c r="K160" s="80">
        <v>1433</v>
      </c>
      <c r="L160" s="79">
        <f t="shared" si="28"/>
        <v>14.280511923634892</v>
      </c>
      <c r="M160" s="81">
        <f t="shared" si="29"/>
        <v>70</v>
      </c>
      <c r="N160" s="80">
        <v>7841</v>
      </c>
      <c r="O160" s="79">
        <f t="shared" si="30"/>
        <v>784.1</v>
      </c>
      <c r="P160" s="80">
        <v>887</v>
      </c>
      <c r="Q160" s="79">
        <f t="shared" si="31"/>
        <v>8.3460579347520483</v>
      </c>
      <c r="R160" s="80">
        <f t="shared" si="32"/>
        <v>30</v>
      </c>
      <c r="S160" s="81"/>
      <c r="T160" s="82"/>
    </row>
    <row r="161" spans="1:20" x14ac:dyDescent="0.25">
      <c r="A161" s="78" t="str">
        <f t="shared" si="22"/>
        <v>RECF  400*200*12</v>
      </c>
      <c r="B161" s="79">
        <f t="shared" si="23"/>
        <v>103.66668167808952</v>
      </c>
      <c r="C161" s="80">
        <v>400</v>
      </c>
      <c r="D161" s="80">
        <v>200</v>
      </c>
      <c r="E161" s="80">
        <v>12</v>
      </c>
      <c r="F161" s="80">
        <f t="shared" si="24"/>
        <v>24</v>
      </c>
      <c r="G161" s="80">
        <f t="shared" si="25"/>
        <v>36</v>
      </c>
      <c r="H161" s="79">
        <f t="shared" si="26"/>
        <v>132.05946710584652</v>
      </c>
      <c r="I161" s="80">
        <v>26133</v>
      </c>
      <c r="J161" s="79">
        <f t="shared" si="27"/>
        <v>1306.6500000000001</v>
      </c>
      <c r="K161" s="80">
        <v>1653</v>
      </c>
      <c r="L161" s="79">
        <f t="shared" si="28"/>
        <v>14.067271322835404</v>
      </c>
      <c r="M161" s="81">
        <f t="shared" si="29"/>
        <v>78.72</v>
      </c>
      <c r="N161" s="80">
        <v>8922</v>
      </c>
      <c r="O161" s="79">
        <f t="shared" si="30"/>
        <v>892.2</v>
      </c>
      <c r="P161" s="80">
        <v>1024</v>
      </c>
      <c r="Q161" s="79">
        <f t="shared" si="31"/>
        <v>8.2195177797749857</v>
      </c>
      <c r="R161" s="80">
        <f t="shared" si="32"/>
        <v>30.72</v>
      </c>
      <c r="S161" s="81"/>
      <c r="T161" s="82"/>
    </row>
    <row r="162" spans="1:20" x14ac:dyDescent="0.25">
      <c r="A162" s="78" t="str">
        <f t="shared" si="22"/>
        <v>RECF  400*200*12.5</v>
      </c>
      <c r="B162" s="79">
        <f t="shared" si="23"/>
        <v>107.57929869584365</v>
      </c>
      <c r="C162" s="80">
        <v>400</v>
      </c>
      <c r="D162" s="80">
        <v>200</v>
      </c>
      <c r="E162" s="80">
        <v>12.5</v>
      </c>
      <c r="F162" s="80">
        <f t="shared" si="24"/>
        <v>25</v>
      </c>
      <c r="G162" s="80">
        <f t="shared" si="25"/>
        <v>37.5</v>
      </c>
      <c r="H162" s="79">
        <f t="shared" si="26"/>
        <v>137.04369260617025</v>
      </c>
      <c r="I162" s="80">
        <v>26970</v>
      </c>
      <c r="J162" s="79">
        <f t="shared" si="27"/>
        <v>1348.5</v>
      </c>
      <c r="K162" s="80">
        <v>1711</v>
      </c>
      <c r="L162" s="79">
        <f t="shared" si="28"/>
        <v>14.028490655153602</v>
      </c>
      <c r="M162" s="81">
        <f t="shared" si="29"/>
        <v>81.25</v>
      </c>
      <c r="N162" s="80">
        <v>9198</v>
      </c>
      <c r="O162" s="79">
        <f t="shared" si="30"/>
        <v>919.8</v>
      </c>
      <c r="P162" s="80">
        <v>1059</v>
      </c>
      <c r="Q162" s="79">
        <f t="shared" si="31"/>
        <v>8.1925137052567578</v>
      </c>
      <c r="R162" s="80">
        <f t="shared" si="32"/>
        <v>31.25</v>
      </c>
      <c r="S162" s="81">
        <v>23590</v>
      </c>
      <c r="T162" s="82">
        <v>1644</v>
      </c>
    </row>
    <row r="163" spans="1:20" x14ac:dyDescent="0.25">
      <c r="A163" s="83" t="str">
        <f t="shared" si="22"/>
        <v>RECF  400*200*16</v>
      </c>
      <c r="B163" s="84">
        <f t="shared" si="23"/>
        <v>134.05632298327023</v>
      </c>
      <c r="C163" s="85">
        <v>400</v>
      </c>
      <c r="D163" s="85">
        <v>200</v>
      </c>
      <c r="E163" s="85">
        <v>16</v>
      </c>
      <c r="F163" s="85">
        <f t="shared" si="24"/>
        <v>32</v>
      </c>
      <c r="G163" s="85">
        <f t="shared" si="25"/>
        <v>48</v>
      </c>
      <c r="H163" s="84">
        <f t="shared" si="26"/>
        <v>170.77238596594935</v>
      </c>
      <c r="I163" s="85">
        <v>32277</v>
      </c>
      <c r="J163" s="84">
        <f t="shared" si="27"/>
        <v>1613.85</v>
      </c>
      <c r="K163" s="85">
        <v>2086</v>
      </c>
      <c r="L163" s="84">
        <f t="shared" si="28"/>
        <v>13.747944112263401</v>
      </c>
      <c r="M163" s="86">
        <f t="shared" si="29"/>
        <v>97.28</v>
      </c>
      <c r="N163" s="85">
        <v>10927</v>
      </c>
      <c r="O163" s="84">
        <f t="shared" si="30"/>
        <v>1092.7</v>
      </c>
      <c r="P163" s="85">
        <v>1287</v>
      </c>
      <c r="Q163" s="84">
        <f t="shared" si="31"/>
        <v>7.999109619951378</v>
      </c>
      <c r="R163" s="85">
        <f t="shared" si="32"/>
        <v>33.28</v>
      </c>
      <c r="S163" s="86">
        <v>28930</v>
      </c>
      <c r="T163" s="87">
        <v>1984</v>
      </c>
    </row>
    <row r="164" spans="1:20" x14ac:dyDescent="0.25">
      <c r="A164" s="70" t="str">
        <f t="shared" si="22"/>
        <v>RECF  400*300*8</v>
      </c>
      <c r="B164" s="71">
        <f t="shared" si="23"/>
        <v>84.185344596654062</v>
      </c>
      <c r="C164" s="15">
        <v>400</v>
      </c>
      <c r="D164" s="15">
        <v>300</v>
      </c>
      <c r="E164" s="15">
        <v>8</v>
      </c>
      <c r="F164" s="15">
        <f t="shared" si="24"/>
        <v>12</v>
      </c>
      <c r="G164" s="15">
        <f t="shared" si="25"/>
        <v>20</v>
      </c>
      <c r="H164" s="71">
        <f t="shared" si="26"/>
        <v>107.24247719318988</v>
      </c>
      <c r="I164" s="15">
        <v>25098</v>
      </c>
      <c r="J164" s="71">
        <f t="shared" si="27"/>
        <v>1254.9000000000001</v>
      </c>
      <c r="K164" s="15">
        <v>1486</v>
      </c>
      <c r="L164" s="71">
        <f t="shared" si="28"/>
        <v>15.298052214027431</v>
      </c>
      <c r="M164" s="72">
        <f t="shared" si="29"/>
        <v>57.6</v>
      </c>
      <c r="N164" s="15">
        <v>16194</v>
      </c>
      <c r="O164" s="71">
        <f t="shared" si="30"/>
        <v>1079.5999999999999</v>
      </c>
      <c r="P164" s="15">
        <v>1224</v>
      </c>
      <c r="Q164" s="71">
        <f t="shared" si="31"/>
        <v>12.288352159516069</v>
      </c>
      <c r="R164" s="15">
        <f t="shared" si="32"/>
        <v>41.6</v>
      </c>
      <c r="S164" s="72">
        <v>31180</v>
      </c>
      <c r="T164" s="15">
        <v>1747</v>
      </c>
    </row>
    <row r="165" spans="1:20" x14ac:dyDescent="0.25">
      <c r="A165" s="70" t="str">
        <f t="shared" si="22"/>
        <v>RECF  400*300*10</v>
      </c>
      <c r="B165" s="71">
        <f t="shared" si="23"/>
        <v>104.06460093227194</v>
      </c>
      <c r="C165" s="15">
        <v>400</v>
      </c>
      <c r="D165" s="15">
        <v>300</v>
      </c>
      <c r="E165" s="15">
        <v>10</v>
      </c>
      <c r="F165" s="15">
        <f t="shared" si="24"/>
        <v>15</v>
      </c>
      <c r="G165" s="15">
        <f t="shared" si="25"/>
        <v>25</v>
      </c>
      <c r="H165" s="71">
        <f t="shared" si="26"/>
        <v>132.56637061435916</v>
      </c>
      <c r="I165" s="15">
        <v>30562</v>
      </c>
      <c r="J165" s="71">
        <f t="shared" si="27"/>
        <v>1528.1</v>
      </c>
      <c r="K165" s="15">
        <v>1823</v>
      </c>
      <c r="L165" s="71">
        <f t="shared" si="28"/>
        <v>15.183580715727263</v>
      </c>
      <c r="M165" s="72">
        <f t="shared" si="29"/>
        <v>70</v>
      </c>
      <c r="N165" s="15">
        <v>19691</v>
      </c>
      <c r="O165" s="71">
        <f t="shared" si="30"/>
        <v>1312.7333333333333</v>
      </c>
      <c r="P165" s="15">
        <v>1500</v>
      </c>
      <c r="Q165" s="71">
        <f t="shared" si="31"/>
        <v>12.187572239107253</v>
      </c>
      <c r="R165" s="15">
        <f t="shared" si="32"/>
        <v>50</v>
      </c>
      <c r="S165" s="72">
        <v>38410</v>
      </c>
      <c r="T165" s="15">
        <v>2132</v>
      </c>
    </row>
    <row r="166" spans="1:20" x14ac:dyDescent="0.25">
      <c r="A166" s="70" t="str">
        <f t="shared" si="22"/>
        <v>RECF  400*300*12</v>
      </c>
      <c r="B166" s="71">
        <f t="shared" si="23"/>
        <v>122.50668167808952</v>
      </c>
      <c r="C166" s="15">
        <v>400</v>
      </c>
      <c r="D166" s="15">
        <v>300</v>
      </c>
      <c r="E166" s="15">
        <v>12</v>
      </c>
      <c r="F166" s="15">
        <f t="shared" si="24"/>
        <v>24</v>
      </c>
      <c r="G166" s="15">
        <f t="shared" si="25"/>
        <v>36</v>
      </c>
      <c r="H166" s="71">
        <f t="shared" si="26"/>
        <v>156.05946710584652</v>
      </c>
      <c r="I166" s="15">
        <v>35169</v>
      </c>
      <c r="J166" s="71">
        <f t="shared" si="27"/>
        <v>1758.45</v>
      </c>
      <c r="K166" s="15">
        <v>2119</v>
      </c>
      <c r="L166" s="71">
        <f t="shared" si="28"/>
        <v>15.011875364786736</v>
      </c>
      <c r="M166" s="72">
        <f t="shared" si="29"/>
        <v>78.72</v>
      </c>
      <c r="N166" s="15">
        <v>22661</v>
      </c>
      <c r="O166" s="71">
        <f t="shared" si="30"/>
        <v>1510.7333333333333</v>
      </c>
      <c r="P166" s="15">
        <v>1744</v>
      </c>
      <c r="Q166" s="71">
        <f t="shared" si="31"/>
        <v>12.050206119143519</v>
      </c>
      <c r="R166" s="15">
        <f t="shared" si="32"/>
        <v>54.72</v>
      </c>
      <c r="S166" s="72">
        <v>45530</v>
      </c>
      <c r="T166" s="15">
        <v>2492</v>
      </c>
    </row>
    <row r="167" spans="1:20" x14ac:dyDescent="0.25">
      <c r="A167" s="70" t="str">
        <f t="shared" si="22"/>
        <v>RECF  400*300*12.5</v>
      </c>
      <c r="B167" s="71">
        <f t="shared" si="23"/>
        <v>127.20429869584365</v>
      </c>
      <c r="C167" s="15">
        <v>400</v>
      </c>
      <c r="D167" s="15">
        <v>300</v>
      </c>
      <c r="E167" s="15">
        <v>12.5</v>
      </c>
      <c r="F167" s="15">
        <f t="shared" si="24"/>
        <v>25</v>
      </c>
      <c r="G167" s="15">
        <f t="shared" si="25"/>
        <v>37.5</v>
      </c>
      <c r="H167" s="71">
        <f t="shared" si="26"/>
        <v>162.04369260617025</v>
      </c>
      <c r="I167" s="15">
        <v>36358</v>
      </c>
      <c r="J167" s="71">
        <f t="shared" si="27"/>
        <v>1817.9</v>
      </c>
      <c r="K167" s="15">
        <v>2195</v>
      </c>
      <c r="L167" s="71">
        <f t="shared" si="28"/>
        <v>14.979038155991475</v>
      </c>
      <c r="M167" s="72">
        <f t="shared" si="29"/>
        <v>81.25</v>
      </c>
      <c r="N167" s="15">
        <v>23421</v>
      </c>
      <c r="O167" s="71">
        <f t="shared" si="30"/>
        <v>1561.4</v>
      </c>
      <c r="P167" s="15">
        <v>1807</v>
      </c>
      <c r="Q167" s="71">
        <f t="shared" si="31"/>
        <v>12.022274821499369</v>
      </c>
      <c r="R167" s="15">
        <f t="shared" si="32"/>
        <v>56.25</v>
      </c>
      <c r="S167" s="72">
        <v>47240</v>
      </c>
      <c r="T167" s="15">
        <v>2580</v>
      </c>
    </row>
    <row r="168" spans="1:20" ht="15.75" thickBot="1" x14ac:dyDescent="0.3">
      <c r="A168" s="70" t="str">
        <f t="shared" si="22"/>
        <v>RECF  400*300*16</v>
      </c>
      <c r="B168" s="71">
        <f t="shared" si="23"/>
        <v>159.17632298327024</v>
      </c>
      <c r="C168" s="15">
        <v>400</v>
      </c>
      <c r="D168" s="15">
        <v>300</v>
      </c>
      <c r="E168" s="15">
        <v>16</v>
      </c>
      <c r="F168" s="15">
        <f t="shared" si="24"/>
        <v>32</v>
      </c>
      <c r="G168" s="15">
        <f t="shared" si="25"/>
        <v>48</v>
      </c>
      <c r="H168" s="71">
        <f t="shared" si="26"/>
        <v>202.77238596594935</v>
      </c>
      <c r="I168" s="15">
        <v>44080</v>
      </c>
      <c r="J168" s="71">
        <f t="shared" si="27"/>
        <v>2204</v>
      </c>
      <c r="K168" s="15">
        <v>2701</v>
      </c>
      <c r="L168" s="71">
        <f t="shared" si="28"/>
        <v>14.744036156179449</v>
      </c>
      <c r="M168" s="72">
        <f t="shared" si="29"/>
        <v>97.28</v>
      </c>
      <c r="N168" s="15">
        <v>28336</v>
      </c>
      <c r="O168" s="71">
        <f t="shared" si="30"/>
        <v>1889.0666666666666</v>
      </c>
      <c r="P168" s="15">
        <v>2221</v>
      </c>
      <c r="Q168" s="71">
        <f t="shared" si="31"/>
        <v>11.821289853978517</v>
      </c>
      <c r="R168" s="15">
        <f t="shared" si="32"/>
        <v>65.28</v>
      </c>
      <c r="S168" s="72">
        <v>58730</v>
      </c>
      <c r="T168" s="15">
        <v>3159</v>
      </c>
    </row>
    <row r="169" spans="1:20" ht="16.5" thickBot="1" x14ac:dyDescent="0.3">
      <c r="A169" s="27"/>
      <c r="B169" s="88" t="s">
        <v>175</v>
      </c>
      <c r="C169" s="89"/>
      <c r="D169" s="89"/>
      <c r="E169" s="89"/>
      <c r="F169" s="89"/>
      <c r="G169" s="89"/>
      <c r="H169" s="89"/>
      <c r="I169" s="89"/>
      <c r="J169" s="89"/>
      <c r="K169" s="89"/>
      <c r="L169" s="89"/>
      <c r="M169" s="89"/>
      <c r="N169" s="89"/>
      <c r="O169" s="89"/>
      <c r="P169" s="89"/>
      <c r="Q169" s="89"/>
      <c r="R169" s="89"/>
      <c r="S169" s="89"/>
      <c r="T169" s="90"/>
    </row>
    <row r="170" spans="1:20" x14ac:dyDescent="0.25">
      <c r="A170" s="42" t="str">
        <f>$B$169&amp;"  "&amp;C170&amp;"*"&amp;D170&amp;"*"&amp;E170</f>
        <v>RECC  50*30*2.6</v>
      </c>
      <c r="B170" s="44">
        <f t="shared" si="23"/>
        <v>2.9166792672661885</v>
      </c>
      <c r="C170" s="43">
        <v>50</v>
      </c>
      <c r="D170" s="43">
        <v>30</v>
      </c>
      <c r="E170" s="43">
        <v>2.6</v>
      </c>
      <c r="F170" s="43">
        <f t="shared" si="24"/>
        <v>2.6</v>
      </c>
      <c r="G170" s="43">
        <f t="shared" si="25"/>
        <v>5.2</v>
      </c>
      <c r="H170" s="44">
        <f t="shared" si="26"/>
        <v>3.7155149901480105</v>
      </c>
      <c r="I170" s="43">
        <v>12.2</v>
      </c>
      <c r="J170" s="44">
        <f t="shared" si="27"/>
        <v>4.88</v>
      </c>
      <c r="K170" s="43">
        <v>6.12</v>
      </c>
      <c r="L170" s="45">
        <f t="shared" si="28"/>
        <v>1.8120509572371482</v>
      </c>
      <c r="M170" s="46">
        <f t="shared" si="29"/>
        <v>2.0592000000000001</v>
      </c>
      <c r="N170" s="43">
        <v>5.38</v>
      </c>
      <c r="O170" s="44">
        <f t="shared" si="30"/>
        <v>3.5866666666666664</v>
      </c>
      <c r="P170" s="43">
        <v>4.25</v>
      </c>
      <c r="Q170" s="44">
        <f t="shared" si="31"/>
        <v>1.2033213684828064</v>
      </c>
      <c r="R170" s="60">
        <f t="shared" si="32"/>
        <v>1.0192000000000001</v>
      </c>
      <c r="S170" s="46">
        <v>12.1</v>
      </c>
      <c r="T170" s="47">
        <v>5.9</v>
      </c>
    </row>
    <row r="171" spans="1:20" x14ac:dyDescent="0.25">
      <c r="A171" s="42" t="str">
        <f t="shared" ref="A171:A234" si="33">$B$169&amp;"  "&amp;C171&amp;"*"&amp;D171&amp;"*"&amp;E171</f>
        <v>RECC  50*30*3.2</v>
      </c>
      <c r="B171" s="44">
        <f t="shared" si="23"/>
        <v>3.4906573515984864</v>
      </c>
      <c r="C171" s="43">
        <v>50</v>
      </c>
      <c r="D171" s="43">
        <v>30</v>
      </c>
      <c r="E171" s="43">
        <v>3.2</v>
      </c>
      <c r="F171" s="43">
        <f t="shared" si="24"/>
        <v>3.2</v>
      </c>
      <c r="G171" s="43">
        <f t="shared" si="25"/>
        <v>6.4</v>
      </c>
      <c r="H171" s="44">
        <f t="shared" si="26"/>
        <v>4.4466972631827852</v>
      </c>
      <c r="I171" s="43">
        <v>14.2</v>
      </c>
      <c r="J171" s="44">
        <f t="shared" si="27"/>
        <v>5.68</v>
      </c>
      <c r="K171" s="43">
        <v>7.25</v>
      </c>
      <c r="L171" s="45">
        <f t="shared" si="28"/>
        <v>1.7870034486284787</v>
      </c>
      <c r="M171" s="46">
        <f t="shared" si="29"/>
        <v>2.3808000000000002</v>
      </c>
      <c r="N171" s="43">
        <v>6.2</v>
      </c>
      <c r="O171" s="44">
        <f t="shared" si="30"/>
        <v>4.1333333333333337</v>
      </c>
      <c r="P171" s="43">
        <v>5</v>
      </c>
      <c r="Q171" s="44">
        <f t="shared" si="31"/>
        <v>1.1808019540788846</v>
      </c>
      <c r="R171" s="60">
        <f t="shared" si="32"/>
        <v>1.1008</v>
      </c>
      <c r="S171" s="46">
        <v>14.2</v>
      </c>
      <c r="T171" s="47">
        <v>6.8</v>
      </c>
    </row>
    <row r="172" spans="1:20" x14ac:dyDescent="0.25">
      <c r="A172" s="42" t="str">
        <f t="shared" si="33"/>
        <v>RECC  50*30*4</v>
      </c>
      <c r="B172" s="44">
        <f t="shared" si="23"/>
        <v>4.1981521118726333</v>
      </c>
      <c r="C172" s="43">
        <v>50</v>
      </c>
      <c r="D172" s="43">
        <v>30</v>
      </c>
      <c r="E172" s="43">
        <v>4</v>
      </c>
      <c r="F172" s="43">
        <f t="shared" si="24"/>
        <v>4</v>
      </c>
      <c r="G172" s="43">
        <f t="shared" si="25"/>
        <v>8</v>
      </c>
      <c r="H172" s="44">
        <f t="shared" si="26"/>
        <v>5.3479644737231</v>
      </c>
      <c r="I172" s="43">
        <v>16.5</v>
      </c>
      <c r="J172" s="44">
        <f t="shared" si="27"/>
        <v>6.6</v>
      </c>
      <c r="K172" s="43">
        <v>8.59</v>
      </c>
      <c r="L172" s="45">
        <f t="shared" si="28"/>
        <v>1.7564982251896759</v>
      </c>
      <c r="M172" s="46">
        <f t="shared" si="29"/>
        <v>2.72</v>
      </c>
      <c r="N172" s="43">
        <v>7.08</v>
      </c>
      <c r="O172" s="44">
        <f t="shared" si="30"/>
        <v>4.72</v>
      </c>
      <c r="P172" s="43">
        <v>5.88</v>
      </c>
      <c r="Q172" s="44">
        <f t="shared" si="31"/>
        <v>1.1505947075414347</v>
      </c>
      <c r="R172" s="60">
        <f t="shared" si="32"/>
        <v>1.1200000000000001</v>
      </c>
      <c r="S172" s="46">
        <v>16.600000000000001</v>
      </c>
      <c r="T172" s="47">
        <v>7.77</v>
      </c>
    </row>
    <row r="173" spans="1:20" x14ac:dyDescent="0.25">
      <c r="A173" s="48" t="str">
        <f t="shared" si="33"/>
        <v>RECC  50*30*5</v>
      </c>
      <c r="B173" s="50">
        <f t="shared" si="23"/>
        <v>4.9896126748009912</v>
      </c>
      <c r="C173" s="49">
        <v>50</v>
      </c>
      <c r="D173" s="49">
        <v>30</v>
      </c>
      <c r="E173" s="49">
        <v>5</v>
      </c>
      <c r="F173" s="49">
        <f t="shared" si="24"/>
        <v>5</v>
      </c>
      <c r="G173" s="49">
        <f t="shared" si="25"/>
        <v>10</v>
      </c>
      <c r="H173" s="50">
        <f t="shared" si="26"/>
        <v>6.3561944901923448</v>
      </c>
      <c r="I173" s="49">
        <v>18.7</v>
      </c>
      <c r="J173" s="50">
        <f t="shared" si="27"/>
        <v>7.4799999999999995</v>
      </c>
      <c r="K173" s="49">
        <v>10</v>
      </c>
      <c r="L173" s="51">
        <f t="shared" si="28"/>
        <v>1.7152294094157978</v>
      </c>
      <c r="M173" s="52">
        <f t="shared" si="29"/>
        <v>3</v>
      </c>
      <c r="N173" s="49">
        <v>7.89</v>
      </c>
      <c r="O173" s="50">
        <f t="shared" si="30"/>
        <v>5.26</v>
      </c>
      <c r="P173" s="49">
        <v>6.8</v>
      </c>
      <c r="Q173" s="50">
        <f t="shared" si="31"/>
        <v>1.1141403751704166</v>
      </c>
      <c r="R173" s="61">
        <f t="shared" si="32"/>
        <v>1</v>
      </c>
      <c r="S173" s="52">
        <v>19</v>
      </c>
      <c r="T173" s="53">
        <v>8.67</v>
      </c>
    </row>
    <row r="174" spans="1:20" x14ac:dyDescent="0.25">
      <c r="A174" s="32" t="str">
        <f t="shared" si="33"/>
        <v>RECC  60*40*2.6</v>
      </c>
      <c r="B174" s="33">
        <f t="shared" si="23"/>
        <v>3.7330792672661883</v>
      </c>
      <c r="C174" s="17">
        <v>60</v>
      </c>
      <c r="D174" s="17">
        <v>40</v>
      </c>
      <c r="E174" s="17">
        <v>2.6</v>
      </c>
      <c r="F174" s="17">
        <f t="shared" si="24"/>
        <v>2.6</v>
      </c>
      <c r="G174" s="17">
        <f t="shared" si="25"/>
        <v>5.2</v>
      </c>
      <c r="H174" s="33">
        <f t="shared" si="26"/>
        <v>4.7555149901480105</v>
      </c>
      <c r="I174" s="17">
        <v>23.6</v>
      </c>
      <c r="J174" s="33">
        <f t="shared" si="27"/>
        <v>7.8666666666666671</v>
      </c>
      <c r="K174" s="17">
        <v>9.65</v>
      </c>
      <c r="L174" s="34">
        <f t="shared" si="28"/>
        <v>2.2277026629363577</v>
      </c>
      <c r="M174" s="35">
        <f t="shared" si="29"/>
        <v>2.5792000000000002</v>
      </c>
      <c r="N174" s="17">
        <v>12.4</v>
      </c>
      <c r="O174" s="33">
        <f t="shared" si="30"/>
        <v>6.2</v>
      </c>
      <c r="P174" s="17">
        <v>7.26</v>
      </c>
      <c r="Q174" s="33">
        <f t="shared" si="31"/>
        <v>1.614775178705639</v>
      </c>
      <c r="R174" s="58">
        <f t="shared" si="32"/>
        <v>1.5392000000000001</v>
      </c>
      <c r="S174" s="35">
        <v>25.9</v>
      </c>
      <c r="T174" s="17">
        <v>10</v>
      </c>
    </row>
    <row r="175" spans="1:20" x14ac:dyDescent="0.25">
      <c r="A175" s="32" t="str">
        <f t="shared" si="33"/>
        <v>RECC  60*40*3.2</v>
      </c>
      <c r="B175" s="33">
        <f t="shared" si="23"/>
        <v>4.4954573515984864</v>
      </c>
      <c r="C175" s="17">
        <v>60</v>
      </c>
      <c r="D175" s="17">
        <v>40</v>
      </c>
      <c r="E175" s="17">
        <v>3.2</v>
      </c>
      <c r="F175" s="17">
        <f t="shared" si="24"/>
        <v>3.2</v>
      </c>
      <c r="G175" s="17">
        <f t="shared" si="25"/>
        <v>6.4</v>
      </c>
      <c r="H175" s="33">
        <f t="shared" si="26"/>
        <v>5.7266972631827855</v>
      </c>
      <c r="I175" s="17">
        <v>27.8</v>
      </c>
      <c r="J175" s="33">
        <f t="shared" si="27"/>
        <v>9.2666666666666675</v>
      </c>
      <c r="K175" s="17">
        <v>11.5</v>
      </c>
      <c r="L175" s="34">
        <f t="shared" si="28"/>
        <v>2.2032830093535076</v>
      </c>
      <c r="M175" s="35">
        <f t="shared" si="29"/>
        <v>3.0208000000000004</v>
      </c>
      <c r="N175" s="17">
        <v>14.6</v>
      </c>
      <c r="O175" s="33">
        <f t="shared" si="30"/>
        <v>7.3</v>
      </c>
      <c r="P175" s="17">
        <v>8.64</v>
      </c>
      <c r="Q175" s="33">
        <f t="shared" si="31"/>
        <v>1.5967036399207477</v>
      </c>
      <c r="R175" s="58">
        <f t="shared" si="32"/>
        <v>1.7408000000000001</v>
      </c>
      <c r="S175" s="35">
        <v>30.8</v>
      </c>
      <c r="T175" s="17">
        <v>11.7</v>
      </c>
    </row>
    <row r="176" spans="1:20" x14ac:dyDescent="0.25">
      <c r="A176" s="32" t="str">
        <f t="shared" si="33"/>
        <v>RECC  60*40*4</v>
      </c>
      <c r="B176" s="33">
        <f t="shared" si="23"/>
        <v>5.4541521118726344</v>
      </c>
      <c r="C176" s="17">
        <v>60</v>
      </c>
      <c r="D176" s="17">
        <v>40</v>
      </c>
      <c r="E176" s="17">
        <v>4</v>
      </c>
      <c r="F176" s="17">
        <f t="shared" si="24"/>
        <v>4</v>
      </c>
      <c r="G176" s="17">
        <f t="shared" si="25"/>
        <v>8</v>
      </c>
      <c r="H176" s="33">
        <f t="shared" si="26"/>
        <v>6.9479644737231006</v>
      </c>
      <c r="I176" s="17">
        <v>32.799999999999997</v>
      </c>
      <c r="J176" s="33">
        <f t="shared" si="27"/>
        <v>10.933333333333332</v>
      </c>
      <c r="K176" s="17">
        <v>13.8</v>
      </c>
      <c r="L176" s="34">
        <f t="shared" si="28"/>
        <v>2.1727418386441939</v>
      </c>
      <c r="M176" s="35">
        <f t="shared" si="29"/>
        <v>3.52</v>
      </c>
      <c r="N176" s="17">
        <v>17</v>
      </c>
      <c r="O176" s="33">
        <f t="shared" si="30"/>
        <v>8.5</v>
      </c>
      <c r="P176" s="17">
        <v>10.3</v>
      </c>
      <c r="Q176" s="33">
        <f t="shared" si="31"/>
        <v>1.5642121902378998</v>
      </c>
      <c r="R176" s="58">
        <f t="shared" si="32"/>
        <v>1.92</v>
      </c>
      <c r="S176" s="35">
        <v>36.700000000000003</v>
      </c>
      <c r="T176" s="17">
        <v>13.7</v>
      </c>
    </row>
    <row r="177" spans="1:20" x14ac:dyDescent="0.25">
      <c r="A177" s="32" t="str">
        <f t="shared" si="33"/>
        <v>RECC  60*40*5</v>
      </c>
      <c r="B177" s="33">
        <f t="shared" si="23"/>
        <v>6.5596126748009915</v>
      </c>
      <c r="C177" s="17">
        <v>60</v>
      </c>
      <c r="D177" s="17">
        <v>40</v>
      </c>
      <c r="E177" s="17">
        <v>5</v>
      </c>
      <c r="F177" s="17">
        <f t="shared" si="24"/>
        <v>5</v>
      </c>
      <c r="G177" s="17">
        <f t="shared" si="25"/>
        <v>10</v>
      </c>
      <c r="H177" s="33">
        <f t="shared" si="26"/>
        <v>8.3561944901923457</v>
      </c>
      <c r="I177" s="17">
        <v>38.1</v>
      </c>
      <c r="J177" s="33">
        <f t="shared" si="27"/>
        <v>12.700000000000001</v>
      </c>
      <c r="K177" s="17">
        <v>16.399999999999999</v>
      </c>
      <c r="L177" s="34">
        <f t="shared" si="28"/>
        <v>2.135296646654977</v>
      </c>
      <c r="M177" s="35">
        <f t="shared" si="29"/>
        <v>4</v>
      </c>
      <c r="N177" s="17">
        <v>19.5</v>
      </c>
      <c r="O177" s="33">
        <f t="shared" si="30"/>
        <v>9.75</v>
      </c>
      <c r="P177" s="17">
        <v>12.2</v>
      </c>
      <c r="Q177" s="33">
        <f t="shared" si="31"/>
        <v>1.5276119106627621</v>
      </c>
      <c r="R177" s="58">
        <f t="shared" si="32"/>
        <v>2</v>
      </c>
      <c r="S177" s="35">
        <v>43</v>
      </c>
      <c r="T177" s="17">
        <v>15.7</v>
      </c>
    </row>
    <row r="178" spans="1:20" x14ac:dyDescent="0.25">
      <c r="A178" s="32" t="str">
        <f t="shared" si="33"/>
        <v>RECC  60*40*6.3</v>
      </c>
      <c r="B178" s="33">
        <f t="shared" si="23"/>
        <v>7.5749301100187383</v>
      </c>
      <c r="C178" s="17">
        <v>60</v>
      </c>
      <c r="D178" s="17">
        <v>40</v>
      </c>
      <c r="E178" s="17">
        <v>6.3</v>
      </c>
      <c r="F178" s="17">
        <f t="shared" si="24"/>
        <v>9.4499999999999993</v>
      </c>
      <c r="G178" s="17">
        <f t="shared" si="25"/>
        <v>15.75</v>
      </c>
      <c r="H178" s="33">
        <f t="shared" si="26"/>
        <v>9.6495924968391567</v>
      </c>
      <c r="I178" s="17">
        <v>43.4</v>
      </c>
      <c r="J178" s="33">
        <f t="shared" si="27"/>
        <v>14.466666666666667</v>
      </c>
      <c r="K178" s="17">
        <v>19.2</v>
      </c>
      <c r="L178" s="34">
        <f t="shared" si="28"/>
        <v>2.1207544064379706</v>
      </c>
      <c r="M178" s="35">
        <f t="shared" si="29"/>
        <v>3.5909999999999997</v>
      </c>
      <c r="N178" s="17">
        <v>21.9</v>
      </c>
      <c r="O178" s="33">
        <f t="shared" si="30"/>
        <v>10.95</v>
      </c>
      <c r="P178" s="17">
        <v>14.2</v>
      </c>
      <c r="Q178" s="33">
        <f t="shared" si="31"/>
        <v>1.5064945702023289</v>
      </c>
      <c r="R178" s="58">
        <f t="shared" si="32"/>
        <v>1.071</v>
      </c>
      <c r="S178" s="35">
        <v>49.5</v>
      </c>
      <c r="T178" s="17">
        <v>17.600000000000001</v>
      </c>
    </row>
    <row r="179" spans="1:20" x14ac:dyDescent="0.25">
      <c r="A179" s="36" t="str">
        <f t="shared" si="33"/>
        <v>RECC  80*40*3.2</v>
      </c>
      <c r="B179" s="38">
        <f t="shared" si="23"/>
        <v>5.5002573515984867</v>
      </c>
      <c r="C179" s="37">
        <v>80</v>
      </c>
      <c r="D179" s="37">
        <v>40</v>
      </c>
      <c r="E179" s="37">
        <v>3.2</v>
      </c>
      <c r="F179" s="37">
        <f t="shared" si="24"/>
        <v>3.2</v>
      </c>
      <c r="G179" s="37">
        <f t="shared" si="25"/>
        <v>6.4</v>
      </c>
      <c r="H179" s="38">
        <f t="shared" si="26"/>
        <v>7.0066972631827857</v>
      </c>
      <c r="I179" s="37">
        <v>57.2</v>
      </c>
      <c r="J179" s="38">
        <f t="shared" si="27"/>
        <v>14.3</v>
      </c>
      <c r="K179" s="37">
        <v>18</v>
      </c>
      <c r="L179" s="39">
        <f t="shared" si="28"/>
        <v>2.8572045804455457</v>
      </c>
      <c r="M179" s="40">
        <f t="shared" si="29"/>
        <v>4.3008000000000006</v>
      </c>
      <c r="N179" s="37">
        <v>18.899999999999999</v>
      </c>
      <c r="O179" s="38">
        <f t="shared" si="30"/>
        <v>9.4499999999999993</v>
      </c>
      <c r="P179" s="37">
        <v>11</v>
      </c>
      <c r="Q179" s="38">
        <f t="shared" si="31"/>
        <v>1.64238218422604</v>
      </c>
      <c r="R179" s="59">
        <f t="shared" si="32"/>
        <v>1.7408000000000001</v>
      </c>
      <c r="S179" s="40">
        <v>46.2</v>
      </c>
      <c r="T179" s="41">
        <v>16.100000000000001</v>
      </c>
    </row>
    <row r="180" spans="1:20" x14ac:dyDescent="0.25">
      <c r="A180" s="42" t="str">
        <f t="shared" si="33"/>
        <v>RECC  80*40*4</v>
      </c>
      <c r="B180" s="44">
        <f t="shared" si="23"/>
        <v>6.7101521118726337</v>
      </c>
      <c r="C180" s="43">
        <v>80</v>
      </c>
      <c r="D180" s="43">
        <v>40</v>
      </c>
      <c r="E180" s="43">
        <v>4</v>
      </c>
      <c r="F180" s="43">
        <f t="shared" si="24"/>
        <v>4</v>
      </c>
      <c r="G180" s="43">
        <f t="shared" si="25"/>
        <v>8</v>
      </c>
      <c r="H180" s="44">
        <f t="shared" si="26"/>
        <v>8.5479644737231002</v>
      </c>
      <c r="I180" s="43">
        <v>68.2</v>
      </c>
      <c r="J180" s="44">
        <f t="shared" si="27"/>
        <v>17.05</v>
      </c>
      <c r="K180" s="43">
        <v>21.8</v>
      </c>
      <c r="L180" s="45">
        <f t="shared" si="28"/>
        <v>2.8246252240558416</v>
      </c>
      <c r="M180" s="46">
        <f t="shared" si="29"/>
        <v>5.12</v>
      </c>
      <c r="N180" s="43">
        <v>22.2</v>
      </c>
      <c r="O180" s="44">
        <f t="shared" si="30"/>
        <v>11.1</v>
      </c>
      <c r="P180" s="43">
        <v>13.2</v>
      </c>
      <c r="Q180" s="44">
        <f t="shared" si="31"/>
        <v>1.6115550038312243</v>
      </c>
      <c r="R180" s="60">
        <f t="shared" si="32"/>
        <v>1.92</v>
      </c>
      <c r="S180" s="46">
        <v>55.2</v>
      </c>
      <c r="T180" s="47">
        <v>18.899999999999999</v>
      </c>
    </row>
    <row r="181" spans="1:20" x14ac:dyDescent="0.25">
      <c r="A181" s="42" t="str">
        <f t="shared" si="33"/>
        <v>RECC  80*40*5</v>
      </c>
      <c r="B181" s="44">
        <f t="shared" si="23"/>
        <v>8.1296126748009918</v>
      </c>
      <c r="C181" s="43">
        <v>80</v>
      </c>
      <c r="D181" s="43">
        <v>40</v>
      </c>
      <c r="E181" s="43">
        <v>5</v>
      </c>
      <c r="F181" s="43">
        <f t="shared" si="24"/>
        <v>5</v>
      </c>
      <c r="G181" s="43">
        <f t="shared" si="25"/>
        <v>10</v>
      </c>
      <c r="H181" s="44">
        <f t="shared" si="26"/>
        <v>10.356194490192346</v>
      </c>
      <c r="I181" s="43">
        <v>80.3</v>
      </c>
      <c r="J181" s="44">
        <f t="shared" si="27"/>
        <v>20.074999999999999</v>
      </c>
      <c r="K181" s="43">
        <v>26.1</v>
      </c>
      <c r="L181" s="45">
        <f t="shared" si="28"/>
        <v>2.7845670107857536</v>
      </c>
      <c r="M181" s="46">
        <f t="shared" si="29"/>
        <v>6</v>
      </c>
      <c r="N181" s="43">
        <v>25.7</v>
      </c>
      <c r="O181" s="44">
        <f t="shared" si="30"/>
        <v>12.85</v>
      </c>
      <c r="P181" s="43">
        <v>15.7</v>
      </c>
      <c r="Q181" s="44">
        <f t="shared" si="31"/>
        <v>1.5753115699065403</v>
      </c>
      <c r="R181" s="60">
        <f t="shared" si="32"/>
        <v>2</v>
      </c>
      <c r="S181" s="43">
        <v>65.099999999999994</v>
      </c>
      <c r="T181" s="47">
        <v>21.9</v>
      </c>
    </row>
    <row r="182" spans="1:20" x14ac:dyDescent="0.25">
      <c r="A182" s="42" t="str">
        <f t="shared" si="33"/>
        <v>RECC  80*40*6.3</v>
      </c>
      <c r="B182" s="44">
        <f t="shared" si="23"/>
        <v>9.5531301100187402</v>
      </c>
      <c r="C182" s="43">
        <v>80</v>
      </c>
      <c r="D182" s="43">
        <v>40</v>
      </c>
      <c r="E182" s="43">
        <v>6.3</v>
      </c>
      <c r="F182" s="43">
        <f t="shared" si="24"/>
        <v>9.4499999999999993</v>
      </c>
      <c r="G182" s="43">
        <f t="shared" si="25"/>
        <v>15.75</v>
      </c>
      <c r="H182" s="44">
        <f t="shared" si="26"/>
        <v>12.169592496839158</v>
      </c>
      <c r="I182" s="43">
        <v>93.3</v>
      </c>
      <c r="J182" s="44">
        <f t="shared" si="27"/>
        <v>23.324999999999999</v>
      </c>
      <c r="K182" s="43">
        <v>31.1</v>
      </c>
      <c r="L182" s="45">
        <f t="shared" si="28"/>
        <v>2.7688715176061169</v>
      </c>
      <c r="M182" s="46">
        <f t="shared" si="29"/>
        <v>6.1110000000000007</v>
      </c>
      <c r="N182" s="43">
        <v>29.2</v>
      </c>
      <c r="O182" s="44">
        <f t="shared" si="30"/>
        <v>14.6</v>
      </c>
      <c r="P182" s="43">
        <v>18.399999999999999</v>
      </c>
      <c r="Q182" s="44">
        <f t="shared" si="31"/>
        <v>1.549007097691224</v>
      </c>
      <c r="R182" s="60">
        <f t="shared" si="32"/>
        <v>1.071</v>
      </c>
      <c r="S182" s="43">
        <v>75.599999999999994</v>
      </c>
      <c r="T182" s="47">
        <v>24.8</v>
      </c>
    </row>
    <row r="183" spans="1:20" x14ac:dyDescent="0.25">
      <c r="A183" s="48" t="str">
        <f t="shared" si="33"/>
        <v>RECC  80*40*8</v>
      </c>
      <c r="B183" s="50">
        <f t="shared" si="23"/>
        <v>11.337344596654049</v>
      </c>
      <c r="C183" s="49">
        <v>80</v>
      </c>
      <c r="D183" s="49">
        <v>40</v>
      </c>
      <c r="E183" s="49">
        <v>8</v>
      </c>
      <c r="F183" s="49">
        <f t="shared" si="24"/>
        <v>12</v>
      </c>
      <c r="G183" s="49">
        <f t="shared" si="25"/>
        <v>20</v>
      </c>
      <c r="H183" s="50">
        <f t="shared" si="26"/>
        <v>14.442477193189871</v>
      </c>
      <c r="I183" s="49">
        <v>106</v>
      </c>
      <c r="J183" s="50">
        <f t="shared" si="27"/>
        <v>26.5</v>
      </c>
      <c r="K183" s="49">
        <v>36.5</v>
      </c>
      <c r="L183" s="51">
        <f t="shared" si="28"/>
        <v>2.7091439849816132</v>
      </c>
      <c r="M183" s="52">
        <f t="shared" si="29"/>
        <v>6.4</v>
      </c>
      <c r="N183" s="49">
        <v>32.1</v>
      </c>
      <c r="O183" s="50">
        <f t="shared" si="30"/>
        <v>16.05</v>
      </c>
      <c r="P183" s="49">
        <v>21.2</v>
      </c>
      <c r="Q183" s="50">
        <f t="shared" si="31"/>
        <v>1.490842177835856</v>
      </c>
      <c r="R183" s="61">
        <f t="shared" si="32"/>
        <v>0</v>
      </c>
      <c r="S183" s="49">
        <v>85.5</v>
      </c>
      <c r="T183" s="53">
        <v>27.4</v>
      </c>
    </row>
    <row r="184" spans="1:20" x14ac:dyDescent="0.25">
      <c r="A184" s="32" t="str">
        <f t="shared" si="33"/>
        <v>RECC  90*50*3.2</v>
      </c>
      <c r="B184" s="33">
        <f t="shared" si="23"/>
        <v>6.5050573515984871</v>
      </c>
      <c r="C184" s="17">
        <v>90</v>
      </c>
      <c r="D184" s="17">
        <v>50</v>
      </c>
      <c r="E184" s="17">
        <v>3.2</v>
      </c>
      <c r="F184" s="17">
        <f t="shared" si="24"/>
        <v>3.2</v>
      </c>
      <c r="G184" s="17">
        <f t="shared" si="25"/>
        <v>6.4</v>
      </c>
      <c r="H184" s="33">
        <f t="shared" si="26"/>
        <v>8.286697263182786</v>
      </c>
      <c r="I184" s="17">
        <v>89.1</v>
      </c>
      <c r="J184" s="33">
        <f t="shared" si="27"/>
        <v>19.799999999999997</v>
      </c>
      <c r="K184" s="17">
        <v>24.6</v>
      </c>
      <c r="L184" s="34">
        <f t="shared" si="28"/>
        <v>3.2790505774657759</v>
      </c>
      <c r="M184" s="35">
        <f t="shared" si="29"/>
        <v>4.9408000000000003</v>
      </c>
      <c r="N184" s="17">
        <v>35.299999999999997</v>
      </c>
      <c r="O184" s="33">
        <f t="shared" si="30"/>
        <v>14.12</v>
      </c>
      <c r="P184" s="17">
        <v>16.2</v>
      </c>
      <c r="Q184" s="33">
        <f t="shared" si="31"/>
        <v>2.0639378528991421</v>
      </c>
      <c r="R184" s="58">
        <f t="shared" si="32"/>
        <v>2.3808000000000002</v>
      </c>
      <c r="S184" s="17">
        <v>80.900000000000006</v>
      </c>
      <c r="T184" s="17">
        <v>23.6</v>
      </c>
    </row>
    <row r="185" spans="1:20" x14ac:dyDescent="0.25">
      <c r="A185" s="32" t="str">
        <f t="shared" si="33"/>
        <v>RECC  90*50*4</v>
      </c>
      <c r="B185" s="33">
        <f t="shared" si="23"/>
        <v>7.9661521118726339</v>
      </c>
      <c r="C185" s="17">
        <v>90</v>
      </c>
      <c r="D185" s="17">
        <v>50</v>
      </c>
      <c r="E185" s="17">
        <v>4</v>
      </c>
      <c r="F185" s="17">
        <f t="shared" si="24"/>
        <v>4</v>
      </c>
      <c r="G185" s="17">
        <f t="shared" si="25"/>
        <v>8</v>
      </c>
      <c r="H185" s="33">
        <f t="shared" si="26"/>
        <v>10.1479644737231</v>
      </c>
      <c r="I185" s="17">
        <v>107</v>
      </c>
      <c r="J185" s="33">
        <f t="shared" si="27"/>
        <v>23.777777777777779</v>
      </c>
      <c r="K185" s="17">
        <v>29.8</v>
      </c>
      <c r="L185" s="34">
        <f t="shared" si="28"/>
        <v>3.2471505137983967</v>
      </c>
      <c r="M185" s="35">
        <f t="shared" si="29"/>
        <v>5.92</v>
      </c>
      <c r="N185" s="17">
        <v>41.9</v>
      </c>
      <c r="O185" s="33">
        <f t="shared" si="30"/>
        <v>16.759999999999998</v>
      </c>
      <c r="P185" s="17">
        <v>19.600000000000001</v>
      </c>
      <c r="Q185" s="33">
        <f t="shared" si="31"/>
        <v>2.0319711728100995</v>
      </c>
      <c r="R185" s="58">
        <f t="shared" si="32"/>
        <v>2.72</v>
      </c>
      <c r="S185" s="17">
        <v>97.5</v>
      </c>
      <c r="T185" s="17">
        <v>28</v>
      </c>
    </row>
    <row r="186" spans="1:20" x14ac:dyDescent="0.25">
      <c r="A186" s="32" t="str">
        <f t="shared" si="33"/>
        <v>RECC  90*50*5</v>
      </c>
      <c r="B186" s="33">
        <f t="shared" si="23"/>
        <v>9.6996126748009921</v>
      </c>
      <c r="C186" s="17">
        <v>90</v>
      </c>
      <c r="D186" s="17">
        <v>50</v>
      </c>
      <c r="E186" s="17">
        <v>5</v>
      </c>
      <c r="F186" s="17">
        <f t="shared" si="24"/>
        <v>5</v>
      </c>
      <c r="G186" s="17">
        <f t="shared" si="25"/>
        <v>10</v>
      </c>
      <c r="H186" s="33">
        <f t="shared" si="26"/>
        <v>12.356194490192346</v>
      </c>
      <c r="I186" s="17">
        <v>127</v>
      </c>
      <c r="J186" s="33">
        <f t="shared" si="27"/>
        <v>28.222222222222221</v>
      </c>
      <c r="K186" s="17">
        <v>36</v>
      </c>
      <c r="L186" s="34">
        <f t="shared" si="28"/>
        <v>3.2059702846934166</v>
      </c>
      <c r="M186" s="35">
        <f t="shared" si="29"/>
        <v>7</v>
      </c>
      <c r="N186" s="17">
        <v>49.2</v>
      </c>
      <c r="O186" s="33">
        <f t="shared" si="30"/>
        <v>19.68</v>
      </c>
      <c r="P186" s="17">
        <v>23.5</v>
      </c>
      <c r="Q186" s="33">
        <f t="shared" si="31"/>
        <v>1.9954469373732691</v>
      </c>
      <c r="R186" s="58">
        <f t="shared" si="32"/>
        <v>3</v>
      </c>
      <c r="S186" s="17">
        <v>116</v>
      </c>
      <c r="T186" s="17">
        <v>32.9</v>
      </c>
    </row>
    <row r="187" spans="1:20" x14ac:dyDescent="0.25">
      <c r="A187" s="32" t="str">
        <f t="shared" si="33"/>
        <v>RECC  90*50*6.3</v>
      </c>
      <c r="B187" s="33">
        <f t="shared" si="23"/>
        <v>11.53133011001874</v>
      </c>
      <c r="C187" s="17">
        <v>90</v>
      </c>
      <c r="D187" s="17">
        <v>50</v>
      </c>
      <c r="E187" s="17">
        <v>6.3</v>
      </c>
      <c r="F187" s="17">
        <f t="shared" si="24"/>
        <v>9.4499999999999993</v>
      </c>
      <c r="G187" s="17">
        <f t="shared" si="25"/>
        <v>15.75</v>
      </c>
      <c r="H187" s="33">
        <f t="shared" si="26"/>
        <v>14.689592496839158</v>
      </c>
      <c r="I187" s="17">
        <v>150</v>
      </c>
      <c r="J187" s="33">
        <f t="shared" si="27"/>
        <v>33.333333333333336</v>
      </c>
      <c r="K187" s="17">
        <v>43.2</v>
      </c>
      <c r="L187" s="34">
        <f t="shared" si="28"/>
        <v>3.1955142268021599</v>
      </c>
      <c r="M187" s="35">
        <f t="shared" si="29"/>
        <v>7.3710000000000004</v>
      </c>
      <c r="N187" s="17">
        <v>57</v>
      </c>
      <c r="O187" s="33">
        <f t="shared" si="30"/>
        <v>22.8</v>
      </c>
      <c r="P187" s="17">
        <v>28</v>
      </c>
      <c r="Q187" s="33">
        <f t="shared" si="31"/>
        <v>1.9698472646385816</v>
      </c>
      <c r="R187" s="58">
        <f t="shared" si="32"/>
        <v>2.331</v>
      </c>
      <c r="S187" s="17">
        <v>138</v>
      </c>
      <c r="T187" s="17">
        <v>38.1</v>
      </c>
    </row>
    <row r="188" spans="1:20" x14ac:dyDescent="0.25">
      <c r="A188" s="32" t="str">
        <f t="shared" si="33"/>
        <v>RECC  90*50*8</v>
      </c>
      <c r="B188" s="33">
        <f t="shared" si="23"/>
        <v>13.849344596654051</v>
      </c>
      <c r="C188" s="17">
        <v>90</v>
      </c>
      <c r="D188" s="17">
        <v>50</v>
      </c>
      <c r="E188" s="17">
        <v>8</v>
      </c>
      <c r="F188" s="17">
        <f t="shared" si="24"/>
        <v>12</v>
      </c>
      <c r="G188" s="17">
        <f t="shared" si="25"/>
        <v>20</v>
      </c>
      <c r="H188" s="33">
        <f t="shared" si="26"/>
        <v>17.642477193189873</v>
      </c>
      <c r="I188" s="17">
        <v>174</v>
      </c>
      <c r="J188" s="33">
        <f t="shared" si="27"/>
        <v>38.666666666666664</v>
      </c>
      <c r="K188" s="17">
        <v>51.4</v>
      </c>
      <c r="L188" s="34">
        <f t="shared" si="28"/>
        <v>3.1404713936577546</v>
      </c>
      <c r="M188" s="35">
        <f t="shared" si="29"/>
        <v>8</v>
      </c>
      <c r="N188" s="17">
        <v>64.599999999999994</v>
      </c>
      <c r="O188" s="33">
        <f t="shared" si="30"/>
        <v>25.839999999999996</v>
      </c>
      <c r="P188" s="17">
        <v>32.9</v>
      </c>
      <c r="Q188" s="33">
        <f t="shared" si="31"/>
        <v>1.9135352927751548</v>
      </c>
      <c r="R188" s="58">
        <f t="shared" si="32"/>
        <v>1.6</v>
      </c>
      <c r="S188" s="17">
        <v>160</v>
      </c>
      <c r="T188" s="17">
        <v>43.2</v>
      </c>
    </row>
    <row r="189" spans="1:20" x14ac:dyDescent="0.25">
      <c r="A189" s="36" t="str">
        <f t="shared" si="33"/>
        <v>RECC  100*50*3.2</v>
      </c>
      <c r="B189" s="38">
        <f t="shared" si="23"/>
        <v>7.0074573515984877</v>
      </c>
      <c r="C189" s="37">
        <v>100</v>
      </c>
      <c r="D189" s="37">
        <v>50</v>
      </c>
      <c r="E189" s="37">
        <v>3.2</v>
      </c>
      <c r="F189" s="37">
        <f t="shared" si="24"/>
        <v>3.2</v>
      </c>
      <c r="G189" s="37">
        <f t="shared" si="25"/>
        <v>6.4</v>
      </c>
      <c r="H189" s="38">
        <f t="shared" si="26"/>
        <v>8.9266972631827866</v>
      </c>
      <c r="I189" s="37">
        <v>116</v>
      </c>
      <c r="J189" s="38">
        <f t="shared" si="27"/>
        <v>23.2</v>
      </c>
      <c r="K189" s="37">
        <v>28.9</v>
      </c>
      <c r="L189" s="39">
        <f t="shared" si="28"/>
        <v>3.6048200618215471</v>
      </c>
      <c r="M189" s="40">
        <f t="shared" si="29"/>
        <v>5.5808000000000009</v>
      </c>
      <c r="N189" s="37">
        <v>38.799999999999997</v>
      </c>
      <c r="O189" s="38">
        <f t="shared" si="30"/>
        <v>15.52</v>
      </c>
      <c r="P189" s="37">
        <v>17.7</v>
      </c>
      <c r="Q189" s="38">
        <f t="shared" si="31"/>
        <v>2.0848290964247478</v>
      </c>
      <c r="R189" s="59">
        <f t="shared" si="32"/>
        <v>2.3808000000000002</v>
      </c>
      <c r="S189" s="37">
        <v>93.4</v>
      </c>
      <c r="T189" s="41">
        <v>26.4</v>
      </c>
    </row>
    <row r="190" spans="1:20" x14ac:dyDescent="0.25">
      <c r="A190" s="42" t="str">
        <f t="shared" si="33"/>
        <v>RECC  100*50*4</v>
      </c>
      <c r="B190" s="44">
        <f t="shared" si="23"/>
        <v>8.5941521118726349</v>
      </c>
      <c r="C190" s="43">
        <v>100</v>
      </c>
      <c r="D190" s="43">
        <v>50</v>
      </c>
      <c r="E190" s="43">
        <v>4</v>
      </c>
      <c r="F190" s="43">
        <f t="shared" si="24"/>
        <v>4</v>
      </c>
      <c r="G190" s="43">
        <f t="shared" si="25"/>
        <v>8</v>
      </c>
      <c r="H190" s="44">
        <f t="shared" si="26"/>
        <v>10.947964473723101</v>
      </c>
      <c r="I190" s="43">
        <v>140</v>
      </c>
      <c r="J190" s="44">
        <f t="shared" si="27"/>
        <v>28</v>
      </c>
      <c r="K190" s="43">
        <v>35.200000000000003</v>
      </c>
      <c r="L190" s="45">
        <f t="shared" si="28"/>
        <v>3.5759985013257931</v>
      </c>
      <c r="M190" s="46">
        <f t="shared" si="29"/>
        <v>6.72</v>
      </c>
      <c r="N190" s="43">
        <v>46.2</v>
      </c>
      <c r="O190" s="44">
        <f t="shared" si="30"/>
        <v>18.48</v>
      </c>
      <c r="P190" s="43">
        <v>21.5</v>
      </c>
      <c r="Q190" s="44">
        <f t="shared" si="31"/>
        <v>2.0542547414792125</v>
      </c>
      <c r="R190" s="60">
        <f t="shared" si="32"/>
        <v>2.72</v>
      </c>
      <c r="S190" s="43">
        <v>113</v>
      </c>
      <c r="T190" s="47">
        <v>31.4</v>
      </c>
    </row>
    <row r="191" spans="1:20" x14ac:dyDescent="0.25">
      <c r="A191" s="42" t="str">
        <f t="shared" si="33"/>
        <v>RECC  100*50*5</v>
      </c>
      <c r="B191" s="44">
        <f t="shared" si="23"/>
        <v>10.484612674800992</v>
      </c>
      <c r="C191" s="43">
        <v>100</v>
      </c>
      <c r="D191" s="43">
        <v>50</v>
      </c>
      <c r="E191" s="43">
        <v>5</v>
      </c>
      <c r="F191" s="43">
        <f t="shared" si="24"/>
        <v>5</v>
      </c>
      <c r="G191" s="43">
        <f t="shared" si="25"/>
        <v>10</v>
      </c>
      <c r="H191" s="44">
        <f t="shared" si="26"/>
        <v>13.356194490192346</v>
      </c>
      <c r="I191" s="43">
        <v>167</v>
      </c>
      <c r="J191" s="44">
        <f t="shared" si="27"/>
        <v>33.4</v>
      </c>
      <c r="K191" s="43">
        <v>42.6</v>
      </c>
      <c r="L191" s="45">
        <f t="shared" si="28"/>
        <v>3.5360375505419936</v>
      </c>
      <c r="M191" s="46">
        <f t="shared" si="29"/>
        <v>8</v>
      </c>
      <c r="N191" s="43">
        <v>54.3</v>
      </c>
      <c r="O191" s="44">
        <f t="shared" si="30"/>
        <v>21.72</v>
      </c>
      <c r="P191" s="43">
        <v>25.8</v>
      </c>
      <c r="Q191" s="44">
        <f t="shared" si="31"/>
        <v>2.0163157732053043</v>
      </c>
      <c r="R191" s="60">
        <f t="shared" si="32"/>
        <v>3</v>
      </c>
      <c r="S191" s="43">
        <v>135</v>
      </c>
      <c r="T191" s="47">
        <v>36.9</v>
      </c>
    </row>
    <row r="192" spans="1:20" x14ac:dyDescent="0.25">
      <c r="A192" s="42" t="str">
        <f t="shared" si="33"/>
        <v>RECC  100*50*6.3</v>
      </c>
      <c r="B192" s="44">
        <f t="shared" si="23"/>
        <v>12.520430110018738</v>
      </c>
      <c r="C192" s="43">
        <v>100</v>
      </c>
      <c r="D192" s="43">
        <v>50</v>
      </c>
      <c r="E192" s="43">
        <v>6.3</v>
      </c>
      <c r="F192" s="43">
        <f t="shared" si="24"/>
        <v>9.4499999999999993</v>
      </c>
      <c r="G192" s="43">
        <f t="shared" si="25"/>
        <v>15.75</v>
      </c>
      <c r="H192" s="44">
        <f t="shared" si="26"/>
        <v>15.949592496839157</v>
      </c>
      <c r="I192" s="43">
        <v>197</v>
      </c>
      <c r="J192" s="44">
        <f t="shared" si="27"/>
        <v>39.4</v>
      </c>
      <c r="K192" s="43">
        <v>51.3</v>
      </c>
      <c r="L192" s="45">
        <f t="shared" si="28"/>
        <v>3.5144576739950977</v>
      </c>
      <c r="M192" s="46">
        <f t="shared" si="29"/>
        <v>8.6310000000000002</v>
      </c>
      <c r="N192" s="43">
        <v>63</v>
      </c>
      <c r="O192" s="44">
        <f t="shared" si="30"/>
        <v>25.2</v>
      </c>
      <c r="P192" s="43">
        <v>30.8</v>
      </c>
      <c r="Q192" s="44">
        <f t="shared" si="31"/>
        <v>1.9874466474530941</v>
      </c>
      <c r="R192" s="60">
        <f t="shared" si="32"/>
        <v>2.331</v>
      </c>
      <c r="S192" s="43">
        <v>160</v>
      </c>
      <c r="T192" s="47">
        <v>42.9</v>
      </c>
    </row>
    <row r="193" spans="1:20" x14ac:dyDescent="0.25">
      <c r="A193" s="48" t="str">
        <f t="shared" si="33"/>
        <v>RECC  100*50*8</v>
      </c>
      <c r="B193" s="50">
        <f t="shared" si="23"/>
        <v>15.105344596654049</v>
      </c>
      <c r="C193" s="49">
        <v>100</v>
      </c>
      <c r="D193" s="49">
        <v>50</v>
      </c>
      <c r="E193" s="49">
        <v>8</v>
      </c>
      <c r="F193" s="49">
        <f t="shared" si="24"/>
        <v>12</v>
      </c>
      <c r="G193" s="49">
        <f t="shared" si="25"/>
        <v>20</v>
      </c>
      <c r="H193" s="50">
        <f t="shared" si="26"/>
        <v>19.24247719318987</v>
      </c>
      <c r="I193" s="49">
        <v>230</v>
      </c>
      <c r="J193" s="50">
        <f t="shared" si="27"/>
        <v>46</v>
      </c>
      <c r="K193" s="49">
        <v>61.4</v>
      </c>
      <c r="L193" s="51">
        <f t="shared" si="28"/>
        <v>3.4572710357075618</v>
      </c>
      <c r="M193" s="52">
        <f t="shared" si="29"/>
        <v>9.6</v>
      </c>
      <c r="N193" s="49">
        <v>71.7</v>
      </c>
      <c r="O193" s="50">
        <f t="shared" si="30"/>
        <v>28.68</v>
      </c>
      <c r="P193" s="49">
        <v>36.299999999999997</v>
      </c>
      <c r="Q193" s="50">
        <f t="shared" si="31"/>
        <v>1.930319009598912</v>
      </c>
      <c r="R193" s="61">
        <f t="shared" si="32"/>
        <v>1.6</v>
      </c>
      <c r="S193" s="49">
        <v>186</v>
      </c>
      <c r="T193" s="53">
        <v>48.9</v>
      </c>
    </row>
    <row r="194" spans="1:20" x14ac:dyDescent="0.25">
      <c r="A194" s="32" t="str">
        <f t="shared" si="33"/>
        <v>RECC  100*60*3.2</v>
      </c>
      <c r="B194" s="33">
        <f t="shared" si="23"/>
        <v>7.5098573515984866</v>
      </c>
      <c r="C194" s="17">
        <v>100</v>
      </c>
      <c r="D194" s="17">
        <v>60</v>
      </c>
      <c r="E194" s="17">
        <v>3.2</v>
      </c>
      <c r="F194" s="17">
        <f t="shared" si="24"/>
        <v>3.2</v>
      </c>
      <c r="G194" s="17">
        <f t="shared" si="25"/>
        <v>6.4</v>
      </c>
      <c r="H194" s="33">
        <f t="shared" si="26"/>
        <v>9.5666972631827853</v>
      </c>
      <c r="I194" s="17">
        <v>131</v>
      </c>
      <c r="J194" s="33">
        <f t="shared" si="27"/>
        <v>26.2</v>
      </c>
      <c r="K194" s="17">
        <v>32</v>
      </c>
      <c r="L194" s="34">
        <f t="shared" si="28"/>
        <v>3.7004507828556581</v>
      </c>
      <c r="M194" s="35">
        <f t="shared" si="29"/>
        <v>5.5808000000000009</v>
      </c>
      <c r="N194" s="17">
        <v>58.8</v>
      </c>
      <c r="O194" s="33">
        <f t="shared" si="30"/>
        <v>19.599999999999998</v>
      </c>
      <c r="P194" s="17">
        <v>22.4</v>
      </c>
      <c r="Q194" s="33">
        <f t="shared" si="31"/>
        <v>2.4791776471220159</v>
      </c>
      <c r="R194" s="58">
        <f t="shared" si="32"/>
        <v>3.0208000000000004</v>
      </c>
      <c r="S194" s="17">
        <v>129</v>
      </c>
      <c r="T194" s="17">
        <v>32.4</v>
      </c>
    </row>
    <row r="195" spans="1:20" x14ac:dyDescent="0.25">
      <c r="A195" s="32" t="str">
        <f t="shared" si="33"/>
        <v>RECC  100*60*4</v>
      </c>
      <c r="B195" s="33">
        <f t="shared" si="23"/>
        <v>9.2221521118726333</v>
      </c>
      <c r="C195" s="17">
        <v>100</v>
      </c>
      <c r="D195" s="17">
        <v>60</v>
      </c>
      <c r="E195" s="17">
        <v>4</v>
      </c>
      <c r="F195" s="17">
        <f t="shared" si="24"/>
        <v>4</v>
      </c>
      <c r="G195" s="17">
        <f t="shared" si="25"/>
        <v>8</v>
      </c>
      <c r="H195" s="33">
        <f t="shared" si="26"/>
        <v>11.747964473723099</v>
      </c>
      <c r="I195" s="17">
        <v>158</v>
      </c>
      <c r="J195" s="33">
        <f t="shared" si="27"/>
        <v>31.6</v>
      </c>
      <c r="K195" s="17">
        <v>39.1</v>
      </c>
      <c r="L195" s="34">
        <f t="shared" si="28"/>
        <v>3.6673066942004016</v>
      </c>
      <c r="M195" s="35">
        <f t="shared" si="29"/>
        <v>6.72</v>
      </c>
      <c r="N195" s="17">
        <v>70.5</v>
      </c>
      <c r="O195" s="33">
        <f t="shared" si="30"/>
        <v>23.5</v>
      </c>
      <c r="P195" s="17">
        <v>27.3</v>
      </c>
      <c r="Q195" s="33">
        <f t="shared" si="31"/>
        <v>2.4497019405979494</v>
      </c>
      <c r="R195" s="58">
        <f t="shared" si="32"/>
        <v>3.52</v>
      </c>
      <c r="S195" s="17">
        <v>156</v>
      </c>
      <c r="T195" s="17">
        <v>38.700000000000003</v>
      </c>
    </row>
    <row r="196" spans="1:20" x14ac:dyDescent="0.25">
      <c r="A196" s="32" t="str">
        <f t="shared" si="33"/>
        <v>RECC  100*60*5</v>
      </c>
      <c r="B196" s="33">
        <f t="shared" si="23"/>
        <v>11.269612674800992</v>
      </c>
      <c r="C196" s="17">
        <v>100</v>
      </c>
      <c r="D196" s="17">
        <v>60</v>
      </c>
      <c r="E196" s="17">
        <v>5</v>
      </c>
      <c r="F196" s="17">
        <f t="shared" si="24"/>
        <v>5</v>
      </c>
      <c r="G196" s="17">
        <f t="shared" si="25"/>
        <v>10</v>
      </c>
      <c r="H196" s="33">
        <f t="shared" si="26"/>
        <v>14.356194490192346</v>
      </c>
      <c r="I196" s="17">
        <v>189</v>
      </c>
      <c r="J196" s="33">
        <f t="shared" si="27"/>
        <v>37.799999999999997</v>
      </c>
      <c r="K196" s="17">
        <v>47.4</v>
      </c>
      <c r="L196" s="34">
        <f t="shared" si="28"/>
        <v>3.6283672260621884</v>
      </c>
      <c r="M196" s="35">
        <f t="shared" si="29"/>
        <v>8</v>
      </c>
      <c r="N196" s="17">
        <v>83.6</v>
      </c>
      <c r="O196" s="33">
        <f t="shared" si="30"/>
        <v>27.866666666666664</v>
      </c>
      <c r="P196" s="17">
        <v>32.9</v>
      </c>
      <c r="Q196" s="33">
        <f t="shared" si="31"/>
        <v>2.4131452982858179</v>
      </c>
      <c r="R196" s="58">
        <f t="shared" si="32"/>
        <v>4</v>
      </c>
      <c r="S196" s="17">
        <v>188</v>
      </c>
      <c r="T196" s="17">
        <v>45.9</v>
      </c>
    </row>
    <row r="197" spans="1:20" x14ac:dyDescent="0.25">
      <c r="A197" s="32" t="str">
        <f t="shared" si="33"/>
        <v>RECC  100*60*6.3</v>
      </c>
      <c r="B197" s="33">
        <f t="shared" ref="B197:B260" si="34">H197*0.785</f>
        <v>13.509530110018739</v>
      </c>
      <c r="C197" s="17">
        <v>100</v>
      </c>
      <c r="D197" s="17">
        <v>60</v>
      </c>
      <c r="E197" s="17">
        <v>6.3</v>
      </c>
      <c r="F197" s="17">
        <f t="shared" ref="F197:F260" si="35">IF(E197&lt;=6,1*E197,IF(E197&lt;=10,1.5*E197,2*E197))</f>
        <v>9.4499999999999993</v>
      </c>
      <c r="G197" s="17">
        <f t="shared" ref="G197:G260" si="36">IF(E197&lt;=6,2*E197,IF(E197&lt;=10,2.5*E197,3*E197))</f>
        <v>15.75</v>
      </c>
      <c r="H197" s="33">
        <f t="shared" ref="H197:H260" si="37">(2*(C197-2*G197)*E197+2*(D197-2*G197)*E197+PI()*(G197^2-F197^2))*0.01</f>
        <v>17.209592496839157</v>
      </c>
      <c r="I197" s="17">
        <v>225</v>
      </c>
      <c r="J197" s="33">
        <f t="shared" ref="J197:J260" si="38">I197/(0.5*C197*0.1)</f>
        <v>45</v>
      </c>
      <c r="K197" s="17">
        <v>57.3</v>
      </c>
      <c r="L197" s="34">
        <f t="shared" ref="L197:L260" si="39">SQRT(I197/H197)</f>
        <v>3.6158130313803274</v>
      </c>
      <c r="M197" s="35">
        <f t="shared" ref="M197:M260" si="40">2*(C197-2*G197)*E197*0.01</f>
        <v>8.6310000000000002</v>
      </c>
      <c r="N197" s="17">
        <v>98.1</v>
      </c>
      <c r="O197" s="33">
        <f t="shared" ref="O197:O260" si="41">N197/(0.5*D197*0.1)</f>
        <v>32.699999999999996</v>
      </c>
      <c r="P197" s="17">
        <v>39.5</v>
      </c>
      <c r="Q197" s="33">
        <f t="shared" ref="Q197:Q260" si="42">SQRT(N197/H197)</f>
        <v>2.3875320502067212</v>
      </c>
      <c r="R197" s="58">
        <f t="shared" ref="R197:R260" si="43">2*(D197-2*G197)*E197*0.01</f>
        <v>3.5909999999999997</v>
      </c>
      <c r="S197" s="17">
        <v>224</v>
      </c>
      <c r="T197" s="17">
        <v>53.8</v>
      </c>
    </row>
    <row r="198" spans="1:20" x14ac:dyDescent="0.25">
      <c r="A198" s="32" t="str">
        <f t="shared" si="33"/>
        <v>RECC  100*60*8</v>
      </c>
      <c r="B198" s="33">
        <f t="shared" si="34"/>
        <v>16.36134459665405</v>
      </c>
      <c r="C198" s="17">
        <v>100</v>
      </c>
      <c r="D198" s="17">
        <v>60</v>
      </c>
      <c r="E198" s="17">
        <v>8</v>
      </c>
      <c r="F198" s="17">
        <f t="shared" si="35"/>
        <v>12</v>
      </c>
      <c r="G198" s="17">
        <f t="shared" si="36"/>
        <v>20</v>
      </c>
      <c r="H198" s="33">
        <f t="shared" si="37"/>
        <v>20.842477193189872</v>
      </c>
      <c r="I198" s="17">
        <v>264</v>
      </c>
      <c r="J198" s="33">
        <f t="shared" si="38"/>
        <v>52.8</v>
      </c>
      <c r="K198" s="17">
        <v>68.7</v>
      </c>
      <c r="L198" s="34">
        <f t="shared" si="39"/>
        <v>3.5589943287977923</v>
      </c>
      <c r="M198" s="35">
        <f t="shared" si="40"/>
        <v>9.6</v>
      </c>
      <c r="N198" s="17">
        <v>113</v>
      </c>
      <c r="O198" s="33">
        <f t="shared" si="41"/>
        <v>37.666666666666664</v>
      </c>
      <c r="P198" s="17">
        <v>47.1</v>
      </c>
      <c r="Q198" s="33">
        <f t="shared" si="42"/>
        <v>2.3284373348251979</v>
      </c>
      <c r="R198" s="58">
        <f t="shared" si="43"/>
        <v>3.2</v>
      </c>
      <c r="S198" s="17">
        <v>265</v>
      </c>
      <c r="T198" s="17">
        <v>62.2</v>
      </c>
    </row>
    <row r="199" spans="1:20" x14ac:dyDescent="0.25">
      <c r="A199" s="36" t="str">
        <f t="shared" si="33"/>
        <v>RECC  120*60*4</v>
      </c>
      <c r="B199" s="38">
        <f t="shared" si="34"/>
        <v>10.478152111872635</v>
      </c>
      <c r="C199" s="37">
        <v>120</v>
      </c>
      <c r="D199" s="37">
        <v>60</v>
      </c>
      <c r="E199" s="37">
        <v>4</v>
      </c>
      <c r="F199" s="37">
        <f t="shared" si="35"/>
        <v>4</v>
      </c>
      <c r="G199" s="37">
        <f t="shared" si="36"/>
        <v>8</v>
      </c>
      <c r="H199" s="38">
        <f t="shared" si="37"/>
        <v>13.347964473723101</v>
      </c>
      <c r="I199" s="37">
        <v>249</v>
      </c>
      <c r="J199" s="38">
        <f t="shared" si="38"/>
        <v>41.5</v>
      </c>
      <c r="K199" s="37">
        <v>51.9</v>
      </c>
      <c r="L199" s="39">
        <f t="shared" si="39"/>
        <v>4.3190889921087745</v>
      </c>
      <c r="M199" s="40">
        <f t="shared" si="40"/>
        <v>8.32</v>
      </c>
      <c r="N199" s="37">
        <v>83.1</v>
      </c>
      <c r="O199" s="38">
        <f t="shared" si="41"/>
        <v>27.7</v>
      </c>
      <c r="P199" s="37">
        <v>31.7</v>
      </c>
      <c r="Q199" s="38">
        <f t="shared" si="42"/>
        <v>2.495128925110508</v>
      </c>
      <c r="R199" s="59">
        <f t="shared" si="43"/>
        <v>3.52</v>
      </c>
      <c r="S199" s="37">
        <v>2007</v>
      </c>
      <c r="T199" s="41">
        <v>47.1</v>
      </c>
    </row>
    <row r="200" spans="1:20" x14ac:dyDescent="0.25">
      <c r="A200" s="42" t="str">
        <f t="shared" si="33"/>
        <v>RECC  120*60*5</v>
      </c>
      <c r="B200" s="44">
        <f t="shared" si="34"/>
        <v>12.839612674800991</v>
      </c>
      <c r="C200" s="43">
        <v>120</v>
      </c>
      <c r="D200" s="43">
        <v>60</v>
      </c>
      <c r="E200" s="43">
        <v>5</v>
      </c>
      <c r="F200" s="43">
        <f t="shared" si="35"/>
        <v>5</v>
      </c>
      <c r="G200" s="43">
        <f t="shared" si="36"/>
        <v>10</v>
      </c>
      <c r="H200" s="44">
        <f t="shared" si="37"/>
        <v>16.356194490192344</v>
      </c>
      <c r="I200" s="43">
        <v>299</v>
      </c>
      <c r="J200" s="44">
        <f t="shared" si="38"/>
        <v>49.833333333333336</v>
      </c>
      <c r="K200" s="43">
        <v>63.1</v>
      </c>
      <c r="L200" s="45">
        <f t="shared" si="39"/>
        <v>4.275574331646629</v>
      </c>
      <c r="M200" s="46">
        <f t="shared" si="40"/>
        <v>10</v>
      </c>
      <c r="N200" s="43">
        <v>98.8</v>
      </c>
      <c r="O200" s="44">
        <f t="shared" si="41"/>
        <v>32.93333333333333</v>
      </c>
      <c r="P200" s="43">
        <v>38.4</v>
      </c>
      <c r="Q200" s="44">
        <f t="shared" si="42"/>
        <v>2.4577479314741879</v>
      </c>
      <c r="R200" s="60">
        <f t="shared" si="43"/>
        <v>4</v>
      </c>
      <c r="S200" s="43">
        <v>2418</v>
      </c>
      <c r="T200" s="47">
        <v>55.95</v>
      </c>
    </row>
    <row r="201" spans="1:20" x14ac:dyDescent="0.25">
      <c r="A201" s="42" t="str">
        <f t="shared" si="33"/>
        <v>RECC  120*60*6.3</v>
      </c>
      <c r="B201" s="44">
        <f t="shared" si="34"/>
        <v>15.487730110018738</v>
      </c>
      <c r="C201" s="43">
        <v>120</v>
      </c>
      <c r="D201" s="43">
        <v>60</v>
      </c>
      <c r="E201" s="43">
        <v>6.3</v>
      </c>
      <c r="F201" s="43">
        <f t="shared" si="35"/>
        <v>9.4499999999999993</v>
      </c>
      <c r="G201" s="43">
        <f t="shared" si="36"/>
        <v>15.75</v>
      </c>
      <c r="H201" s="44">
        <f t="shared" si="37"/>
        <v>19.729592496839157</v>
      </c>
      <c r="I201" s="43">
        <v>358</v>
      </c>
      <c r="J201" s="44">
        <f t="shared" si="38"/>
        <v>59.666666666666664</v>
      </c>
      <c r="K201" s="43">
        <v>76.7</v>
      </c>
      <c r="L201" s="45">
        <f t="shared" si="39"/>
        <v>4.2597337583281893</v>
      </c>
      <c r="M201" s="46">
        <f t="shared" si="40"/>
        <v>11.151</v>
      </c>
      <c r="N201" s="43">
        <v>116</v>
      </c>
      <c r="O201" s="44">
        <f t="shared" si="41"/>
        <v>38.666666666666664</v>
      </c>
      <c r="P201" s="43">
        <v>46.3</v>
      </c>
      <c r="Q201" s="44">
        <f t="shared" si="42"/>
        <v>2.4247665764829534</v>
      </c>
      <c r="R201" s="60">
        <f t="shared" si="43"/>
        <v>3.5909999999999997</v>
      </c>
      <c r="S201" s="43">
        <v>2900</v>
      </c>
      <c r="T201" s="47">
        <v>65.94</v>
      </c>
    </row>
    <row r="202" spans="1:20" x14ac:dyDescent="0.25">
      <c r="A202" s="42" t="str">
        <f t="shared" si="33"/>
        <v>RECC  120*60*8</v>
      </c>
      <c r="B202" s="44">
        <f t="shared" si="34"/>
        <v>18.87334459665405</v>
      </c>
      <c r="C202" s="43">
        <v>120</v>
      </c>
      <c r="D202" s="43">
        <v>60</v>
      </c>
      <c r="E202" s="43">
        <v>8</v>
      </c>
      <c r="F202" s="43">
        <f t="shared" si="35"/>
        <v>12</v>
      </c>
      <c r="G202" s="43">
        <f t="shared" si="36"/>
        <v>20</v>
      </c>
      <c r="H202" s="44">
        <f t="shared" si="37"/>
        <v>24.042477193189871</v>
      </c>
      <c r="I202" s="43">
        <v>425</v>
      </c>
      <c r="J202" s="44">
        <f t="shared" si="38"/>
        <v>70.833333333333329</v>
      </c>
      <c r="K202" s="43">
        <v>92.7</v>
      </c>
      <c r="L202" s="45">
        <f t="shared" si="39"/>
        <v>4.2044080472086538</v>
      </c>
      <c r="M202" s="46">
        <f t="shared" si="40"/>
        <v>12.8</v>
      </c>
      <c r="N202" s="43">
        <v>135</v>
      </c>
      <c r="O202" s="44">
        <f t="shared" si="41"/>
        <v>45</v>
      </c>
      <c r="P202" s="43">
        <v>55.4</v>
      </c>
      <c r="Q202" s="44">
        <f t="shared" si="42"/>
        <v>2.3696122039163434</v>
      </c>
      <c r="R202" s="60">
        <f t="shared" si="43"/>
        <v>3.2</v>
      </c>
      <c r="S202" s="43">
        <v>3443</v>
      </c>
      <c r="T202" s="47">
        <v>76.64</v>
      </c>
    </row>
    <row r="203" spans="1:20" x14ac:dyDescent="0.25">
      <c r="A203" s="48" t="str">
        <f t="shared" si="33"/>
        <v>RECC  120*60*10</v>
      </c>
      <c r="B203" s="50">
        <f t="shared" si="34"/>
        <v>22.424600932271954</v>
      </c>
      <c r="C203" s="49">
        <v>120</v>
      </c>
      <c r="D203" s="49">
        <v>60</v>
      </c>
      <c r="E203" s="49">
        <v>10</v>
      </c>
      <c r="F203" s="49">
        <f t="shared" si="35"/>
        <v>15</v>
      </c>
      <c r="G203" s="49">
        <f t="shared" si="36"/>
        <v>25</v>
      </c>
      <c r="H203" s="50">
        <f t="shared" si="37"/>
        <v>28.566370614359176</v>
      </c>
      <c r="I203" s="49">
        <v>488</v>
      </c>
      <c r="J203" s="50">
        <f t="shared" si="38"/>
        <v>81.333333333333329</v>
      </c>
      <c r="K203" s="49">
        <v>109</v>
      </c>
      <c r="L203" s="51">
        <f t="shared" si="39"/>
        <v>4.1331615238340857</v>
      </c>
      <c r="M203" s="52">
        <f t="shared" si="40"/>
        <v>14</v>
      </c>
      <c r="N203" s="49">
        <v>152</v>
      </c>
      <c r="O203" s="50">
        <f t="shared" si="41"/>
        <v>50.666666666666664</v>
      </c>
      <c r="P203" s="49">
        <v>64.400000000000006</v>
      </c>
      <c r="Q203" s="50">
        <f t="shared" si="42"/>
        <v>2.3067167052674229</v>
      </c>
      <c r="R203" s="61">
        <f t="shared" si="43"/>
        <v>2</v>
      </c>
      <c r="S203" s="49">
        <v>3957</v>
      </c>
      <c r="T203" s="53">
        <v>86.13</v>
      </c>
    </row>
    <row r="204" spans="1:20" x14ac:dyDescent="0.25">
      <c r="A204" s="32" t="str">
        <f t="shared" si="33"/>
        <v>RECC  120*80*4</v>
      </c>
      <c r="B204" s="33">
        <f t="shared" si="34"/>
        <v>11.734152111872634</v>
      </c>
      <c r="C204" s="17">
        <v>120</v>
      </c>
      <c r="D204" s="17">
        <v>80</v>
      </c>
      <c r="E204" s="17">
        <v>4</v>
      </c>
      <c r="F204" s="17">
        <f t="shared" si="35"/>
        <v>4</v>
      </c>
      <c r="G204" s="17">
        <f t="shared" si="36"/>
        <v>8</v>
      </c>
      <c r="H204" s="33">
        <f t="shared" si="37"/>
        <v>14.947964473723101</v>
      </c>
      <c r="I204" s="17">
        <v>303</v>
      </c>
      <c r="J204" s="33">
        <f t="shared" si="38"/>
        <v>50.5</v>
      </c>
      <c r="K204" s="17">
        <v>61.2</v>
      </c>
      <c r="L204" s="34">
        <f t="shared" si="39"/>
        <v>4.5022570390722283</v>
      </c>
      <c r="M204" s="35">
        <f t="shared" si="40"/>
        <v>8.32</v>
      </c>
      <c r="N204" s="17">
        <v>161</v>
      </c>
      <c r="O204" s="33">
        <f t="shared" si="41"/>
        <v>40.25</v>
      </c>
      <c r="P204" s="17">
        <v>46.1</v>
      </c>
      <c r="Q204" s="33">
        <f t="shared" si="42"/>
        <v>3.2818740469462897</v>
      </c>
      <c r="R204" s="58">
        <f t="shared" si="43"/>
        <v>5.12</v>
      </c>
      <c r="S204" s="17">
        <v>3304</v>
      </c>
      <c r="T204" s="17">
        <v>64.98</v>
      </c>
    </row>
    <row r="205" spans="1:20" x14ac:dyDescent="0.25">
      <c r="A205" s="32" t="str">
        <f t="shared" si="33"/>
        <v>RECC  120*80*5</v>
      </c>
      <c r="B205" s="33">
        <f t="shared" si="34"/>
        <v>14.409612674800991</v>
      </c>
      <c r="C205" s="17">
        <v>120</v>
      </c>
      <c r="D205" s="17">
        <v>80</v>
      </c>
      <c r="E205" s="17">
        <v>5</v>
      </c>
      <c r="F205" s="17">
        <f t="shared" si="35"/>
        <v>5</v>
      </c>
      <c r="G205" s="17">
        <f t="shared" si="36"/>
        <v>10</v>
      </c>
      <c r="H205" s="33">
        <f t="shared" si="37"/>
        <v>18.356194490192344</v>
      </c>
      <c r="I205" s="17">
        <v>365</v>
      </c>
      <c r="J205" s="33">
        <f t="shared" si="38"/>
        <v>60.833333333333336</v>
      </c>
      <c r="K205" s="17">
        <v>74.599999999999994</v>
      </c>
      <c r="L205" s="34">
        <f t="shared" si="39"/>
        <v>4.4591810621719485</v>
      </c>
      <c r="M205" s="35">
        <f t="shared" si="40"/>
        <v>10</v>
      </c>
      <c r="N205" s="17">
        <v>193</v>
      </c>
      <c r="O205" s="33">
        <f t="shared" si="41"/>
        <v>48.25</v>
      </c>
      <c r="P205" s="17">
        <v>56.1</v>
      </c>
      <c r="Q205" s="33">
        <f t="shared" si="42"/>
        <v>3.2425548352816032</v>
      </c>
      <c r="R205" s="58">
        <f t="shared" si="43"/>
        <v>6</v>
      </c>
      <c r="S205" s="17">
        <v>4013</v>
      </c>
      <c r="T205" s="17">
        <v>77.88</v>
      </c>
    </row>
    <row r="206" spans="1:20" x14ac:dyDescent="0.25">
      <c r="A206" s="32" t="str">
        <f t="shared" si="33"/>
        <v>RECC  120*80*6.3</v>
      </c>
      <c r="B206" s="33">
        <f t="shared" si="34"/>
        <v>17.465930110018739</v>
      </c>
      <c r="C206" s="17">
        <v>120</v>
      </c>
      <c r="D206" s="17">
        <v>80</v>
      </c>
      <c r="E206" s="17">
        <v>6.3</v>
      </c>
      <c r="F206" s="17">
        <f t="shared" si="35"/>
        <v>9.4499999999999993</v>
      </c>
      <c r="G206" s="17">
        <f t="shared" si="36"/>
        <v>15.75</v>
      </c>
      <c r="H206" s="33">
        <f t="shared" si="37"/>
        <v>22.249592496839156</v>
      </c>
      <c r="I206" s="17">
        <v>440</v>
      </c>
      <c r="J206" s="33">
        <f t="shared" si="38"/>
        <v>73.333333333333329</v>
      </c>
      <c r="K206" s="17">
        <v>91</v>
      </c>
      <c r="L206" s="34">
        <f t="shared" si="39"/>
        <v>4.4469813452286822</v>
      </c>
      <c r="M206" s="35">
        <f t="shared" si="40"/>
        <v>11.151</v>
      </c>
      <c r="N206" s="17">
        <v>230</v>
      </c>
      <c r="O206" s="33">
        <f t="shared" si="41"/>
        <v>57.5</v>
      </c>
      <c r="P206" s="17">
        <v>68.2</v>
      </c>
      <c r="Q206" s="33">
        <f t="shared" si="42"/>
        <v>3.2151622005976113</v>
      </c>
      <c r="R206" s="58">
        <f t="shared" si="43"/>
        <v>6.1110000000000007</v>
      </c>
      <c r="S206" s="17">
        <v>4866</v>
      </c>
      <c r="T206" s="17">
        <v>92.87</v>
      </c>
    </row>
    <row r="207" spans="1:20" x14ac:dyDescent="0.25">
      <c r="A207" s="32" t="str">
        <f t="shared" si="33"/>
        <v>RECC  120*80*8</v>
      </c>
      <c r="B207" s="33">
        <f t="shared" si="34"/>
        <v>21.385344596654051</v>
      </c>
      <c r="C207" s="17">
        <v>120</v>
      </c>
      <c r="D207" s="17">
        <v>80</v>
      </c>
      <c r="E207" s="17">
        <v>8</v>
      </c>
      <c r="F207" s="17">
        <f t="shared" si="35"/>
        <v>12</v>
      </c>
      <c r="G207" s="17">
        <f t="shared" si="36"/>
        <v>20</v>
      </c>
      <c r="H207" s="33">
        <f t="shared" si="37"/>
        <v>27.24247719318987</v>
      </c>
      <c r="I207" s="17">
        <v>525</v>
      </c>
      <c r="J207" s="33">
        <f t="shared" si="38"/>
        <v>87.5</v>
      </c>
      <c r="K207" s="17">
        <v>111</v>
      </c>
      <c r="L207" s="34">
        <f t="shared" si="39"/>
        <v>4.3899174506157754</v>
      </c>
      <c r="M207" s="35">
        <f t="shared" si="40"/>
        <v>12.8</v>
      </c>
      <c r="N207" s="17">
        <v>273</v>
      </c>
      <c r="O207" s="33">
        <f t="shared" si="41"/>
        <v>68.25</v>
      </c>
      <c r="P207" s="17">
        <v>82.6</v>
      </c>
      <c r="Q207" s="33">
        <f t="shared" si="42"/>
        <v>3.1656144926498668</v>
      </c>
      <c r="R207" s="58">
        <f t="shared" si="43"/>
        <v>6.4</v>
      </c>
      <c r="S207" s="17">
        <v>5866</v>
      </c>
      <c r="T207" s="17">
        <v>109.7</v>
      </c>
    </row>
    <row r="208" spans="1:20" x14ac:dyDescent="0.25">
      <c r="A208" s="32" t="str">
        <f t="shared" si="33"/>
        <v>RECC  120*80*10</v>
      </c>
      <c r="B208" s="33">
        <f t="shared" si="34"/>
        <v>25.564600932271951</v>
      </c>
      <c r="C208" s="17">
        <v>120</v>
      </c>
      <c r="D208" s="17">
        <v>80</v>
      </c>
      <c r="E208" s="17">
        <v>10</v>
      </c>
      <c r="F208" s="17">
        <f t="shared" si="35"/>
        <v>15</v>
      </c>
      <c r="G208" s="17">
        <f t="shared" si="36"/>
        <v>25</v>
      </c>
      <c r="H208" s="33">
        <f t="shared" si="37"/>
        <v>32.566370614359172</v>
      </c>
      <c r="I208" s="17">
        <v>609</v>
      </c>
      <c r="J208" s="33">
        <f t="shared" si="38"/>
        <v>101.5</v>
      </c>
      <c r="K208" s="17">
        <v>131</v>
      </c>
      <c r="L208" s="34">
        <f t="shared" si="39"/>
        <v>4.324381152472121</v>
      </c>
      <c r="M208" s="35">
        <f t="shared" si="40"/>
        <v>14</v>
      </c>
      <c r="N208" s="17">
        <v>313</v>
      </c>
      <c r="O208" s="33">
        <f t="shared" si="41"/>
        <v>78.25</v>
      </c>
      <c r="P208" s="17">
        <v>97.3</v>
      </c>
      <c r="Q208" s="33">
        <f t="shared" si="42"/>
        <v>3.1001841266709729</v>
      </c>
      <c r="R208" s="58">
        <f t="shared" si="43"/>
        <v>6</v>
      </c>
      <c r="S208" s="17">
        <v>6876</v>
      </c>
      <c r="T208" s="17">
        <v>125.7</v>
      </c>
    </row>
    <row r="209" spans="1:20" x14ac:dyDescent="0.25">
      <c r="A209" s="36" t="str">
        <f t="shared" si="33"/>
        <v>RECC  140*80*4</v>
      </c>
      <c r="B209" s="38">
        <f t="shared" si="34"/>
        <v>12.990152111872636</v>
      </c>
      <c r="C209" s="37">
        <v>140</v>
      </c>
      <c r="D209" s="37">
        <v>80</v>
      </c>
      <c r="E209" s="37">
        <v>4</v>
      </c>
      <c r="F209" s="37">
        <f t="shared" si="35"/>
        <v>4</v>
      </c>
      <c r="G209" s="37">
        <f t="shared" si="36"/>
        <v>8</v>
      </c>
      <c r="H209" s="38">
        <f t="shared" si="37"/>
        <v>16.547964473723102</v>
      </c>
      <c r="I209" s="37">
        <v>441</v>
      </c>
      <c r="J209" s="38">
        <f t="shared" si="38"/>
        <v>63</v>
      </c>
      <c r="K209" s="37">
        <v>77.099999999999994</v>
      </c>
      <c r="L209" s="39">
        <f t="shared" si="39"/>
        <v>5.1623447585715274</v>
      </c>
      <c r="M209" s="40">
        <f t="shared" si="40"/>
        <v>9.92</v>
      </c>
      <c r="N209" s="37">
        <v>184</v>
      </c>
      <c r="O209" s="38">
        <f t="shared" si="41"/>
        <v>46</v>
      </c>
      <c r="P209" s="37">
        <v>52.2</v>
      </c>
      <c r="Q209" s="38">
        <f t="shared" si="42"/>
        <v>3.3345452989799282</v>
      </c>
      <c r="R209" s="59">
        <f t="shared" si="43"/>
        <v>5.12</v>
      </c>
      <c r="S209" s="37">
        <v>4107</v>
      </c>
      <c r="T209" s="41">
        <v>76.53</v>
      </c>
    </row>
    <row r="210" spans="1:20" x14ac:dyDescent="0.25">
      <c r="A210" s="42" t="str">
        <f t="shared" si="33"/>
        <v>RECC  140*80*5</v>
      </c>
      <c r="B210" s="44">
        <f t="shared" si="34"/>
        <v>15.979612674800991</v>
      </c>
      <c r="C210" s="43">
        <v>140</v>
      </c>
      <c r="D210" s="43">
        <v>80</v>
      </c>
      <c r="E210" s="43">
        <v>5</v>
      </c>
      <c r="F210" s="43">
        <f t="shared" si="35"/>
        <v>5</v>
      </c>
      <c r="G210" s="43">
        <f t="shared" si="36"/>
        <v>10</v>
      </c>
      <c r="H210" s="44">
        <f t="shared" si="37"/>
        <v>20.356194490192344</v>
      </c>
      <c r="I210" s="43">
        <v>534</v>
      </c>
      <c r="J210" s="44">
        <f t="shared" si="38"/>
        <v>76.285714285714292</v>
      </c>
      <c r="K210" s="43">
        <v>94.3</v>
      </c>
      <c r="L210" s="45">
        <f t="shared" si="39"/>
        <v>5.1217966613636339</v>
      </c>
      <c r="M210" s="46">
        <f t="shared" si="40"/>
        <v>12</v>
      </c>
      <c r="N210" s="43">
        <v>221</v>
      </c>
      <c r="O210" s="44">
        <f t="shared" si="41"/>
        <v>55.25</v>
      </c>
      <c r="P210" s="43">
        <v>63.6</v>
      </c>
      <c r="Q210" s="44">
        <f t="shared" si="42"/>
        <v>3.2949425068494103</v>
      </c>
      <c r="R210" s="60">
        <f t="shared" si="43"/>
        <v>6</v>
      </c>
      <c r="S210" s="43">
        <v>4994</v>
      </c>
      <c r="T210" s="47">
        <v>91.94</v>
      </c>
    </row>
    <row r="211" spans="1:20" x14ac:dyDescent="0.25">
      <c r="A211" s="42" t="str">
        <f t="shared" si="33"/>
        <v>RECC  140*80*6.3</v>
      </c>
      <c r="B211" s="44">
        <f t="shared" si="34"/>
        <v>19.444130110018737</v>
      </c>
      <c r="C211" s="43">
        <v>140</v>
      </c>
      <c r="D211" s="43">
        <v>80</v>
      </c>
      <c r="E211" s="43">
        <v>6.3</v>
      </c>
      <c r="F211" s="43">
        <f t="shared" si="35"/>
        <v>9.4499999999999993</v>
      </c>
      <c r="G211" s="43">
        <f t="shared" si="36"/>
        <v>15.75</v>
      </c>
      <c r="H211" s="44">
        <f t="shared" si="37"/>
        <v>24.769592496839156</v>
      </c>
      <c r="I211" s="43">
        <v>646</v>
      </c>
      <c r="J211" s="44">
        <f t="shared" si="38"/>
        <v>92.285714285714292</v>
      </c>
      <c r="K211" s="43">
        <v>115</v>
      </c>
      <c r="L211" s="45">
        <f t="shared" si="39"/>
        <v>5.1068938178043668</v>
      </c>
      <c r="M211" s="46">
        <f t="shared" si="40"/>
        <v>13.670999999999999</v>
      </c>
      <c r="N211" s="43">
        <v>265</v>
      </c>
      <c r="O211" s="44">
        <f t="shared" si="41"/>
        <v>66.25</v>
      </c>
      <c r="P211" s="43">
        <v>77.5</v>
      </c>
      <c r="Q211" s="44">
        <f t="shared" si="42"/>
        <v>3.2708716762607914</v>
      </c>
      <c r="R211" s="60">
        <f t="shared" si="43"/>
        <v>6.1110000000000007</v>
      </c>
      <c r="S211" s="43">
        <v>6065</v>
      </c>
      <c r="T211" s="47">
        <v>110</v>
      </c>
    </row>
    <row r="212" spans="1:20" x14ac:dyDescent="0.25">
      <c r="A212" s="42" t="str">
        <f t="shared" si="33"/>
        <v>RECC  140*80*8</v>
      </c>
      <c r="B212" s="44">
        <f t="shared" si="34"/>
        <v>23.897344596654047</v>
      </c>
      <c r="C212" s="43">
        <v>140</v>
      </c>
      <c r="D212" s="43">
        <v>80</v>
      </c>
      <c r="E212" s="43">
        <v>8</v>
      </c>
      <c r="F212" s="43">
        <f t="shared" si="35"/>
        <v>12</v>
      </c>
      <c r="G212" s="43">
        <f t="shared" si="36"/>
        <v>20</v>
      </c>
      <c r="H212" s="44">
        <f t="shared" si="37"/>
        <v>30.44247719318987</v>
      </c>
      <c r="I212" s="43">
        <v>776</v>
      </c>
      <c r="J212" s="44">
        <f t="shared" si="38"/>
        <v>110.85714285714286</v>
      </c>
      <c r="K212" s="43">
        <v>141</v>
      </c>
      <c r="L212" s="45">
        <f t="shared" si="39"/>
        <v>5.0488313743134281</v>
      </c>
      <c r="M212" s="46">
        <f t="shared" si="40"/>
        <v>16</v>
      </c>
      <c r="N212" s="43">
        <v>314</v>
      </c>
      <c r="O212" s="44">
        <f t="shared" si="41"/>
        <v>78.5</v>
      </c>
      <c r="P212" s="43">
        <v>94.1</v>
      </c>
      <c r="Q212" s="44">
        <f t="shared" si="42"/>
        <v>3.2116249960272403</v>
      </c>
      <c r="R212" s="60">
        <f t="shared" si="43"/>
        <v>6.4</v>
      </c>
      <c r="S212" s="43">
        <v>7329</v>
      </c>
      <c r="T212" s="47">
        <v>130.4</v>
      </c>
    </row>
    <row r="213" spans="1:20" x14ac:dyDescent="0.25">
      <c r="A213" s="48" t="str">
        <f t="shared" si="33"/>
        <v>RECC  140*80*10</v>
      </c>
      <c r="B213" s="50">
        <f t="shared" si="34"/>
        <v>28.704600932271958</v>
      </c>
      <c r="C213" s="49">
        <v>140</v>
      </c>
      <c r="D213" s="49">
        <v>80</v>
      </c>
      <c r="E213" s="49">
        <v>10</v>
      </c>
      <c r="F213" s="49">
        <f t="shared" si="35"/>
        <v>15</v>
      </c>
      <c r="G213" s="49">
        <f t="shared" si="36"/>
        <v>25</v>
      </c>
      <c r="H213" s="50">
        <f t="shared" si="37"/>
        <v>36.56637061435918</v>
      </c>
      <c r="I213" s="49">
        <v>908</v>
      </c>
      <c r="J213" s="50">
        <f t="shared" si="38"/>
        <v>129.71428571428572</v>
      </c>
      <c r="K213" s="49">
        <v>168</v>
      </c>
      <c r="L213" s="51">
        <f t="shared" si="39"/>
        <v>4.9831274609324048</v>
      </c>
      <c r="M213" s="52">
        <f t="shared" si="40"/>
        <v>18</v>
      </c>
      <c r="N213" s="49">
        <v>362</v>
      </c>
      <c r="O213" s="50">
        <f t="shared" si="41"/>
        <v>90.5</v>
      </c>
      <c r="P213" s="49">
        <v>111</v>
      </c>
      <c r="Q213" s="50">
        <f t="shared" si="42"/>
        <v>3.1463958234856109</v>
      </c>
      <c r="R213" s="61">
        <f t="shared" si="43"/>
        <v>6</v>
      </c>
      <c r="S213" s="49">
        <v>8621</v>
      </c>
      <c r="T213" s="53">
        <v>150.30000000000001</v>
      </c>
    </row>
    <row r="214" spans="1:20" x14ac:dyDescent="0.25">
      <c r="A214" s="32" t="str">
        <f t="shared" si="33"/>
        <v>RECC  150*100*4</v>
      </c>
      <c r="B214" s="33">
        <f t="shared" si="34"/>
        <v>14.874152111872634</v>
      </c>
      <c r="C214" s="17">
        <v>150</v>
      </c>
      <c r="D214" s="17">
        <v>100</v>
      </c>
      <c r="E214" s="17">
        <v>4</v>
      </c>
      <c r="F214" s="17">
        <f t="shared" si="35"/>
        <v>4</v>
      </c>
      <c r="G214" s="17">
        <f t="shared" si="36"/>
        <v>8</v>
      </c>
      <c r="H214" s="33">
        <f t="shared" si="37"/>
        <v>18.947964473723101</v>
      </c>
      <c r="I214" s="17">
        <v>607</v>
      </c>
      <c r="J214" s="33">
        <f t="shared" si="38"/>
        <v>80.933333333333337</v>
      </c>
      <c r="K214" s="17">
        <v>97.4</v>
      </c>
      <c r="L214" s="34">
        <f t="shared" si="39"/>
        <v>5.6599561252792512</v>
      </c>
      <c r="M214" s="35">
        <f t="shared" si="40"/>
        <v>10.72</v>
      </c>
      <c r="N214" s="17">
        <v>324</v>
      </c>
      <c r="O214" s="33">
        <f t="shared" si="41"/>
        <v>64.8</v>
      </c>
      <c r="P214" s="17">
        <v>73.599999999999994</v>
      </c>
      <c r="Q214" s="33">
        <f t="shared" si="42"/>
        <v>4.1351495836773537</v>
      </c>
      <c r="R214" s="58">
        <f t="shared" si="43"/>
        <v>6.72</v>
      </c>
      <c r="S214" s="17">
        <v>6601</v>
      </c>
      <c r="T214" s="17">
        <v>105</v>
      </c>
    </row>
    <row r="215" spans="1:20" x14ac:dyDescent="0.25">
      <c r="A215" s="32" t="str">
        <f t="shared" si="33"/>
        <v>RECC  150*100*5</v>
      </c>
      <c r="B215" s="33">
        <f t="shared" si="34"/>
        <v>18.334612674800994</v>
      </c>
      <c r="C215" s="17">
        <v>150</v>
      </c>
      <c r="D215" s="17">
        <v>100</v>
      </c>
      <c r="E215" s="17">
        <v>5</v>
      </c>
      <c r="F215" s="17">
        <f t="shared" si="35"/>
        <v>5</v>
      </c>
      <c r="G215" s="17">
        <f t="shared" si="36"/>
        <v>10</v>
      </c>
      <c r="H215" s="33">
        <f t="shared" si="37"/>
        <v>23.356194490192348</v>
      </c>
      <c r="I215" s="17">
        <v>739</v>
      </c>
      <c r="J215" s="33">
        <f t="shared" si="38"/>
        <v>98.533333333333331</v>
      </c>
      <c r="K215" s="17">
        <v>119</v>
      </c>
      <c r="L215" s="34">
        <f t="shared" si="39"/>
        <v>5.6249825264594735</v>
      </c>
      <c r="M215" s="35">
        <f t="shared" si="40"/>
        <v>13</v>
      </c>
      <c r="N215" s="17">
        <v>392</v>
      </c>
      <c r="O215" s="33">
        <f t="shared" si="41"/>
        <v>78.400000000000006</v>
      </c>
      <c r="P215" s="17">
        <v>90.1</v>
      </c>
      <c r="Q215" s="33">
        <f t="shared" si="42"/>
        <v>4.0967738622264562</v>
      </c>
      <c r="R215" s="58">
        <f t="shared" si="43"/>
        <v>8</v>
      </c>
      <c r="S215" s="17">
        <v>8067</v>
      </c>
      <c r="T215" s="17">
        <v>126.9</v>
      </c>
    </row>
    <row r="216" spans="1:20" x14ac:dyDescent="0.25">
      <c r="A216" s="32" t="str">
        <f t="shared" si="33"/>
        <v>RECC  150*100*6.3</v>
      </c>
      <c r="B216" s="33">
        <f t="shared" si="34"/>
        <v>22.411430110018735</v>
      </c>
      <c r="C216" s="17">
        <v>150</v>
      </c>
      <c r="D216" s="17">
        <v>100</v>
      </c>
      <c r="E216" s="17">
        <v>6.3</v>
      </c>
      <c r="F216" s="17">
        <f t="shared" si="35"/>
        <v>9.4499999999999993</v>
      </c>
      <c r="G216" s="17">
        <f t="shared" si="36"/>
        <v>15.75</v>
      </c>
      <c r="H216" s="33">
        <f t="shared" si="37"/>
        <v>28.549592496839153</v>
      </c>
      <c r="I216" s="17">
        <v>898</v>
      </c>
      <c r="J216" s="33">
        <f t="shared" si="38"/>
        <v>119.73333333333333</v>
      </c>
      <c r="K216" s="17">
        <v>147</v>
      </c>
      <c r="L216" s="34">
        <f t="shared" si="39"/>
        <v>5.6083900672182763</v>
      </c>
      <c r="M216" s="35">
        <f t="shared" si="40"/>
        <v>14.930999999999999</v>
      </c>
      <c r="N216" s="17">
        <v>474</v>
      </c>
      <c r="O216" s="33">
        <f t="shared" si="41"/>
        <v>94.8</v>
      </c>
      <c r="P216" s="17">
        <v>110</v>
      </c>
      <c r="Q216" s="33">
        <f t="shared" si="42"/>
        <v>4.0746397158885941</v>
      </c>
      <c r="R216" s="58">
        <f t="shared" si="43"/>
        <v>8.6310000000000002</v>
      </c>
      <c r="S216" s="17">
        <v>9865</v>
      </c>
      <c r="T216" s="17">
        <v>153.1</v>
      </c>
    </row>
    <row r="217" spans="1:20" x14ac:dyDescent="0.25">
      <c r="A217" s="32" t="str">
        <f t="shared" si="33"/>
        <v>RECC  150*100*8</v>
      </c>
      <c r="B217" s="33">
        <f t="shared" si="34"/>
        <v>27.665344596654048</v>
      </c>
      <c r="C217" s="17">
        <v>150</v>
      </c>
      <c r="D217" s="17">
        <v>100</v>
      </c>
      <c r="E217" s="17">
        <v>8</v>
      </c>
      <c r="F217" s="17">
        <f t="shared" si="35"/>
        <v>12</v>
      </c>
      <c r="G217" s="17">
        <f t="shared" si="36"/>
        <v>20</v>
      </c>
      <c r="H217" s="33">
        <f t="shared" si="37"/>
        <v>35.24247719318987</v>
      </c>
      <c r="I217" s="17">
        <v>1087</v>
      </c>
      <c r="J217" s="33">
        <f t="shared" si="38"/>
        <v>144.93333333333334</v>
      </c>
      <c r="K217" s="17">
        <v>180</v>
      </c>
      <c r="L217" s="34">
        <f t="shared" si="39"/>
        <v>5.5536890286622231</v>
      </c>
      <c r="M217" s="35">
        <f t="shared" si="40"/>
        <v>17.600000000000001</v>
      </c>
      <c r="N217" s="17">
        <v>569</v>
      </c>
      <c r="O217" s="33">
        <f t="shared" si="41"/>
        <v>113.8</v>
      </c>
      <c r="P217" s="17">
        <v>135</v>
      </c>
      <c r="Q217" s="33">
        <f t="shared" si="42"/>
        <v>4.0181201557019239</v>
      </c>
      <c r="R217" s="58">
        <f t="shared" si="43"/>
        <v>9.6</v>
      </c>
      <c r="S217" s="17">
        <v>12030</v>
      </c>
      <c r="T217" s="17">
        <v>183.5</v>
      </c>
    </row>
    <row r="218" spans="1:20" x14ac:dyDescent="0.25">
      <c r="A218" s="32" t="str">
        <f t="shared" si="33"/>
        <v>RECC  150*100*10</v>
      </c>
      <c r="B218" s="33">
        <f t="shared" si="34"/>
        <v>33.414600932271959</v>
      </c>
      <c r="C218" s="17">
        <v>150</v>
      </c>
      <c r="D218" s="17">
        <v>100</v>
      </c>
      <c r="E218" s="17">
        <v>10</v>
      </c>
      <c r="F218" s="17">
        <f t="shared" si="35"/>
        <v>15</v>
      </c>
      <c r="G218" s="17">
        <f t="shared" si="36"/>
        <v>25</v>
      </c>
      <c r="H218" s="33">
        <f t="shared" si="37"/>
        <v>42.56637061435918</v>
      </c>
      <c r="I218" s="17">
        <v>1282</v>
      </c>
      <c r="J218" s="33">
        <f t="shared" si="38"/>
        <v>170.93333333333334</v>
      </c>
      <c r="K218" s="17">
        <v>216</v>
      </c>
      <c r="L218" s="34">
        <f t="shared" si="39"/>
        <v>5.4879570217580431</v>
      </c>
      <c r="M218" s="35">
        <f t="shared" si="40"/>
        <v>20</v>
      </c>
      <c r="N218" s="17">
        <v>665</v>
      </c>
      <c r="O218" s="33">
        <f t="shared" si="41"/>
        <v>133</v>
      </c>
      <c r="P218" s="17">
        <v>161</v>
      </c>
      <c r="Q218" s="33">
        <f t="shared" si="42"/>
        <v>3.9525512664975113</v>
      </c>
      <c r="R218" s="58">
        <f t="shared" si="43"/>
        <v>10</v>
      </c>
      <c r="S218" s="17">
        <v>14320</v>
      </c>
      <c r="T218" s="17">
        <v>214.2</v>
      </c>
    </row>
    <row r="219" spans="1:20" x14ac:dyDescent="0.25">
      <c r="A219" s="32" t="str">
        <f t="shared" si="33"/>
        <v>RECC  150*100*12.5</v>
      </c>
      <c r="B219" s="33">
        <f t="shared" si="34"/>
        <v>38.891798695843654</v>
      </c>
      <c r="C219" s="17">
        <v>150</v>
      </c>
      <c r="D219" s="17">
        <v>100</v>
      </c>
      <c r="E219" s="17">
        <v>12.5</v>
      </c>
      <c r="F219" s="17">
        <f t="shared" si="35"/>
        <v>25</v>
      </c>
      <c r="G219" s="17">
        <f t="shared" si="36"/>
        <v>37.5</v>
      </c>
      <c r="H219" s="33">
        <f t="shared" si="37"/>
        <v>49.543692606170261</v>
      </c>
      <c r="I219" s="17">
        <v>1488</v>
      </c>
      <c r="J219" s="33">
        <f t="shared" si="38"/>
        <v>198.4</v>
      </c>
      <c r="K219" s="17">
        <v>256</v>
      </c>
      <c r="L219" s="34">
        <f t="shared" si="39"/>
        <v>5.4803371792039393</v>
      </c>
      <c r="M219" s="35">
        <f t="shared" si="40"/>
        <v>18.75</v>
      </c>
      <c r="N219" s="17">
        <v>763</v>
      </c>
      <c r="O219" s="33">
        <f t="shared" si="41"/>
        <v>152.6</v>
      </c>
      <c r="P219" s="17">
        <v>190</v>
      </c>
      <c r="Q219" s="33">
        <f t="shared" si="42"/>
        <v>3.9243531537651983</v>
      </c>
      <c r="R219" s="58">
        <f t="shared" si="43"/>
        <v>6.25</v>
      </c>
      <c r="S219" s="17">
        <v>16790</v>
      </c>
      <c r="T219" s="17">
        <v>245.5</v>
      </c>
    </row>
    <row r="220" spans="1:20" x14ac:dyDescent="0.25">
      <c r="A220" s="36" t="str">
        <f t="shared" si="33"/>
        <v>RECC  160*80*4</v>
      </c>
      <c r="B220" s="38">
        <f t="shared" si="34"/>
        <v>14.246152111872634</v>
      </c>
      <c r="C220" s="37">
        <v>160</v>
      </c>
      <c r="D220" s="37">
        <v>80</v>
      </c>
      <c r="E220" s="37">
        <v>4</v>
      </c>
      <c r="F220" s="37">
        <f t="shared" si="35"/>
        <v>4</v>
      </c>
      <c r="G220" s="37">
        <f t="shared" si="36"/>
        <v>8</v>
      </c>
      <c r="H220" s="38">
        <f t="shared" si="37"/>
        <v>18.1479644737231</v>
      </c>
      <c r="I220" s="37">
        <v>612</v>
      </c>
      <c r="J220" s="38">
        <f t="shared" si="38"/>
        <v>76.5</v>
      </c>
      <c r="K220" s="37">
        <v>94.7</v>
      </c>
      <c r="L220" s="39">
        <f t="shared" si="39"/>
        <v>5.8071327074908901</v>
      </c>
      <c r="M220" s="40">
        <f t="shared" si="40"/>
        <v>11.52</v>
      </c>
      <c r="N220" s="37">
        <v>207</v>
      </c>
      <c r="O220" s="38">
        <f t="shared" si="41"/>
        <v>51.75</v>
      </c>
      <c r="P220" s="37">
        <v>58.3</v>
      </c>
      <c r="Q220" s="38">
        <f t="shared" si="42"/>
        <v>3.3773122286277943</v>
      </c>
      <c r="R220" s="59">
        <f t="shared" si="43"/>
        <v>5.12</v>
      </c>
      <c r="S220" s="37">
        <v>4930</v>
      </c>
      <c r="T220" s="41">
        <v>88.08</v>
      </c>
    </row>
    <row r="221" spans="1:20" x14ac:dyDescent="0.25">
      <c r="A221" s="42" t="str">
        <f t="shared" si="33"/>
        <v>RECC  160*80*5</v>
      </c>
      <c r="B221" s="44">
        <f t="shared" si="34"/>
        <v>17.549612674800994</v>
      </c>
      <c r="C221" s="43">
        <v>160</v>
      </c>
      <c r="D221" s="43">
        <v>80</v>
      </c>
      <c r="E221" s="43">
        <v>5</v>
      </c>
      <c r="F221" s="43">
        <f t="shared" si="35"/>
        <v>5</v>
      </c>
      <c r="G221" s="43">
        <f t="shared" si="36"/>
        <v>10</v>
      </c>
      <c r="H221" s="44">
        <f t="shared" si="37"/>
        <v>22.356194490192348</v>
      </c>
      <c r="I221" s="43">
        <v>744</v>
      </c>
      <c r="J221" s="44">
        <f t="shared" si="38"/>
        <v>93</v>
      </c>
      <c r="K221" s="43">
        <v>116</v>
      </c>
      <c r="L221" s="45">
        <f t="shared" si="39"/>
        <v>5.7688271726583631</v>
      </c>
      <c r="M221" s="46">
        <f t="shared" si="40"/>
        <v>14</v>
      </c>
      <c r="N221" s="43">
        <v>249</v>
      </c>
      <c r="O221" s="44">
        <f t="shared" si="41"/>
        <v>62.25</v>
      </c>
      <c r="P221" s="43">
        <v>71.099999999999994</v>
      </c>
      <c r="Q221" s="44">
        <f t="shared" si="42"/>
        <v>3.3373421532590646</v>
      </c>
      <c r="R221" s="60">
        <f t="shared" si="43"/>
        <v>6</v>
      </c>
      <c r="S221" s="43">
        <v>6000</v>
      </c>
      <c r="T221" s="47">
        <v>106</v>
      </c>
    </row>
    <row r="222" spans="1:20" x14ac:dyDescent="0.25">
      <c r="A222" s="42" t="str">
        <f t="shared" si="33"/>
        <v>RECC  160*80*6.3</v>
      </c>
      <c r="B222" s="44">
        <f t="shared" si="34"/>
        <v>21.422330110018738</v>
      </c>
      <c r="C222" s="43">
        <v>160</v>
      </c>
      <c r="D222" s="43">
        <v>80</v>
      </c>
      <c r="E222" s="43">
        <v>6.3</v>
      </c>
      <c r="F222" s="43">
        <f t="shared" si="35"/>
        <v>9.4499999999999993</v>
      </c>
      <c r="G222" s="43">
        <f t="shared" si="36"/>
        <v>15.75</v>
      </c>
      <c r="H222" s="44">
        <f t="shared" si="37"/>
        <v>27.289592496839155</v>
      </c>
      <c r="I222" s="43">
        <v>903</v>
      </c>
      <c r="J222" s="44">
        <f t="shared" si="38"/>
        <v>112.875</v>
      </c>
      <c r="K222" s="43">
        <v>142</v>
      </c>
      <c r="L222" s="45">
        <f t="shared" si="39"/>
        <v>5.7523506246978391</v>
      </c>
      <c r="M222" s="46">
        <f t="shared" si="40"/>
        <v>16.190999999999999</v>
      </c>
      <c r="N222" s="43">
        <v>299</v>
      </c>
      <c r="O222" s="44">
        <f t="shared" si="41"/>
        <v>74.75</v>
      </c>
      <c r="P222" s="43">
        <v>86.8</v>
      </c>
      <c r="Q222" s="44">
        <f t="shared" si="42"/>
        <v>3.3100691670278328</v>
      </c>
      <c r="R222" s="60">
        <f t="shared" si="43"/>
        <v>6.1110000000000007</v>
      </c>
      <c r="S222" s="43">
        <v>7296</v>
      </c>
      <c r="T222" s="47">
        <v>127.1</v>
      </c>
    </row>
    <row r="223" spans="1:20" x14ac:dyDescent="0.25">
      <c r="A223" s="42" t="str">
        <f t="shared" si="33"/>
        <v>RECC  160*80*8</v>
      </c>
      <c r="B223" s="44">
        <f t="shared" si="34"/>
        <v>26.409344596654048</v>
      </c>
      <c r="C223" s="43">
        <v>160</v>
      </c>
      <c r="D223" s="43">
        <v>80</v>
      </c>
      <c r="E223" s="43">
        <v>8</v>
      </c>
      <c r="F223" s="43">
        <f t="shared" si="35"/>
        <v>12</v>
      </c>
      <c r="G223" s="43">
        <f t="shared" si="36"/>
        <v>20</v>
      </c>
      <c r="H223" s="44">
        <f t="shared" si="37"/>
        <v>33.642477193189869</v>
      </c>
      <c r="I223" s="43">
        <v>1091</v>
      </c>
      <c r="J223" s="44">
        <f t="shared" si="38"/>
        <v>136.375</v>
      </c>
      <c r="K223" s="43">
        <v>175</v>
      </c>
      <c r="L223" s="45">
        <f t="shared" si="39"/>
        <v>5.6946677671444421</v>
      </c>
      <c r="M223" s="46">
        <f t="shared" si="40"/>
        <v>19.2</v>
      </c>
      <c r="N223" s="43">
        <v>356</v>
      </c>
      <c r="O223" s="44">
        <f t="shared" si="41"/>
        <v>89</v>
      </c>
      <c r="P223" s="43">
        <v>106</v>
      </c>
      <c r="Q223" s="44">
        <f t="shared" si="42"/>
        <v>3.2529771724012861</v>
      </c>
      <c r="R223" s="60">
        <f t="shared" si="43"/>
        <v>6.4</v>
      </c>
      <c r="S223" s="43">
        <v>8831</v>
      </c>
      <c r="T223" s="47">
        <v>151.19999999999999</v>
      </c>
    </row>
    <row r="224" spans="1:20" x14ac:dyDescent="0.25">
      <c r="A224" s="42" t="str">
        <f t="shared" si="33"/>
        <v>RECC  160*80*10</v>
      </c>
      <c r="B224" s="44">
        <f t="shared" si="34"/>
        <v>31.844600932271959</v>
      </c>
      <c r="C224" s="43">
        <v>160</v>
      </c>
      <c r="D224" s="43">
        <v>80</v>
      </c>
      <c r="E224" s="43">
        <v>10</v>
      </c>
      <c r="F224" s="43">
        <f t="shared" si="35"/>
        <v>15</v>
      </c>
      <c r="G224" s="43">
        <f t="shared" si="36"/>
        <v>25</v>
      </c>
      <c r="H224" s="44">
        <f t="shared" si="37"/>
        <v>40.56637061435918</v>
      </c>
      <c r="I224" s="43">
        <v>1284</v>
      </c>
      <c r="J224" s="44">
        <f t="shared" si="38"/>
        <v>160.5</v>
      </c>
      <c r="K224" s="43">
        <v>209</v>
      </c>
      <c r="L224" s="45">
        <f t="shared" si="39"/>
        <v>5.6259962045225338</v>
      </c>
      <c r="M224" s="46">
        <f t="shared" si="40"/>
        <v>22</v>
      </c>
      <c r="N224" s="43">
        <v>411</v>
      </c>
      <c r="O224" s="44">
        <f t="shared" si="41"/>
        <v>102.75</v>
      </c>
      <c r="P224" s="43">
        <v>125</v>
      </c>
      <c r="Q224" s="44">
        <f t="shared" si="42"/>
        <v>3.1830087604525503</v>
      </c>
      <c r="R224" s="60">
        <f t="shared" si="43"/>
        <v>6</v>
      </c>
      <c r="S224" s="43">
        <v>10410</v>
      </c>
      <c r="T224" s="47">
        <v>174.8</v>
      </c>
    </row>
    <row r="225" spans="1:20" x14ac:dyDescent="0.25">
      <c r="A225" s="48" t="str">
        <f t="shared" si="33"/>
        <v>RECC  160*80*12.5</v>
      </c>
      <c r="B225" s="50">
        <f t="shared" si="34"/>
        <v>36.929298695843656</v>
      </c>
      <c r="C225" s="49">
        <v>160</v>
      </c>
      <c r="D225" s="49">
        <v>80</v>
      </c>
      <c r="E225" s="49">
        <v>12.5</v>
      </c>
      <c r="F225" s="49">
        <f t="shared" si="35"/>
        <v>25</v>
      </c>
      <c r="G225" s="49">
        <f t="shared" si="36"/>
        <v>37.5</v>
      </c>
      <c r="H225" s="50">
        <f t="shared" si="37"/>
        <v>47.043692606170261</v>
      </c>
      <c r="I225" s="49">
        <v>1485</v>
      </c>
      <c r="J225" s="50">
        <f t="shared" si="38"/>
        <v>185.625</v>
      </c>
      <c r="K225" s="49">
        <v>247</v>
      </c>
      <c r="L225" s="51">
        <f t="shared" si="39"/>
        <v>5.6183983136969307</v>
      </c>
      <c r="M225" s="52">
        <f t="shared" si="40"/>
        <v>21.25</v>
      </c>
      <c r="N225" s="49">
        <v>465</v>
      </c>
      <c r="O225" s="50">
        <f t="shared" si="41"/>
        <v>116.25</v>
      </c>
      <c r="P225" s="49">
        <v>146</v>
      </c>
      <c r="Q225" s="50">
        <f t="shared" si="42"/>
        <v>3.1439510430556301</v>
      </c>
      <c r="R225" s="61">
        <f t="shared" si="43"/>
        <v>1.25</v>
      </c>
      <c r="S225" s="49">
        <v>12040</v>
      </c>
      <c r="T225" s="53">
        <v>197.9</v>
      </c>
    </row>
    <row r="226" spans="1:20" x14ac:dyDescent="0.25">
      <c r="A226" s="32" t="str">
        <f t="shared" si="33"/>
        <v>RECC  180*100*4</v>
      </c>
      <c r="B226" s="33">
        <f t="shared" si="34"/>
        <v>16.758152111872633</v>
      </c>
      <c r="C226" s="17">
        <v>180</v>
      </c>
      <c r="D226" s="17">
        <v>100</v>
      </c>
      <c r="E226" s="17">
        <v>4</v>
      </c>
      <c r="F226" s="17">
        <f t="shared" si="35"/>
        <v>4</v>
      </c>
      <c r="G226" s="17">
        <f t="shared" si="36"/>
        <v>8</v>
      </c>
      <c r="H226" s="33">
        <f t="shared" si="37"/>
        <v>21.347964473723099</v>
      </c>
      <c r="I226" s="17">
        <v>945</v>
      </c>
      <c r="J226" s="33">
        <f t="shared" si="38"/>
        <v>105</v>
      </c>
      <c r="K226" s="17">
        <v>128</v>
      </c>
      <c r="L226" s="34">
        <f t="shared" si="39"/>
        <v>6.6533086120647704</v>
      </c>
      <c r="M226" s="35">
        <f t="shared" si="40"/>
        <v>13.120000000000001</v>
      </c>
      <c r="N226" s="17">
        <v>379</v>
      </c>
      <c r="O226" s="33">
        <f t="shared" si="41"/>
        <v>75.8</v>
      </c>
      <c r="P226" s="17">
        <v>85.2</v>
      </c>
      <c r="Q226" s="33">
        <f t="shared" si="42"/>
        <v>4.2134841958267399</v>
      </c>
      <c r="R226" s="58">
        <f t="shared" si="43"/>
        <v>6.72</v>
      </c>
      <c r="S226" s="17">
        <v>8521</v>
      </c>
      <c r="T226" s="17">
        <v>127.1</v>
      </c>
    </row>
    <row r="227" spans="1:20" x14ac:dyDescent="0.25">
      <c r="A227" s="32" t="str">
        <f t="shared" si="33"/>
        <v>RECC  180*100*5</v>
      </c>
      <c r="B227" s="33">
        <f t="shared" si="34"/>
        <v>20.689612674800994</v>
      </c>
      <c r="C227" s="17">
        <v>180</v>
      </c>
      <c r="D227" s="17">
        <v>100</v>
      </c>
      <c r="E227" s="17">
        <v>5</v>
      </c>
      <c r="F227" s="17">
        <f t="shared" si="35"/>
        <v>5</v>
      </c>
      <c r="G227" s="17">
        <f t="shared" si="36"/>
        <v>10</v>
      </c>
      <c r="H227" s="33">
        <f t="shared" si="37"/>
        <v>26.356194490192348</v>
      </c>
      <c r="I227" s="17">
        <v>1152</v>
      </c>
      <c r="J227" s="33">
        <f t="shared" si="38"/>
        <v>128</v>
      </c>
      <c r="K227" s="17">
        <v>157</v>
      </c>
      <c r="L227" s="34">
        <f t="shared" si="39"/>
        <v>6.6112699067804845</v>
      </c>
      <c r="M227" s="35">
        <f t="shared" si="40"/>
        <v>16</v>
      </c>
      <c r="N227" s="17">
        <v>460</v>
      </c>
      <c r="O227" s="33">
        <f t="shared" si="41"/>
        <v>92</v>
      </c>
      <c r="P227" s="17">
        <v>104</v>
      </c>
      <c r="Q227" s="33">
        <f t="shared" si="42"/>
        <v>4.1777030191768931</v>
      </c>
      <c r="R227" s="58">
        <f t="shared" si="43"/>
        <v>8</v>
      </c>
      <c r="S227" s="17">
        <v>10420</v>
      </c>
      <c r="T227" s="17">
        <v>154</v>
      </c>
    </row>
    <row r="228" spans="1:20" x14ac:dyDescent="0.25">
      <c r="A228" s="32" t="str">
        <f t="shared" si="33"/>
        <v>RECC  180*100*6.3</v>
      </c>
      <c r="B228" s="33">
        <f t="shared" si="34"/>
        <v>25.378730110018736</v>
      </c>
      <c r="C228" s="17">
        <v>180</v>
      </c>
      <c r="D228" s="17">
        <v>100</v>
      </c>
      <c r="E228" s="17">
        <v>6.3</v>
      </c>
      <c r="F228" s="17">
        <f t="shared" si="35"/>
        <v>9.4499999999999993</v>
      </c>
      <c r="G228" s="17">
        <f t="shared" si="36"/>
        <v>15.75</v>
      </c>
      <c r="H228" s="33">
        <f t="shared" si="37"/>
        <v>32.329592496839155</v>
      </c>
      <c r="I228" s="17">
        <v>1407</v>
      </c>
      <c r="J228" s="33">
        <f t="shared" si="38"/>
        <v>156.33333333333334</v>
      </c>
      <c r="K228" s="17">
        <v>194</v>
      </c>
      <c r="L228" s="34">
        <f t="shared" si="39"/>
        <v>6.5970068261338026</v>
      </c>
      <c r="M228" s="35">
        <f t="shared" si="40"/>
        <v>18.710999999999999</v>
      </c>
      <c r="N228" s="17">
        <v>557</v>
      </c>
      <c r="O228" s="33">
        <f t="shared" si="41"/>
        <v>111.4</v>
      </c>
      <c r="P228" s="17">
        <v>128</v>
      </c>
      <c r="Q228" s="33">
        <f t="shared" si="42"/>
        <v>4.1507586567049666</v>
      </c>
      <c r="R228" s="58">
        <f t="shared" si="43"/>
        <v>8.6310000000000002</v>
      </c>
      <c r="S228" s="17">
        <v>12770</v>
      </c>
      <c r="T228" s="17">
        <v>186.2</v>
      </c>
    </row>
    <row r="229" spans="1:20" x14ac:dyDescent="0.25">
      <c r="A229" s="32" t="str">
        <f t="shared" si="33"/>
        <v>RECC  180*100*8</v>
      </c>
      <c r="B229" s="33">
        <f t="shared" si="34"/>
        <v>31.433344596654052</v>
      </c>
      <c r="C229" s="17">
        <v>180</v>
      </c>
      <c r="D229" s="17">
        <v>100</v>
      </c>
      <c r="E229" s="17">
        <v>8</v>
      </c>
      <c r="F229" s="17">
        <f t="shared" si="35"/>
        <v>12</v>
      </c>
      <c r="G229" s="17">
        <f t="shared" si="36"/>
        <v>20</v>
      </c>
      <c r="H229" s="33">
        <f t="shared" si="37"/>
        <v>40.042477193189875</v>
      </c>
      <c r="I229" s="17">
        <v>1713</v>
      </c>
      <c r="J229" s="33">
        <f t="shared" si="38"/>
        <v>190.33333333333334</v>
      </c>
      <c r="K229" s="17">
        <v>239</v>
      </c>
      <c r="L229" s="34">
        <f t="shared" si="39"/>
        <v>6.5406093827217617</v>
      </c>
      <c r="M229" s="35">
        <f t="shared" si="40"/>
        <v>22.400000000000002</v>
      </c>
      <c r="N229" s="17">
        <v>671</v>
      </c>
      <c r="O229" s="33">
        <f t="shared" si="41"/>
        <v>134.19999999999999</v>
      </c>
      <c r="P229" s="17">
        <v>157</v>
      </c>
      <c r="Q229" s="33">
        <f t="shared" si="42"/>
        <v>4.093556525091806</v>
      </c>
      <c r="R229" s="58">
        <f t="shared" si="43"/>
        <v>9.6</v>
      </c>
      <c r="S229" s="17">
        <v>15600</v>
      </c>
      <c r="T229" s="17">
        <v>224.1</v>
      </c>
    </row>
    <row r="230" spans="1:20" x14ac:dyDescent="0.25">
      <c r="A230" s="32" t="str">
        <f t="shared" si="33"/>
        <v>RECC  180*100*10</v>
      </c>
      <c r="B230" s="33">
        <f t="shared" si="34"/>
        <v>38.12460093227196</v>
      </c>
      <c r="C230" s="17">
        <v>180</v>
      </c>
      <c r="D230" s="17">
        <v>100</v>
      </c>
      <c r="E230" s="17">
        <v>10</v>
      </c>
      <c r="F230" s="17">
        <f t="shared" si="35"/>
        <v>15</v>
      </c>
      <c r="G230" s="17">
        <f t="shared" si="36"/>
        <v>25</v>
      </c>
      <c r="H230" s="33">
        <f t="shared" si="37"/>
        <v>48.56637061435918</v>
      </c>
      <c r="I230" s="17">
        <v>2036</v>
      </c>
      <c r="J230" s="33">
        <f t="shared" si="38"/>
        <v>226.22222222222223</v>
      </c>
      <c r="K230" s="17">
        <v>288</v>
      </c>
      <c r="L230" s="34">
        <f t="shared" si="39"/>
        <v>6.4747210428620345</v>
      </c>
      <c r="M230" s="35">
        <f t="shared" si="40"/>
        <v>26</v>
      </c>
      <c r="N230" s="17">
        <v>787</v>
      </c>
      <c r="O230" s="33">
        <f t="shared" si="41"/>
        <v>157.4</v>
      </c>
      <c r="P230" s="17">
        <v>188</v>
      </c>
      <c r="Q230" s="33">
        <f t="shared" si="42"/>
        <v>4.0254973153533395</v>
      </c>
      <c r="R230" s="58">
        <f t="shared" si="43"/>
        <v>10</v>
      </c>
      <c r="S230" s="17">
        <v>18620</v>
      </c>
      <c r="T230" s="17">
        <v>262.8</v>
      </c>
    </row>
    <row r="231" spans="1:20" x14ac:dyDescent="0.25">
      <c r="A231" s="32" t="str">
        <f t="shared" si="33"/>
        <v>RECC  180*100*12.5</v>
      </c>
      <c r="B231" s="33">
        <f t="shared" si="34"/>
        <v>44.779298695843657</v>
      </c>
      <c r="C231" s="17">
        <v>180</v>
      </c>
      <c r="D231" s="17">
        <v>100</v>
      </c>
      <c r="E231" s="17">
        <v>12.5</v>
      </c>
      <c r="F231" s="17">
        <f t="shared" si="35"/>
        <v>25</v>
      </c>
      <c r="G231" s="17">
        <f t="shared" si="36"/>
        <v>37.5</v>
      </c>
      <c r="H231" s="33">
        <f t="shared" si="37"/>
        <v>57.043692606170261</v>
      </c>
      <c r="I231" s="17">
        <v>2385</v>
      </c>
      <c r="J231" s="33">
        <f t="shared" si="38"/>
        <v>265</v>
      </c>
      <c r="K231" s="17">
        <v>344</v>
      </c>
      <c r="L231" s="34">
        <f t="shared" si="39"/>
        <v>6.4660696184080608</v>
      </c>
      <c r="M231" s="35">
        <f t="shared" si="40"/>
        <v>26.25</v>
      </c>
      <c r="N231" s="17">
        <v>908</v>
      </c>
      <c r="O231" s="33">
        <f t="shared" si="41"/>
        <v>181.6</v>
      </c>
      <c r="P231" s="17">
        <v>223</v>
      </c>
      <c r="Q231" s="33">
        <f t="shared" si="42"/>
        <v>3.9896896013504528</v>
      </c>
      <c r="R231" s="58">
        <f t="shared" si="43"/>
        <v>6.25</v>
      </c>
      <c r="S231" s="17">
        <v>21910</v>
      </c>
      <c r="T231" s="17">
        <v>303.10000000000002</v>
      </c>
    </row>
    <row r="232" spans="1:20" x14ac:dyDescent="0.25">
      <c r="A232" s="36" t="str">
        <f t="shared" si="33"/>
        <v>RECC  200*100*4</v>
      </c>
      <c r="B232" s="38">
        <f t="shared" si="34"/>
        <v>18.014152111872633</v>
      </c>
      <c r="C232" s="37">
        <v>200</v>
      </c>
      <c r="D232" s="37">
        <v>100</v>
      </c>
      <c r="E232" s="37">
        <v>4</v>
      </c>
      <c r="F232" s="37">
        <f t="shared" si="35"/>
        <v>4</v>
      </c>
      <c r="G232" s="37">
        <f t="shared" si="36"/>
        <v>8</v>
      </c>
      <c r="H232" s="38">
        <f t="shared" si="37"/>
        <v>22.947964473723101</v>
      </c>
      <c r="I232" s="37">
        <v>1223</v>
      </c>
      <c r="J232" s="38">
        <f t="shared" si="38"/>
        <v>122.3</v>
      </c>
      <c r="K232" s="37">
        <v>150</v>
      </c>
      <c r="L232" s="39">
        <f t="shared" si="39"/>
        <v>7.3003073392467499</v>
      </c>
      <c r="M232" s="40">
        <f t="shared" si="40"/>
        <v>14.72</v>
      </c>
      <c r="N232" s="37">
        <v>416</v>
      </c>
      <c r="O232" s="38">
        <f t="shared" si="41"/>
        <v>83.2</v>
      </c>
      <c r="P232" s="37">
        <v>93</v>
      </c>
      <c r="Q232" s="38">
        <f t="shared" si="42"/>
        <v>4.2576953269453011</v>
      </c>
      <c r="R232" s="59">
        <f t="shared" si="43"/>
        <v>6.72</v>
      </c>
      <c r="S232" s="37">
        <v>9834</v>
      </c>
      <c r="T232" s="41">
        <v>141.9</v>
      </c>
    </row>
    <row r="233" spans="1:20" x14ac:dyDescent="0.25">
      <c r="A233" s="42" t="str">
        <f t="shared" si="33"/>
        <v>RECC  200*100*5</v>
      </c>
      <c r="B233" s="44">
        <f t="shared" si="34"/>
        <v>22.259612674800994</v>
      </c>
      <c r="C233" s="43">
        <v>200</v>
      </c>
      <c r="D233" s="43">
        <v>100</v>
      </c>
      <c r="E233" s="43">
        <v>5</v>
      </c>
      <c r="F233" s="43">
        <f t="shared" si="35"/>
        <v>5</v>
      </c>
      <c r="G233" s="43">
        <f t="shared" si="36"/>
        <v>10</v>
      </c>
      <c r="H233" s="44">
        <f t="shared" si="37"/>
        <v>28.356194490192348</v>
      </c>
      <c r="I233" s="43">
        <v>1495</v>
      </c>
      <c r="J233" s="44">
        <f t="shared" si="38"/>
        <v>149.5</v>
      </c>
      <c r="K233" s="43">
        <v>185</v>
      </c>
      <c r="L233" s="45">
        <f t="shared" si="39"/>
        <v>7.2610031156474335</v>
      </c>
      <c r="M233" s="46">
        <f t="shared" si="40"/>
        <v>18</v>
      </c>
      <c r="N233" s="43">
        <v>505</v>
      </c>
      <c r="O233" s="44">
        <f t="shared" si="41"/>
        <v>101</v>
      </c>
      <c r="P233" s="43">
        <v>114</v>
      </c>
      <c r="Q233" s="44">
        <f t="shared" si="42"/>
        <v>4.2200900269326924</v>
      </c>
      <c r="R233" s="60">
        <f t="shared" si="43"/>
        <v>8</v>
      </c>
      <c r="S233" s="43">
        <v>12040</v>
      </c>
      <c r="T233" s="47">
        <v>172</v>
      </c>
    </row>
    <row r="234" spans="1:20" x14ac:dyDescent="0.25">
      <c r="A234" s="42" t="str">
        <f t="shared" si="33"/>
        <v>RECC  200*100*6.3</v>
      </c>
      <c r="B234" s="44">
        <f t="shared" si="34"/>
        <v>27.356930110018741</v>
      </c>
      <c r="C234" s="43">
        <v>200</v>
      </c>
      <c r="D234" s="43">
        <v>100</v>
      </c>
      <c r="E234" s="43">
        <v>6.3</v>
      </c>
      <c r="F234" s="43">
        <f t="shared" si="35"/>
        <v>9.4499999999999993</v>
      </c>
      <c r="G234" s="43">
        <f t="shared" si="36"/>
        <v>15.75</v>
      </c>
      <c r="H234" s="44">
        <f t="shared" si="37"/>
        <v>34.849592496839158</v>
      </c>
      <c r="I234" s="43">
        <v>1829</v>
      </c>
      <c r="J234" s="44">
        <f t="shared" si="38"/>
        <v>182.9</v>
      </c>
      <c r="K234" s="43">
        <v>228</v>
      </c>
      <c r="L234" s="45">
        <f t="shared" si="39"/>
        <v>7.2444930588884482</v>
      </c>
      <c r="M234" s="46">
        <f t="shared" si="40"/>
        <v>21.230999999999998</v>
      </c>
      <c r="N234" s="43">
        <v>613</v>
      </c>
      <c r="O234" s="44">
        <f t="shared" si="41"/>
        <v>122.6</v>
      </c>
      <c r="P234" s="43">
        <v>140</v>
      </c>
      <c r="Q234" s="44">
        <f t="shared" si="42"/>
        <v>4.1940285757048787</v>
      </c>
      <c r="R234" s="60">
        <f t="shared" si="43"/>
        <v>8.6310000000000002</v>
      </c>
      <c r="S234" s="43">
        <v>14750</v>
      </c>
      <c r="T234" s="47">
        <v>208.4</v>
      </c>
    </row>
    <row r="235" spans="1:20" x14ac:dyDescent="0.25">
      <c r="A235" s="42" t="str">
        <f t="shared" ref="A235:A281" si="44">$B$169&amp;"  "&amp;C235&amp;"*"&amp;D235&amp;"*"&amp;E235</f>
        <v>RECC  200*100*8</v>
      </c>
      <c r="B235" s="44">
        <f t="shared" si="34"/>
        <v>33.945344596654053</v>
      </c>
      <c r="C235" s="43">
        <v>200</v>
      </c>
      <c r="D235" s="43">
        <v>100</v>
      </c>
      <c r="E235" s="43">
        <v>8</v>
      </c>
      <c r="F235" s="43">
        <f t="shared" si="35"/>
        <v>12</v>
      </c>
      <c r="G235" s="43">
        <f t="shared" si="36"/>
        <v>20</v>
      </c>
      <c r="H235" s="44">
        <f t="shared" si="37"/>
        <v>43.24247719318987</v>
      </c>
      <c r="I235" s="43">
        <v>2234</v>
      </c>
      <c r="J235" s="44">
        <f t="shared" si="38"/>
        <v>223.4</v>
      </c>
      <c r="K235" s="43">
        <v>282</v>
      </c>
      <c r="L235" s="45">
        <f t="shared" si="39"/>
        <v>7.1876397510223606</v>
      </c>
      <c r="M235" s="46">
        <f t="shared" si="40"/>
        <v>25.6</v>
      </c>
      <c r="N235" s="43">
        <v>739</v>
      </c>
      <c r="O235" s="44">
        <f t="shared" si="41"/>
        <v>147.80000000000001</v>
      </c>
      <c r="P235" s="43">
        <v>172</v>
      </c>
      <c r="Q235" s="44">
        <f t="shared" si="42"/>
        <v>4.1339663450565407</v>
      </c>
      <c r="R235" s="60">
        <f t="shared" si="43"/>
        <v>9.6</v>
      </c>
      <c r="S235" s="43">
        <v>18040</v>
      </c>
      <c r="T235" s="47">
        <v>251.2</v>
      </c>
    </row>
    <row r="236" spans="1:20" x14ac:dyDescent="0.25">
      <c r="A236" s="42" t="str">
        <f t="shared" si="44"/>
        <v>RECC  200*100*10</v>
      </c>
      <c r="B236" s="44">
        <f t="shared" si="34"/>
        <v>41.264600932271961</v>
      </c>
      <c r="C236" s="43">
        <v>200</v>
      </c>
      <c r="D236" s="43">
        <v>100</v>
      </c>
      <c r="E236" s="43">
        <v>10</v>
      </c>
      <c r="F236" s="43">
        <f t="shared" si="35"/>
        <v>15</v>
      </c>
      <c r="G236" s="43">
        <f t="shared" si="36"/>
        <v>25</v>
      </c>
      <c r="H236" s="44">
        <f t="shared" si="37"/>
        <v>52.56637061435918</v>
      </c>
      <c r="I236" s="43">
        <v>2664</v>
      </c>
      <c r="J236" s="44">
        <f t="shared" si="38"/>
        <v>266.39999999999998</v>
      </c>
      <c r="K236" s="43">
        <v>341</v>
      </c>
      <c r="L236" s="45">
        <f t="shared" si="39"/>
        <v>7.1189036310044367</v>
      </c>
      <c r="M236" s="46">
        <f t="shared" si="40"/>
        <v>30</v>
      </c>
      <c r="N236" s="43">
        <v>869</v>
      </c>
      <c r="O236" s="44">
        <f t="shared" si="41"/>
        <v>173.8</v>
      </c>
      <c r="P236" s="43">
        <v>206</v>
      </c>
      <c r="Q236" s="44">
        <f t="shared" si="42"/>
        <v>4.0658924994468055</v>
      </c>
      <c r="R236" s="60">
        <f t="shared" si="43"/>
        <v>10</v>
      </c>
      <c r="S236" s="43">
        <v>21560</v>
      </c>
      <c r="T236" s="47">
        <v>295.3</v>
      </c>
    </row>
    <row r="237" spans="1:20" x14ac:dyDescent="0.25">
      <c r="A237" s="42" t="str">
        <f t="shared" si="44"/>
        <v>RECC  200*100*12.5</v>
      </c>
      <c r="B237" s="44">
        <f t="shared" si="34"/>
        <v>48.704298695843654</v>
      </c>
      <c r="C237" s="43">
        <v>200</v>
      </c>
      <c r="D237" s="43">
        <v>100</v>
      </c>
      <c r="E237" s="43">
        <v>12.5</v>
      </c>
      <c r="F237" s="43">
        <f t="shared" si="35"/>
        <v>25</v>
      </c>
      <c r="G237" s="43">
        <f t="shared" si="36"/>
        <v>37.5</v>
      </c>
      <c r="H237" s="44">
        <f t="shared" si="37"/>
        <v>62.043692606170261</v>
      </c>
      <c r="I237" s="43">
        <v>3136</v>
      </c>
      <c r="J237" s="44">
        <f t="shared" si="38"/>
        <v>313.60000000000002</v>
      </c>
      <c r="K237" s="43">
        <v>408</v>
      </c>
      <c r="L237" s="45">
        <f t="shared" si="39"/>
        <v>7.1095024508598454</v>
      </c>
      <c r="M237" s="46">
        <f t="shared" si="40"/>
        <v>31.25</v>
      </c>
      <c r="N237" s="43">
        <v>1004</v>
      </c>
      <c r="O237" s="44">
        <f t="shared" si="41"/>
        <v>200.8</v>
      </c>
      <c r="P237" s="43">
        <v>245</v>
      </c>
      <c r="Q237" s="44">
        <f t="shared" si="42"/>
        <v>4.022703632514304</v>
      </c>
      <c r="R237" s="60">
        <f t="shared" si="43"/>
        <v>6.25</v>
      </c>
      <c r="S237" s="43">
        <v>25410</v>
      </c>
      <c r="T237" s="47">
        <v>341.5</v>
      </c>
    </row>
    <row r="238" spans="1:20" x14ac:dyDescent="0.25">
      <c r="A238" s="48" t="str">
        <f t="shared" si="44"/>
        <v>RECC  200*100*16</v>
      </c>
      <c r="B238" s="50">
        <f t="shared" si="34"/>
        <v>58.696322983270242</v>
      </c>
      <c r="C238" s="49">
        <v>200</v>
      </c>
      <c r="D238" s="49">
        <v>100</v>
      </c>
      <c r="E238" s="49">
        <v>16</v>
      </c>
      <c r="F238" s="49">
        <f t="shared" si="35"/>
        <v>32</v>
      </c>
      <c r="G238" s="49">
        <f t="shared" si="36"/>
        <v>48</v>
      </c>
      <c r="H238" s="50">
        <f t="shared" si="37"/>
        <v>74.772385965949354</v>
      </c>
      <c r="I238" s="49">
        <v>3678</v>
      </c>
      <c r="J238" s="50">
        <f t="shared" si="38"/>
        <v>367.8</v>
      </c>
      <c r="K238" s="49">
        <v>491</v>
      </c>
      <c r="L238" s="51">
        <f t="shared" si="39"/>
        <v>7.0135071312163753</v>
      </c>
      <c r="M238" s="52">
        <f t="shared" si="40"/>
        <v>33.28</v>
      </c>
      <c r="N238" s="49">
        <v>1147</v>
      </c>
      <c r="O238" s="50">
        <f t="shared" si="41"/>
        <v>229.4</v>
      </c>
      <c r="P238" s="49">
        <v>290</v>
      </c>
      <c r="Q238" s="50">
        <f t="shared" si="42"/>
        <v>3.9166168627354536</v>
      </c>
      <c r="R238" s="61">
        <f t="shared" si="43"/>
        <v>1.28</v>
      </c>
      <c r="S238" s="49">
        <v>29820</v>
      </c>
      <c r="T238" s="53">
        <v>391.1</v>
      </c>
    </row>
    <row r="239" spans="1:20" x14ac:dyDescent="0.25">
      <c r="A239" s="32" t="str">
        <f t="shared" si="44"/>
        <v>RECC  200*120*6.3</v>
      </c>
      <c r="B239" s="33">
        <f t="shared" si="34"/>
        <v>29.335130110018738</v>
      </c>
      <c r="C239" s="17">
        <v>200</v>
      </c>
      <c r="D239" s="17">
        <v>120</v>
      </c>
      <c r="E239" s="17">
        <v>6.3</v>
      </c>
      <c r="F239" s="17">
        <f t="shared" si="35"/>
        <v>9.4499999999999993</v>
      </c>
      <c r="G239" s="17">
        <f t="shared" si="36"/>
        <v>15.75</v>
      </c>
      <c r="H239" s="33">
        <f t="shared" si="37"/>
        <v>37.369592496839154</v>
      </c>
      <c r="I239" s="17">
        <v>2065</v>
      </c>
      <c r="J239" s="33">
        <f t="shared" si="38"/>
        <v>206.5</v>
      </c>
      <c r="K239" s="17">
        <v>253</v>
      </c>
      <c r="L239" s="34">
        <f t="shared" si="39"/>
        <v>7.4336283938888297</v>
      </c>
      <c r="M239" s="35">
        <f t="shared" si="40"/>
        <v>21.230999999999998</v>
      </c>
      <c r="N239" s="17">
        <v>929</v>
      </c>
      <c r="O239" s="33">
        <f t="shared" si="41"/>
        <v>154.83333333333334</v>
      </c>
      <c r="P239" s="17">
        <v>177</v>
      </c>
      <c r="Q239" s="33">
        <f t="shared" si="42"/>
        <v>4.9859586904794826</v>
      </c>
      <c r="R239" s="58">
        <f t="shared" si="43"/>
        <v>11.151</v>
      </c>
      <c r="S239" s="17">
        <v>20280</v>
      </c>
      <c r="T239" s="17">
        <v>255.5</v>
      </c>
    </row>
    <row r="240" spans="1:20" x14ac:dyDescent="0.25">
      <c r="A240" s="32" t="str">
        <f t="shared" si="44"/>
        <v>RECC  200*120*8</v>
      </c>
      <c r="B240" s="33">
        <f t="shared" si="34"/>
        <v>36.457344596654053</v>
      </c>
      <c r="C240" s="17">
        <v>200</v>
      </c>
      <c r="D240" s="17">
        <v>120</v>
      </c>
      <c r="E240" s="17">
        <v>8</v>
      </c>
      <c r="F240" s="17">
        <f t="shared" si="35"/>
        <v>12</v>
      </c>
      <c r="G240" s="17">
        <f t="shared" si="36"/>
        <v>20</v>
      </c>
      <c r="H240" s="33">
        <f t="shared" si="37"/>
        <v>46.442477193189873</v>
      </c>
      <c r="I240" s="17">
        <v>2529</v>
      </c>
      <c r="J240" s="33">
        <f t="shared" si="38"/>
        <v>252.9</v>
      </c>
      <c r="K240" s="17">
        <v>313</v>
      </c>
      <c r="L240" s="34">
        <f t="shared" si="39"/>
        <v>7.3793265032923179</v>
      </c>
      <c r="M240" s="35">
        <f t="shared" si="40"/>
        <v>25.6</v>
      </c>
      <c r="N240" s="17">
        <v>1128</v>
      </c>
      <c r="O240" s="33">
        <f t="shared" si="41"/>
        <v>188</v>
      </c>
      <c r="P240" s="17">
        <v>218</v>
      </c>
      <c r="Q240" s="33">
        <f t="shared" si="42"/>
        <v>4.9282968775474147</v>
      </c>
      <c r="R240" s="58">
        <f t="shared" si="43"/>
        <v>12.8</v>
      </c>
      <c r="S240" s="17">
        <v>24950</v>
      </c>
      <c r="T240" s="17">
        <v>309.89999999999998</v>
      </c>
    </row>
    <row r="241" spans="1:20" x14ac:dyDescent="0.25">
      <c r="A241" s="32" t="str">
        <f t="shared" si="44"/>
        <v>RECC  200*120*10</v>
      </c>
      <c r="B241" s="33">
        <f t="shared" si="34"/>
        <v>44.404600932271961</v>
      </c>
      <c r="C241" s="17">
        <v>200</v>
      </c>
      <c r="D241" s="17">
        <v>120</v>
      </c>
      <c r="E241" s="17">
        <v>10</v>
      </c>
      <c r="F241" s="17">
        <f t="shared" si="35"/>
        <v>15</v>
      </c>
      <c r="G241" s="17">
        <f t="shared" si="36"/>
        <v>25</v>
      </c>
      <c r="H241" s="33">
        <f t="shared" si="37"/>
        <v>56.56637061435918</v>
      </c>
      <c r="I241" s="17">
        <v>3026</v>
      </c>
      <c r="J241" s="33">
        <f t="shared" si="38"/>
        <v>302.60000000000002</v>
      </c>
      <c r="K241" s="17">
        <v>379</v>
      </c>
      <c r="L241" s="34">
        <f t="shared" si="39"/>
        <v>7.3140058695749506</v>
      </c>
      <c r="M241" s="35">
        <f t="shared" si="40"/>
        <v>30</v>
      </c>
      <c r="N241" s="17">
        <v>1337</v>
      </c>
      <c r="O241" s="33">
        <f t="shared" si="41"/>
        <v>222.83333333333334</v>
      </c>
      <c r="P241" s="17">
        <v>263</v>
      </c>
      <c r="Q241" s="33">
        <f t="shared" si="42"/>
        <v>4.8616819759060865</v>
      </c>
      <c r="R241" s="58">
        <f t="shared" si="43"/>
        <v>14</v>
      </c>
      <c r="S241" s="17">
        <v>30010</v>
      </c>
      <c r="T241" s="17">
        <v>366.9</v>
      </c>
    </row>
    <row r="242" spans="1:20" x14ac:dyDescent="0.25">
      <c r="A242" s="32" t="str">
        <f t="shared" si="44"/>
        <v>RECC  200*120*12.5</v>
      </c>
      <c r="B242" s="33">
        <f t="shared" si="34"/>
        <v>52.629298695843666</v>
      </c>
      <c r="C242" s="17">
        <v>200</v>
      </c>
      <c r="D242" s="17">
        <v>120</v>
      </c>
      <c r="E242" s="17">
        <v>12.5</v>
      </c>
      <c r="F242" s="17">
        <f t="shared" si="35"/>
        <v>25</v>
      </c>
      <c r="G242" s="17">
        <f t="shared" si="36"/>
        <v>37.5</v>
      </c>
      <c r="H242" s="33">
        <f t="shared" si="37"/>
        <v>67.043692606170268</v>
      </c>
      <c r="I242" s="17">
        <v>3576</v>
      </c>
      <c r="J242" s="33">
        <f t="shared" si="38"/>
        <v>357.6</v>
      </c>
      <c r="K242" s="17">
        <v>455</v>
      </c>
      <c r="L242" s="34">
        <f t="shared" si="39"/>
        <v>7.3033109527297402</v>
      </c>
      <c r="M242" s="35">
        <f t="shared" si="40"/>
        <v>31.25</v>
      </c>
      <c r="N242" s="17">
        <v>1562</v>
      </c>
      <c r="O242" s="33">
        <f t="shared" si="41"/>
        <v>260.33333333333331</v>
      </c>
      <c r="P242" s="17">
        <v>314</v>
      </c>
      <c r="Q242" s="33">
        <f t="shared" si="42"/>
        <v>4.8268249803646306</v>
      </c>
      <c r="R242" s="58">
        <f t="shared" si="43"/>
        <v>11.25</v>
      </c>
      <c r="S242" s="17">
        <v>35690</v>
      </c>
      <c r="T242" s="17">
        <v>428.3</v>
      </c>
    </row>
    <row r="243" spans="1:20" x14ac:dyDescent="0.25">
      <c r="A243" s="36" t="str">
        <f t="shared" si="44"/>
        <v>RECC  250*150*6.3</v>
      </c>
      <c r="B243" s="38">
        <f t="shared" si="34"/>
        <v>37.247930110018743</v>
      </c>
      <c r="C243" s="37">
        <v>250</v>
      </c>
      <c r="D243" s="37">
        <v>150</v>
      </c>
      <c r="E243" s="37">
        <v>6.3</v>
      </c>
      <c r="F243" s="37">
        <f t="shared" si="35"/>
        <v>9.4499999999999993</v>
      </c>
      <c r="G243" s="37">
        <f t="shared" si="36"/>
        <v>15.75</v>
      </c>
      <c r="H243" s="38">
        <f t="shared" si="37"/>
        <v>47.449592496839159</v>
      </c>
      <c r="I243" s="37">
        <v>4143</v>
      </c>
      <c r="J243" s="38">
        <f t="shared" si="38"/>
        <v>331.44</v>
      </c>
      <c r="K243" s="37">
        <v>402</v>
      </c>
      <c r="L243" s="39">
        <f t="shared" si="39"/>
        <v>9.3441805882834004</v>
      </c>
      <c r="M243" s="40">
        <f t="shared" si="40"/>
        <v>27.530999999999999</v>
      </c>
      <c r="N243" s="37">
        <v>1874</v>
      </c>
      <c r="O243" s="38">
        <f t="shared" si="41"/>
        <v>249.86666666666667</v>
      </c>
      <c r="P243" s="37">
        <v>283</v>
      </c>
      <c r="Q243" s="38">
        <f t="shared" si="42"/>
        <v>6.2844684426754238</v>
      </c>
      <c r="R243" s="59">
        <f t="shared" si="43"/>
        <v>14.930999999999999</v>
      </c>
      <c r="S243" s="37">
        <v>40540</v>
      </c>
      <c r="T243" s="41">
        <v>412.9</v>
      </c>
    </row>
    <row r="244" spans="1:20" x14ac:dyDescent="0.25">
      <c r="A244" s="42" t="str">
        <f t="shared" si="44"/>
        <v>RECC  250*150*8</v>
      </c>
      <c r="B244" s="44">
        <f t="shared" si="34"/>
        <v>46.505344596654048</v>
      </c>
      <c r="C244" s="43">
        <v>250</v>
      </c>
      <c r="D244" s="43">
        <v>150</v>
      </c>
      <c r="E244" s="43">
        <v>8</v>
      </c>
      <c r="F244" s="43">
        <f t="shared" si="35"/>
        <v>12</v>
      </c>
      <c r="G244" s="43">
        <f t="shared" si="36"/>
        <v>20</v>
      </c>
      <c r="H244" s="44">
        <f t="shared" si="37"/>
        <v>59.24247719318987</v>
      </c>
      <c r="I244" s="43">
        <v>5111</v>
      </c>
      <c r="J244" s="44">
        <f t="shared" si="38"/>
        <v>408.88</v>
      </c>
      <c r="K244" s="43">
        <v>501</v>
      </c>
      <c r="L244" s="45">
        <f t="shared" si="39"/>
        <v>9.2883021678266342</v>
      </c>
      <c r="M244" s="46">
        <f t="shared" si="40"/>
        <v>33.6</v>
      </c>
      <c r="N244" s="43">
        <v>2298</v>
      </c>
      <c r="O244" s="44">
        <f t="shared" si="41"/>
        <v>306.39999999999998</v>
      </c>
      <c r="P244" s="43">
        <v>350</v>
      </c>
      <c r="Q244" s="44">
        <f t="shared" si="42"/>
        <v>6.228140585341718</v>
      </c>
      <c r="R244" s="60">
        <f t="shared" si="43"/>
        <v>17.600000000000001</v>
      </c>
      <c r="S244" s="43">
        <v>50210</v>
      </c>
      <c r="T244" s="47">
        <v>505.6</v>
      </c>
    </row>
    <row r="245" spans="1:20" x14ac:dyDescent="0.25">
      <c r="A245" s="42" t="str">
        <f t="shared" si="44"/>
        <v>RECC  250*150*10</v>
      </c>
      <c r="B245" s="44">
        <f t="shared" si="34"/>
        <v>56.964600932271949</v>
      </c>
      <c r="C245" s="43">
        <v>250</v>
      </c>
      <c r="D245" s="43">
        <v>150</v>
      </c>
      <c r="E245" s="43">
        <v>10</v>
      </c>
      <c r="F245" s="43">
        <f t="shared" si="35"/>
        <v>15</v>
      </c>
      <c r="G245" s="43">
        <f t="shared" si="36"/>
        <v>25</v>
      </c>
      <c r="H245" s="44">
        <f t="shared" si="37"/>
        <v>72.566370614359172</v>
      </c>
      <c r="I245" s="43">
        <v>6174</v>
      </c>
      <c r="J245" s="44">
        <f t="shared" si="38"/>
        <v>493.92</v>
      </c>
      <c r="K245" s="43">
        <v>611</v>
      </c>
      <c r="L245" s="45">
        <f t="shared" si="39"/>
        <v>9.2239217775516735</v>
      </c>
      <c r="M245" s="46">
        <f t="shared" si="40"/>
        <v>40</v>
      </c>
      <c r="N245" s="43">
        <v>2755</v>
      </c>
      <c r="O245" s="44">
        <f t="shared" si="41"/>
        <v>367.33333333333331</v>
      </c>
      <c r="P245" s="43">
        <v>426</v>
      </c>
      <c r="Q245" s="44">
        <f t="shared" si="42"/>
        <v>6.1615943115967431</v>
      </c>
      <c r="R245" s="60">
        <f t="shared" si="43"/>
        <v>20</v>
      </c>
      <c r="S245" s="43">
        <v>60900</v>
      </c>
      <c r="T245" s="47">
        <v>605.20000000000005</v>
      </c>
    </row>
    <row r="246" spans="1:20" x14ac:dyDescent="0.25">
      <c r="A246" s="42" t="str">
        <f t="shared" si="44"/>
        <v>RECC  250*150*12.5</v>
      </c>
      <c r="B246" s="44">
        <f t="shared" si="34"/>
        <v>68.329298695843661</v>
      </c>
      <c r="C246" s="43">
        <v>250</v>
      </c>
      <c r="D246" s="43">
        <v>150</v>
      </c>
      <c r="E246" s="43">
        <v>12.5</v>
      </c>
      <c r="F246" s="43">
        <f t="shared" si="35"/>
        <v>25</v>
      </c>
      <c r="G246" s="43">
        <f t="shared" si="36"/>
        <v>37.5</v>
      </c>
      <c r="H246" s="44">
        <f t="shared" si="37"/>
        <v>87.043692606170268</v>
      </c>
      <c r="I246" s="43">
        <v>7387</v>
      </c>
      <c r="J246" s="44">
        <f t="shared" si="38"/>
        <v>590.96</v>
      </c>
      <c r="K246" s="43">
        <v>740</v>
      </c>
      <c r="L246" s="45">
        <f t="shared" si="39"/>
        <v>9.2122432329920212</v>
      </c>
      <c r="M246" s="46">
        <f t="shared" si="40"/>
        <v>43.75</v>
      </c>
      <c r="N246" s="43">
        <v>3265</v>
      </c>
      <c r="O246" s="44">
        <f t="shared" si="41"/>
        <v>435.33333333333331</v>
      </c>
      <c r="P246" s="43">
        <v>514</v>
      </c>
      <c r="Q246" s="44">
        <f t="shared" si="42"/>
        <v>6.1245324426890031</v>
      </c>
      <c r="R246" s="60">
        <f t="shared" si="43"/>
        <v>18.75</v>
      </c>
      <c r="S246" s="43">
        <v>73260</v>
      </c>
      <c r="T246" s="47">
        <v>716.6</v>
      </c>
    </row>
    <row r="247" spans="1:20" x14ac:dyDescent="0.25">
      <c r="A247" s="42" t="str">
        <f t="shared" si="44"/>
        <v>RECC  250*150*14.2</v>
      </c>
      <c r="B247" s="44">
        <f t="shared" si="34"/>
        <v>76.050750649791439</v>
      </c>
      <c r="C247" s="43">
        <v>250</v>
      </c>
      <c r="D247" s="43">
        <v>150</v>
      </c>
      <c r="E247" s="43">
        <v>14.2</v>
      </c>
      <c r="F247" s="43">
        <f t="shared" si="35"/>
        <v>28.4</v>
      </c>
      <c r="G247" s="43">
        <f t="shared" si="36"/>
        <v>42.599999999999994</v>
      </c>
      <c r="H247" s="44">
        <f t="shared" si="37"/>
        <v>96.879937133492277</v>
      </c>
      <c r="I247" s="43">
        <v>8141</v>
      </c>
      <c r="J247" s="44">
        <f t="shared" si="38"/>
        <v>651.28</v>
      </c>
      <c r="K247" s="43">
        <v>823</v>
      </c>
      <c r="L247" s="45">
        <f t="shared" si="39"/>
        <v>9.1668885908312792</v>
      </c>
      <c r="M247" s="46">
        <f t="shared" si="40"/>
        <v>46.803199999999997</v>
      </c>
      <c r="N247" s="43">
        <v>3576</v>
      </c>
      <c r="O247" s="44">
        <f t="shared" si="41"/>
        <v>476.8</v>
      </c>
      <c r="P247" s="43">
        <v>570</v>
      </c>
      <c r="Q247" s="44">
        <f t="shared" si="42"/>
        <v>6.0754972819033908</v>
      </c>
      <c r="R247" s="60">
        <f t="shared" si="43"/>
        <v>18.403200000000002</v>
      </c>
      <c r="S247" s="43">
        <v>81020</v>
      </c>
      <c r="T247" s="47">
        <v>784.4</v>
      </c>
    </row>
    <row r="248" spans="1:20" x14ac:dyDescent="0.25">
      <c r="A248" s="48" t="str">
        <f t="shared" si="44"/>
        <v>RECC  250*150*16</v>
      </c>
      <c r="B248" s="50">
        <f t="shared" si="34"/>
        <v>83.816322983270254</v>
      </c>
      <c r="C248" s="49">
        <v>250</v>
      </c>
      <c r="D248" s="49">
        <v>150</v>
      </c>
      <c r="E248" s="49">
        <v>16</v>
      </c>
      <c r="F248" s="49">
        <f t="shared" si="35"/>
        <v>32</v>
      </c>
      <c r="G248" s="49">
        <f t="shared" si="36"/>
        <v>48</v>
      </c>
      <c r="H248" s="50">
        <f t="shared" si="37"/>
        <v>106.77238596594937</v>
      </c>
      <c r="I248" s="49">
        <v>8879</v>
      </c>
      <c r="J248" s="50">
        <f t="shared" si="38"/>
        <v>710.32</v>
      </c>
      <c r="K248" s="49">
        <v>906</v>
      </c>
      <c r="L248" s="51">
        <f t="shared" si="39"/>
        <v>9.1191120932899814</v>
      </c>
      <c r="M248" s="52">
        <f t="shared" si="40"/>
        <v>49.28</v>
      </c>
      <c r="N248" s="49">
        <v>3873</v>
      </c>
      <c r="O248" s="50">
        <f t="shared" si="41"/>
        <v>516.4</v>
      </c>
      <c r="P248" s="49">
        <v>625</v>
      </c>
      <c r="Q248" s="50">
        <f t="shared" si="42"/>
        <v>6.0227422110848137</v>
      </c>
      <c r="R248" s="61">
        <f t="shared" si="43"/>
        <v>17.28</v>
      </c>
      <c r="S248" s="49">
        <v>88680</v>
      </c>
      <c r="T248" s="53">
        <v>849.5</v>
      </c>
    </row>
    <row r="249" spans="1:20" x14ac:dyDescent="0.25">
      <c r="A249" s="32" t="str">
        <f t="shared" si="44"/>
        <v>RECC  260*180*6.3</v>
      </c>
      <c r="B249" s="33">
        <f t="shared" si="34"/>
        <v>41.204330110018738</v>
      </c>
      <c r="C249" s="17">
        <v>260</v>
      </c>
      <c r="D249" s="17">
        <v>180</v>
      </c>
      <c r="E249" s="17">
        <v>6.3</v>
      </c>
      <c r="F249" s="17">
        <f t="shared" si="35"/>
        <v>9.4499999999999993</v>
      </c>
      <c r="G249" s="17">
        <f t="shared" si="36"/>
        <v>15.75</v>
      </c>
      <c r="H249" s="33">
        <f t="shared" si="37"/>
        <v>52.489592496839158</v>
      </c>
      <c r="I249" s="17">
        <v>5166</v>
      </c>
      <c r="J249" s="33">
        <f t="shared" si="38"/>
        <v>397.38461538461536</v>
      </c>
      <c r="K249" s="17">
        <v>475</v>
      </c>
      <c r="L249" s="34">
        <f t="shared" si="39"/>
        <v>9.9206607895957077</v>
      </c>
      <c r="M249" s="35">
        <f t="shared" si="40"/>
        <v>28.791</v>
      </c>
      <c r="N249" s="17">
        <v>2929</v>
      </c>
      <c r="O249" s="33">
        <f t="shared" si="41"/>
        <v>325.44444444444446</v>
      </c>
      <c r="P249" s="17">
        <v>369</v>
      </c>
      <c r="Q249" s="33">
        <f t="shared" si="42"/>
        <v>7.4700427163756471</v>
      </c>
      <c r="R249" s="58">
        <f t="shared" si="43"/>
        <v>18.710999999999999</v>
      </c>
      <c r="S249" s="17">
        <v>58100</v>
      </c>
      <c r="T249" s="17">
        <v>523.70000000000005</v>
      </c>
    </row>
    <row r="250" spans="1:20" x14ac:dyDescent="0.25">
      <c r="A250" s="32" t="str">
        <f t="shared" si="44"/>
        <v>RECC  260*180*8</v>
      </c>
      <c r="B250" s="33">
        <f t="shared" si="34"/>
        <v>51.529344596654056</v>
      </c>
      <c r="C250" s="17">
        <v>260</v>
      </c>
      <c r="D250" s="17">
        <v>180</v>
      </c>
      <c r="E250" s="17">
        <v>8</v>
      </c>
      <c r="F250" s="17">
        <f t="shared" si="35"/>
        <v>12</v>
      </c>
      <c r="G250" s="17">
        <f t="shared" si="36"/>
        <v>20</v>
      </c>
      <c r="H250" s="33">
        <f t="shared" si="37"/>
        <v>65.642477193189876</v>
      </c>
      <c r="I250" s="17">
        <v>6390</v>
      </c>
      <c r="J250" s="33">
        <f t="shared" si="38"/>
        <v>491.53846153846155</v>
      </c>
      <c r="K250" s="17">
        <v>592</v>
      </c>
      <c r="L250" s="34">
        <f t="shared" si="39"/>
        <v>9.8663824982198705</v>
      </c>
      <c r="M250" s="35">
        <f t="shared" si="40"/>
        <v>35.200000000000003</v>
      </c>
      <c r="N250" s="17">
        <v>3608</v>
      </c>
      <c r="O250" s="33">
        <f t="shared" si="41"/>
        <v>400.88888888888891</v>
      </c>
      <c r="P250" s="17">
        <v>459</v>
      </c>
      <c r="Q250" s="33">
        <f t="shared" si="42"/>
        <v>7.4137985908088346</v>
      </c>
      <c r="R250" s="58">
        <f t="shared" si="43"/>
        <v>22.400000000000002</v>
      </c>
      <c r="S250" s="17">
        <v>72210</v>
      </c>
      <c r="T250" s="17">
        <v>644</v>
      </c>
    </row>
    <row r="251" spans="1:20" x14ac:dyDescent="0.25">
      <c r="A251" s="32" t="str">
        <f t="shared" si="44"/>
        <v>RECC  260*180*10</v>
      </c>
      <c r="B251" s="33">
        <f t="shared" si="34"/>
        <v>63.24460093227195</v>
      </c>
      <c r="C251" s="17">
        <v>260</v>
      </c>
      <c r="D251" s="17">
        <v>180</v>
      </c>
      <c r="E251" s="17">
        <v>10</v>
      </c>
      <c r="F251" s="17">
        <f t="shared" si="35"/>
        <v>15</v>
      </c>
      <c r="G251" s="17">
        <f t="shared" si="36"/>
        <v>25</v>
      </c>
      <c r="H251" s="33">
        <f t="shared" si="37"/>
        <v>80.566370614359172</v>
      </c>
      <c r="I251" s="17">
        <v>7741</v>
      </c>
      <c r="J251" s="33">
        <f t="shared" si="38"/>
        <v>595.46153846153845</v>
      </c>
      <c r="K251" s="17">
        <v>724</v>
      </c>
      <c r="L251" s="34">
        <f t="shared" si="39"/>
        <v>9.8021565383110705</v>
      </c>
      <c r="M251" s="35">
        <f t="shared" si="40"/>
        <v>42</v>
      </c>
      <c r="N251" s="17">
        <v>4351</v>
      </c>
      <c r="O251" s="33">
        <f t="shared" si="41"/>
        <v>483.44444444444446</v>
      </c>
      <c r="P251" s="17">
        <v>560</v>
      </c>
      <c r="Q251" s="33">
        <f t="shared" si="42"/>
        <v>7.3488205367374047</v>
      </c>
      <c r="R251" s="58">
        <f t="shared" si="43"/>
        <v>26</v>
      </c>
      <c r="S251" s="17">
        <v>87980</v>
      </c>
      <c r="T251" s="17">
        <v>775.1</v>
      </c>
    </row>
    <row r="252" spans="1:20" x14ac:dyDescent="0.25">
      <c r="A252" s="32" t="str">
        <f t="shared" si="44"/>
        <v>RECC  260*180*12.5</v>
      </c>
      <c r="B252" s="33">
        <f t="shared" si="34"/>
        <v>76.17929869584367</v>
      </c>
      <c r="C252" s="17">
        <v>260</v>
      </c>
      <c r="D252" s="17">
        <v>180</v>
      </c>
      <c r="E252" s="17">
        <v>12.5</v>
      </c>
      <c r="F252" s="17">
        <f t="shared" si="35"/>
        <v>25</v>
      </c>
      <c r="G252" s="17">
        <f t="shared" si="36"/>
        <v>37.5</v>
      </c>
      <c r="H252" s="33">
        <f t="shared" si="37"/>
        <v>97.043692606170268</v>
      </c>
      <c r="I252" s="17">
        <v>9299</v>
      </c>
      <c r="J252" s="33">
        <f t="shared" si="38"/>
        <v>715.30769230769226</v>
      </c>
      <c r="K252" s="17">
        <v>879</v>
      </c>
      <c r="L252" s="34">
        <f t="shared" si="39"/>
        <v>9.7889129644039858</v>
      </c>
      <c r="M252" s="35">
        <f t="shared" si="40"/>
        <v>46.25</v>
      </c>
      <c r="N252" s="17">
        <v>5196</v>
      </c>
      <c r="O252" s="33">
        <f t="shared" si="41"/>
        <v>577.33333333333337</v>
      </c>
      <c r="P252" s="17">
        <v>679</v>
      </c>
      <c r="Q252" s="33">
        <f t="shared" si="42"/>
        <v>7.3173009019404507</v>
      </c>
      <c r="R252" s="58">
        <f t="shared" si="43"/>
        <v>26.25</v>
      </c>
      <c r="S252" s="17">
        <v>106400</v>
      </c>
      <c r="T252" s="17">
        <v>923.8</v>
      </c>
    </row>
    <row r="253" spans="1:20" x14ac:dyDescent="0.25">
      <c r="A253" s="32" t="str">
        <f t="shared" si="44"/>
        <v>RECC  260*180*14.2</v>
      </c>
      <c r="B253" s="33">
        <f t="shared" si="34"/>
        <v>84.968350649791446</v>
      </c>
      <c r="C253" s="17">
        <v>260</v>
      </c>
      <c r="D253" s="17">
        <v>180</v>
      </c>
      <c r="E253" s="17">
        <v>14.2</v>
      </c>
      <c r="F253" s="17">
        <f t="shared" si="35"/>
        <v>28.4</v>
      </c>
      <c r="G253" s="17">
        <f t="shared" si="36"/>
        <v>42.599999999999994</v>
      </c>
      <c r="H253" s="33">
        <f t="shared" si="37"/>
        <v>108.23993713349228</v>
      </c>
      <c r="I253" s="17">
        <v>10278</v>
      </c>
      <c r="J253" s="33">
        <f t="shared" si="38"/>
        <v>790.61538461538464</v>
      </c>
      <c r="K253" s="17">
        <v>980</v>
      </c>
      <c r="L253" s="34">
        <f t="shared" si="39"/>
        <v>9.744522012541168</v>
      </c>
      <c r="M253" s="35">
        <f t="shared" si="40"/>
        <v>49.6432</v>
      </c>
      <c r="N253" s="17">
        <v>5719</v>
      </c>
      <c r="O253" s="33">
        <f t="shared" si="41"/>
        <v>635.44444444444446</v>
      </c>
      <c r="P253" s="17">
        <v>755</v>
      </c>
      <c r="Q253" s="33">
        <f t="shared" si="42"/>
        <v>7.2688596364366465</v>
      </c>
      <c r="R253" s="58">
        <f t="shared" si="43"/>
        <v>26.923200000000001</v>
      </c>
      <c r="S253" s="17">
        <v>118200</v>
      </c>
      <c r="T253" s="17">
        <v>1016</v>
      </c>
    </row>
    <row r="254" spans="1:20" x14ac:dyDescent="0.25">
      <c r="A254" s="32" t="str">
        <f t="shared" si="44"/>
        <v>RECC  260*180*16</v>
      </c>
      <c r="B254" s="33">
        <f t="shared" si="34"/>
        <v>93.864322983270256</v>
      </c>
      <c r="C254" s="17">
        <v>260</v>
      </c>
      <c r="D254" s="17">
        <v>180</v>
      </c>
      <c r="E254" s="17">
        <v>16</v>
      </c>
      <c r="F254" s="17">
        <f t="shared" si="35"/>
        <v>32</v>
      </c>
      <c r="G254" s="17">
        <f t="shared" si="36"/>
        <v>48</v>
      </c>
      <c r="H254" s="33">
        <f t="shared" si="37"/>
        <v>119.57238596594937</v>
      </c>
      <c r="I254" s="17">
        <v>11245</v>
      </c>
      <c r="J254" s="33">
        <f t="shared" si="38"/>
        <v>865</v>
      </c>
      <c r="K254" s="17">
        <v>1081</v>
      </c>
      <c r="L254" s="34">
        <f t="shared" si="39"/>
        <v>9.6976003475515924</v>
      </c>
      <c r="M254" s="35">
        <f t="shared" si="40"/>
        <v>52.480000000000004</v>
      </c>
      <c r="N254" s="17">
        <v>6231</v>
      </c>
      <c r="O254" s="33">
        <f t="shared" si="41"/>
        <v>692.33333333333337</v>
      </c>
      <c r="P254" s="17">
        <v>831</v>
      </c>
      <c r="Q254" s="33">
        <f t="shared" si="42"/>
        <v>7.2187737093530293</v>
      </c>
      <c r="R254" s="58">
        <f t="shared" si="43"/>
        <v>26.88</v>
      </c>
      <c r="S254" s="17">
        <v>129900</v>
      </c>
      <c r="T254" s="17">
        <v>1106</v>
      </c>
    </row>
    <row r="255" spans="1:20" x14ac:dyDescent="0.25">
      <c r="A255" s="36" t="str">
        <f t="shared" si="44"/>
        <v>RECC  300*200*6.3</v>
      </c>
      <c r="B255" s="38">
        <f t="shared" si="34"/>
        <v>47.138930110018741</v>
      </c>
      <c r="C255" s="37">
        <v>300</v>
      </c>
      <c r="D255" s="37">
        <v>200</v>
      </c>
      <c r="E255" s="37">
        <v>6.3</v>
      </c>
      <c r="F255" s="37">
        <f t="shared" si="35"/>
        <v>9.4499999999999993</v>
      </c>
      <c r="G255" s="37">
        <f t="shared" si="36"/>
        <v>15.75</v>
      </c>
      <c r="H255" s="38">
        <f t="shared" si="37"/>
        <v>60.049592496839161</v>
      </c>
      <c r="I255" s="37">
        <v>7829</v>
      </c>
      <c r="J255" s="38">
        <f t="shared" si="38"/>
        <v>521.93333333333328</v>
      </c>
      <c r="K255" s="37">
        <v>624</v>
      </c>
      <c r="L255" s="39">
        <f t="shared" si="39"/>
        <v>11.418212316173539</v>
      </c>
      <c r="M255" s="40">
        <f t="shared" si="40"/>
        <v>33.831000000000003</v>
      </c>
      <c r="N255" s="37">
        <v>4193</v>
      </c>
      <c r="O255" s="38">
        <f t="shared" si="41"/>
        <v>419.3</v>
      </c>
      <c r="P255" s="37">
        <v>472</v>
      </c>
      <c r="Q255" s="38">
        <f t="shared" si="42"/>
        <v>8.3561725420823123</v>
      </c>
      <c r="R255" s="59">
        <f t="shared" si="43"/>
        <v>21.230999999999998</v>
      </c>
      <c r="S255" s="37">
        <v>84760</v>
      </c>
      <c r="T255" s="41">
        <v>680.6</v>
      </c>
    </row>
    <row r="256" spans="1:20" x14ac:dyDescent="0.25">
      <c r="A256" s="42" t="str">
        <f t="shared" si="44"/>
        <v>RECC  300*200*8</v>
      </c>
      <c r="B256" s="44">
        <f t="shared" si="34"/>
        <v>59.06534459665405</v>
      </c>
      <c r="C256" s="43">
        <v>300</v>
      </c>
      <c r="D256" s="43">
        <v>200</v>
      </c>
      <c r="E256" s="43">
        <v>8</v>
      </c>
      <c r="F256" s="43">
        <f t="shared" si="35"/>
        <v>12</v>
      </c>
      <c r="G256" s="43">
        <f t="shared" si="36"/>
        <v>20</v>
      </c>
      <c r="H256" s="44">
        <f t="shared" si="37"/>
        <v>75.24247719318987</v>
      </c>
      <c r="I256" s="43">
        <v>9717</v>
      </c>
      <c r="J256" s="44">
        <f t="shared" si="38"/>
        <v>647.79999999999995</v>
      </c>
      <c r="K256" s="43">
        <v>779</v>
      </c>
      <c r="L256" s="45">
        <f t="shared" si="39"/>
        <v>11.364087230845453</v>
      </c>
      <c r="M256" s="46">
        <f t="shared" si="40"/>
        <v>41.6</v>
      </c>
      <c r="N256" s="43">
        <v>5184</v>
      </c>
      <c r="O256" s="44">
        <f t="shared" si="41"/>
        <v>518.4</v>
      </c>
      <c r="P256" s="43">
        <v>589</v>
      </c>
      <c r="Q256" s="44">
        <f t="shared" si="42"/>
        <v>8.3004369261976159</v>
      </c>
      <c r="R256" s="60">
        <f t="shared" si="43"/>
        <v>25.6</v>
      </c>
      <c r="S256" s="43">
        <v>105600</v>
      </c>
      <c r="T256" s="47">
        <v>840</v>
      </c>
    </row>
    <row r="257" spans="1:20" x14ac:dyDescent="0.25">
      <c r="A257" s="42" t="str">
        <f t="shared" si="44"/>
        <v>RECC  300*200*10</v>
      </c>
      <c r="B257" s="44">
        <f t="shared" si="34"/>
        <v>72.664600932271952</v>
      </c>
      <c r="C257" s="43">
        <v>300</v>
      </c>
      <c r="D257" s="43">
        <v>200</v>
      </c>
      <c r="E257" s="43">
        <v>10</v>
      </c>
      <c r="F257" s="43">
        <f t="shared" si="35"/>
        <v>15</v>
      </c>
      <c r="G257" s="43">
        <f t="shared" si="36"/>
        <v>25</v>
      </c>
      <c r="H257" s="44">
        <f t="shared" si="37"/>
        <v>92.566370614359172</v>
      </c>
      <c r="I257" s="43">
        <v>11819</v>
      </c>
      <c r="J257" s="44">
        <f t="shared" si="38"/>
        <v>787.93333333333328</v>
      </c>
      <c r="K257" s="43">
        <v>956</v>
      </c>
      <c r="L257" s="45">
        <f t="shared" si="39"/>
        <v>11.299617649479352</v>
      </c>
      <c r="M257" s="46">
        <f t="shared" si="40"/>
        <v>50</v>
      </c>
      <c r="N257" s="43">
        <v>6278</v>
      </c>
      <c r="O257" s="44">
        <f t="shared" si="41"/>
        <v>627.79999999999995</v>
      </c>
      <c r="P257" s="43">
        <v>721</v>
      </c>
      <c r="Q257" s="44">
        <f t="shared" si="42"/>
        <v>8.2353874772447035</v>
      </c>
      <c r="R257" s="60">
        <f t="shared" si="43"/>
        <v>30</v>
      </c>
      <c r="S257" s="43">
        <v>129100</v>
      </c>
      <c r="T257" s="47">
        <v>1015</v>
      </c>
    </row>
    <row r="258" spans="1:20" x14ac:dyDescent="0.25">
      <c r="A258" s="42" t="str">
        <f t="shared" si="44"/>
        <v>RECC  300*200*12.5</v>
      </c>
      <c r="B258" s="44">
        <f t="shared" si="34"/>
        <v>87.954298695843661</v>
      </c>
      <c r="C258" s="43">
        <v>300</v>
      </c>
      <c r="D258" s="43">
        <v>200</v>
      </c>
      <c r="E258" s="43">
        <v>12.5</v>
      </c>
      <c r="F258" s="43">
        <f t="shared" si="35"/>
        <v>25</v>
      </c>
      <c r="G258" s="43">
        <f t="shared" si="36"/>
        <v>37.5</v>
      </c>
      <c r="H258" s="44">
        <f t="shared" si="37"/>
        <v>112.04369260617027</v>
      </c>
      <c r="I258" s="43">
        <v>14273</v>
      </c>
      <c r="J258" s="44">
        <f t="shared" si="38"/>
        <v>951.5333333333333</v>
      </c>
      <c r="K258" s="43">
        <v>1165</v>
      </c>
      <c r="L258" s="45">
        <f t="shared" si="39"/>
        <v>11.286620593345509</v>
      </c>
      <c r="M258" s="46">
        <f t="shared" si="40"/>
        <v>56.25</v>
      </c>
      <c r="N258" s="43">
        <v>7537</v>
      </c>
      <c r="O258" s="44">
        <f t="shared" si="41"/>
        <v>753.7</v>
      </c>
      <c r="P258" s="43">
        <v>877</v>
      </c>
      <c r="Q258" s="44">
        <f t="shared" si="42"/>
        <v>8.2017315616584376</v>
      </c>
      <c r="R258" s="60">
        <f t="shared" si="43"/>
        <v>31.25</v>
      </c>
      <c r="S258" s="43">
        <v>156800</v>
      </c>
      <c r="T258" s="47">
        <v>1217</v>
      </c>
    </row>
    <row r="259" spans="1:20" x14ac:dyDescent="0.25">
      <c r="A259" s="42" t="str">
        <f t="shared" si="44"/>
        <v>RECC  300*200*14.2</v>
      </c>
      <c r="B259" s="44">
        <f t="shared" si="34"/>
        <v>98.34475064979145</v>
      </c>
      <c r="C259" s="43">
        <v>300</v>
      </c>
      <c r="D259" s="43">
        <v>200</v>
      </c>
      <c r="E259" s="43">
        <v>14.2</v>
      </c>
      <c r="F259" s="43">
        <f t="shared" si="35"/>
        <v>28.4</v>
      </c>
      <c r="G259" s="43">
        <f t="shared" si="36"/>
        <v>42.599999999999994</v>
      </c>
      <c r="H259" s="44">
        <f t="shared" si="37"/>
        <v>125.27993713349228</v>
      </c>
      <c r="I259" s="43">
        <v>15832</v>
      </c>
      <c r="J259" s="44">
        <f t="shared" si="38"/>
        <v>1055.4666666666667</v>
      </c>
      <c r="K259" s="43">
        <v>1302</v>
      </c>
      <c r="L259" s="45">
        <f t="shared" si="39"/>
        <v>11.241574091903884</v>
      </c>
      <c r="M259" s="46">
        <f t="shared" si="40"/>
        <v>61.0032</v>
      </c>
      <c r="N259" s="43">
        <v>8328</v>
      </c>
      <c r="O259" s="44">
        <f t="shared" si="41"/>
        <v>832.8</v>
      </c>
      <c r="P259" s="43">
        <v>978</v>
      </c>
      <c r="Q259" s="44">
        <f t="shared" si="42"/>
        <v>8.153228142471729</v>
      </c>
      <c r="R259" s="60">
        <f t="shared" si="43"/>
        <v>32.603200000000001</v>
      </c>
      <c r="S259" s="43">
        <v>174600</v>
      </c>
      <c r="T259" s="47">
        <v>1343</v>
      </c>
    </row>
    <row r="260" spans="1:20" x14ac:dyDescent="0.25">
      <c r="A260" s="48" t="str">
        <f t="shared" si="44"/>
        <v>RECC  300*200*16</v>
      </c>
      <c r="B260" s="50">
        <f t="shared" si="34"/>
        <v>108.93632298327024</v>
      </c>
      <c r="C260" s="49">
        <v>300</v>
      </c>
      <c r="D260" s="49">
        <v>200</v>
      </c>
      <c r="E260" s="49">
        <v>16</v>
      </c>
      <c r="F260" s="49">
        <f t="shared" si="35"/>
        <v>32</v>
      </c>
      <c r="G260" s="49">
        <f t="shared" si="36"/>
        <v>48</v>
      </c>
      <c r="H260" s="50">
        <f t="shared" si="37"/>
        <v>138.77238596594935</v>
      </c>
      <c r="I260" s="49">
        <v>17390</v>
      </c>
      <c r="J260" s="50">
        <f t="shared" si="38"/>
        <v>1159.3333333333333</v>
      </c>
      <c r="K260" s="49">
        <v>1441</v>
      </c>
      <c r="L260" s="51">
        <f t="shared" si="39"/>
        <v>11.194334070338021</v>
      </c>
      <c r="M260" s="52">
        <f t="shared" si="40"/>
        <v>65.28</v>
      </c>
      <c r="N260" s="49">
        <v>9109</v>
      </c>
      <c r="O260" s="50">
        <f t="shared" si="41"/>
        <v>910.9</v>
      </c>
      <c r="P260" s="49">
        <v>1080</v>
      </c>
      <c r="Q260" s="50">
        <f t="shared" si="42"/>
        <v>8.1018430061344819</v>
      </c>
      <c r="R260" s="61">
        <f t="shared" si="43"/>
        <v>33.28</v>
      </c>
      <c r="S260" s="49">
        <v>192500</v>
      </c>
      <c r="T260" s="53">
        <v>1468</v>
      </c>
    </row>
    <row r="261" spans="1:20" x14ac:dyDescent="0.25">
      <c r="A261" s="32" t="str">
        <f t="shared" si="44"/>
        <v>RECC  350*250*6.3</v>
      </c>
      <c r="B261" s="33">
        <f t="shared" ref="B261:B281" si="45">H261*0.785</f>
        <v>57.029930110018746</v>
      </c>
      <c r="C261" s="17">
        <v>350</v>
      </c>
      <c r="D261" s="17">
        <v>250</v>
      </c>
      <c r="E261" s="17">
        <v>6.3</v>
      </c>
      <c r="F261" s="17">
        <f t="shared" ref="F261:F281" si="46">IF(E261&lt;=6,1*E261,IF(E261&lt;=10,1.5*E261,2*E261))</f>
        <v>9.4499999999999993</v>
      </c>
      <c r="G261" s="17">
        <f t="shared" ref="G261:G281" si="47">IF(E261&lt;=6,2*E261,IF(E261&lt;=10,2.5*E261,3*E261))</f>
        <v>15.75</v>
      </c>
      <c r="H261" s="33">
        <f t="shared" ref="H261:H281" si="48">(2*(C261-2*G261)*E261+2*(D261-2*G261)*E261+PI()*(G261^2-F261^2))*0.01</f>
        <v>72.649592496839162</v>
      </c>
      <c r="I261" s="17">
        <v>13203</v>
      </c>
      <c r="J261" s="33">
        <f t="shared" ref="J261:J281" si="49">I261/(0.5*C261*0.1)</f>
        <v>754.45714285714291</v>
      </c>
      <c r="K261" s="17">
        <v>892</v>
      </c>
      <c r="L261" s="34">
        <f t="shared" ref="L261:L281" si="50">SQRT(I261/H261)</f>
        <v>13.480925862717951</v>
      </c>
      <c r="M261" s="35">
        <f t="shared" ref="M261:M281" si="51">2*(C261-2*G261)*E261*0.01</f>
        <v>40.131</v>
      </c>
      <c r="N261" s="17">
        <v>7885</v>
      </c>
      <c r="O261" s="33">
        <f t="shared" ref="O261:O281" si="52">N261/(0.5*D261*0.1)</f>
        <v>630.79999999999995</v>
      </c>
      <c r="P261" s="17">
        <v>709</v>
      </c>
      <c r="Q261" s="33">
        <f t="shared" ref="Q261:Q281" si="53">SQRT(N261/H261)</f>
        <v>10.417997707408603</v>
      </c>
      <c r="R261" s="58">
        <f t="shared" ref="R261:R281" si="54">2*(D261-2*G261)*E261*0.01</f>
        <v>27.530999999999999</v>
      </c>
      <c r="S261" s="17">
        <v>152100</v>
      </c>
      <c r="T261" s="17">
        <v>1011</v>
      </c>
    </row>
    <row r="262" spans="1:20" x14ac:dyDescent="0.25">
      <c r="A262" s="32" t="str">
        <f t="shared" si="44"/>
        <v>RECC  350*250*8</v>
      </c>
      <c r="B262" s="33">
        <f t="shared" si="45"/>
        <v>71.62534459665406</v>
      </c>
      <c r="C262" s="17">
        <v>350</v>
      </c>
      <c r="D262" s="17">
        <v>250</v>
      </c>
      <c r="E262" s="17">
        <v>8</v>
      </c>
      <c r="F262" s="17">
        <f t="shared" si="46"/>
        <v>12</v>
      </c>
      <c r="G262" s="17">
        <f t="shared" si="47"/>
        <v>20</v>
      </c>
      <c r="H262" s="33">
        <f t="shared" si="48"/>
        <v>91.242477193189885</v>
      </c>
      <c r="I262" s="17">
        <v>16449</v>
      </c>
      <c r="J262" s="33">
        <f t="shared" si="49"/>
        <v>939.94285714285718</v>
      </c>
      <c r="K262" s="17">
        <v>1118</v>
      </c>
      <c r="L262" s="34">
        <f t="shared" si="50"/>
        <v>13.426759702792733</v>
      </c>
      <c r="M262" s="35">
        <f t="shared" si="51"/>
        <v>49.6</v>
      </c>
      <c r="N262" s="17">
        <v>9798</v>
      </c>
      <c r="O262" s="33">
        <f t="shared" si="52"/>
        <v>783.84</v>
      </c>
      <c r="P262" s="17">
        <v>888</v>
      </c>
      <c r="Q262" s="33">
        <f t="shared" si="53"/>
        <v>10.362634578299028</v>
      </c>
      <c r="R262" s="58">
        <f t="shared" si="54"/>
        <v>33.6</v>
      </c>
      <c r="S262" s="17">
        <v>190300</v>
      </c>
      <c r="T262" s="17">
        <v>1254</v>
      </c>
    </row>
    <row r="263" spans="1:20" x14ac:dyDescent="0.25">
      <c r="A263" s="32" t="str">
        <f t="shared" si="44"/>
        <v>RECC  350*250*10</v>
      </c>
      <c r="B263" s="33">
        <f t="shared" si="45"/>
        <v>88.364600932271955</v>
      </c>
      <c r="C263" s="17">
        <v>350</v>
      </c>
      <c r="D263" s="17">
        <v>250</v>
      </c>
      <c r="E263" s="17">
        <v>10</v>
      </c>
      <c r="F263" s="17">
        <f t="shared" si="46"/>
        <v>15</v>
      </c>
      <c r="G263" s="17">
        <f t="shared" si="47"/>
        <v>25</v>
      </c>
      <c r="H263" s="33">
        <f t="shared" si="48"/>
        <v>112.56637061435917</v>
      </c>
      <c r="I263" s="17">
        <v>20102</v>
      </c>
      <c r="J263" s="33">
        <f t="shared" si="49"/>
        <v>1148.6857142857143</v>
      </c>
      <c r="K263" s="17">
        <v>1375</v>
      </c>
      <c r="L263" s="34">
        <f t="shared" si="50"/>
        <v>13.363348747343583</v>
      </c>
      <c r="M263" s="35">
        <f t="shared" si="51"/>
        <v>60</v>
      </c>
      <c r="N263" s="17">
        <v>11937</v>
      </c>
      <c r="O263" s="33">
        <f t="shared" si="52"/>
        <v>954.96</v>
      </c>
      <c r="P263" s="17">
        <v>1091</v>
      </c>
      <c r="Q263" s="33">
        <f t="shared" si="53"/>
        <v>10.297771835635842</v>
      </c>
      <c r="R263" s="58">
        <f t="shared" si="54"/>
        <v>40</v>
      </c>
      <c r="S263" s="17">
        <v>233500</v>
      </c>
      <c r="T263" s="17">
        <v>1525</v>
      </c>
    </row>
    <row r="264" spans="1:20" x14ac:dyDescent="0.25">
      <c r="A264" s="32" t="str">
        <f t="shared" si="44"/>
        <v>RECC  350*250*12.5</v>
      </c>
      <c r="B264" s="33">
        <f t="shared" si="45"/>
        <v>107.57929869584365</v>
      </c>
      <c r="C264" s="17">
        <v>350</v>
      </c>
      <c r="D264" s="17">
        <v>250</v>
      </c>
      <c r="E264" s="17">
        <v>12.5</v>
      </c>
      <c r="F264" s="17">
        <f t="shared" si="46"/>
        <v>25</v>
      </c>
      <c r="G264" s="17">
        <f t="shared" si="47"/>
        <v>37.5</v>
      </c>
      <c r="H264" s="33">
        <f t="shared" si="48"/>
        <v>137.04369260617025</v>
      </c>
      <c r="I264" s="17">
        <v>24419</v>
      </c>
      <c r="J264" s="33">
        <f t="shared" si="49"/>
        <v>1395.3714285714286</v>
      </c>
      <c r="K264" s="17">
        <v>1685</v>
      </c>
      <c r="L264" s="34">
        <f t="shared" si="50"/>
        <v>13.348559799439883</v>
      </c>
      <c r="M264" s="35">
        <f t="shared" si="51"/>
        <v>68.75</v>
      </c>
      <c r="N264" s="17">
        <v>14444</v>
      </c>
      <c r="O264" s="33">
        <f t="shared" si="52"/>
        <v>1155.52</v>
      </c>
      <c r="P264" s="17">
        <v>1334</v>
      </c>
      <c r="Q264" s="33">
        <f t="shared" si="53"/>
        <v>10.266306213711863</v>
      </c>
      <c r="R264" s="58">
        <f t="shared" si="54"/>
        <v>43.75</v>
      </c>
      <c r="S264" s="17">
        <v>285300</v>
      </c>
      <c r="T264" s="17">
        <v>1842</v>
      </c>
    </row>
    <row r="265" spans="1:20" x14ac:dyDescent="0.25">
      <c r="A265" s="32" t="str">
        <f t="shared" si="44"/>
        <v>RECC  350*250*14.2</v>
      </c>
      <c r="B265" s="33">
        <f t="shared" si="45"/>
        <v>120.63875064979143</v>
      </c>
      <c r="C265" s="17">
        <v>350</v>
      </c>
      <c r="D265" s="17">
        <v>250</v>
      </c>
      <c r="E265" s="17">
        <v>14.2</v>
      </c>
      <c r="F265" s="17">
        <f t="shared" si="46"/>
        <v>28.4</v>
      </c>
      <c r="G265" s="17">
        <f t="shared" si="47"/>
        <v>42.599999999999994</v>
      </c>
      <c r="H265" s="33">
        <f t="shared" si="48"/>
        <v>153.67993713349227</v>
      </c>
      <c r="I265" s="17">
        <v>27200</v>
      </c>
      <c r="J265" s="33">
        <f t="shared" si="49"/>
        <v>1554.2857142857142</v>
      </c>
      <c r="K265" s="17">
        <v>1887</v>
      </c>
      <c r="L265" s="34">
        <f t="shared" si="50"/>
        <v>13.303804825876059</v>
      </c>
      <c r="M265" s="35">
        <f t="shared" si="51"/>
        <v>75.203199999999995</v>
      </c>
      <c r="N265" s="17">
        <v>16046</v>
      </c>
      <c r="O265" s="33">
        <f t="shared" si="52"/>
        <v>1283.68</v>
      </c>
      <c r="P265" s="17">
        <v>1492</v>
      </c>
      <c r="Q265" s="33">
        <f t="shared" si="53"/>
        <v>10.218209599438079</v>
      </c>
      <c r="R265" s="58">
        <f t="shared" si="54"/>
        <v>46.803199999999997</v>
      </c>
      <c r="S265" s="17">
        <v>318900</v>
      </c>
      <c r="T265" s="17">
        <v>2044</v>
      </c>
    </row>
    <row r="266" spans="1:20" x14ac:dyDescent="0.25">
      <c r="A266" s="32" t="str">
        <f t="shared" si="44"/>
        <v>RECC  350*250*16</v>
      </c>
      <c r="B266" s="33">
        <f t="shared" si="45"/>
        <v>134.05632298327023</v>
      </c>
      <c r="C266" s="17">
        <v>350</v>
      </c>
      <c r="D266" s="17">
        <v>250</v>
      </c>
      <c r="E266" s="17">
        <v>16</v>
      </c>
      <c r="F266" s="17">
        <f t="shared" si="46"/>
        <v>32</v>
      </c>
      <c r="G266" s="17">
        <f t="shared" si="47"/>
        <v>48</v>
      </c>
      <c r="H266" s="33">
        <f t="shared" si="48"/>
        <v>170.77238596594935</v>
      </c>
      <c r="I266" s="17">
        <v>30011</v>
      </c>
      <c r="J266" s="33">
        <f t="shared" si="49"/>
        <v>1714.9142857142858</v>
      </c>
      <c r="K266" s="17">
        <v>2095</v>
      </c>
      <c r="L266" s="34">
        <f t="shared" si="50"/>
        <v>13.256577352766898</v>
      </c>
      <c r="M266" s="35">
        <f t="shared" si="51"/>
        <v>81.28</v>
      </c>
      <c r="N266" s="17">
        <v>17654</v>
      </c>
      <c r="O266" s="33">
        <f t="shared" si="52"/>
        <v>1412.32</v>
      </c>
      <c r="P266" s="17">
        <v>1655</v>
      </c>
      <c r="Q266" s="33">
        <f t="shared" si="53"/>
        <v>10.167466215336702</v>
      </c>
      <c r="R266" s="58">
        <f t="shared" si="54"/>
        <v>49.28</v>
      </c>
      <c r="S266" s="17">
        <v>353300</v>
      </c>
      <c r="T266" s="17">
        <v>2246</v>
      </c>
    </row>
    <row r="267" spans="1:20" x14ac:dyDescent="0.25">
      <c r="A267" s="36" t="str">
        <f t="shared" si="44"/>
        <v>RECC  400*200*8</v>
      </c>
      <c r="B267" s="38">
        <f t="shared" si="45"/>
        <v>71.62534459665406</v>
      </c>
      <c r="C267" s="37">
        <v>400</v>
      </c>
      <c r="D267" s="37">
        <v>200</v>
      </c>
      <c r="E267" s="37">
        <v>8</v>
      </c>
      <c r="F267" s="37">
        <f t="shared" si="46"/>
        <v>12</v>
      </c>
      <c r="G267" s="37">
        <f t="shared" si="47"/>
        <v>20</v>
      </c>
      <c r="H267" s="38">
        <f t="shared" si="48"/>
        <v>91.242477193189885</v>
      </c>
      <c r="I267" s="37">
        <v>19562</v>
      </c>
      <c r="J267" s="38">
        <f t="shared" si="49"/>
        <v>978.1</v>
      </c>
      <c r="K267" s="37">
        <v>1203</v>
      </c>
      <c r="L267" s="39">
        <f t="shared" si="50"/>
        <v>14.642259297883252</v>
      </c>
      <c r="M267" s="40">
        <f t="shared" si="51"/>
        <v>57.6</v>
      </c>
      <c r="N267" s="37">
        <v>6660</v>
      </c>
      <c r="O267" s="38">
        <f t="shared" si="52"/>
        <v>666</v>
      </c>
      <c r="P267" s="37">
        <v>743</v>
      </c>
      <c r="Q267" s="38">
        <f t="shared" si="53"/>
        <v>8.5435542359181404</v>
      </c>
      <c r="R267" s="59">
        <f t="shared" si="54"/>
        <v>25.6</v>
      </c>
      <c r="S267" s="37">
        <v>157300</v>
      </c>
      <c r="T267" s="41">
        <v>1135</v>
      </c>
    </row>
    <row r="268" spans="1:20" x14ac:dyDescent="0.25">
      <c r="A268" s="42" t="str">
        <f t="shared" si="44"/>
        <v>RECC  400*200*10</v>
      </c>
      <c r="B268" s="44">
        <f t="shared" si="45"/>
        <v>88.364600932271955</v>
      </c>
      <c r="C268" s="43">
        <v>400</v>
      </c>
      <c r="D268" s="43">
        <v>200</v>
      </c>
      <c r="E268" s="43">
        <v>10</v>
      </c>
      <c r="F268" s="43">
        <f t="shared" si="46"/>
        <v>15</v>
      </c>
      <c r="G268" s="43">
        <f t="shared" si="47"/>
        <v>25</v>
      </c>
      <c r="H268" s="44">
        <f t="shared" si="48"/>
        <v>112.56637061435917</v>
      </c>
      <c r="I268" s="43">
        <v>23914</v>
      </c>
      <c r="J268" s="44">
        <f t="shared" si="49"/>
        <v>1195.7</v>
      </c>
      <c r="K268" s="43">
        <v>1480</v>
      </c>
      <c r="L268" s="45">
        <f t="shared" si="50"/>
        <v>14.575443577227682</v>
      </c>
      <c r="M268" s="46">
        <f t="shared" si="51"/>
        <v>70</v>
      </c>
      <c r="N268" s="43">
        <v>8084</v>
      </c>
      <c r="O268" s="44">
        <f t="shared" si="52"/>
        <v>808.4</v>
      </c>
      <c r="P268" s="43">
        <v>911</v>
      </c>
      <c r="Q268" s="44">
        <f t="shared" si="53"/>
        <v>8.4743972933651932</v>
      </c>
      <c r="R268" s="60">
        <f t="shared" si="54"/>
        <v>30</v>
      </c>
      <c r="S268" s="43">
        <v>192600</v>
      </c>
      <c r="T268" s="47">
        <v>1376</v>
      </c>
    </row>
    <row r="269" spans="1:20" x14ac:dyDescent="0.25">
      <c r="A269" s="42" t="str">
        <f t="shared" si="44"/>
        <v>RECC  400*200*12.5</v>
      </c>
      <c r="B269" s="44">
        <f t="shared" si="45"/>
        <v>107.57929869584365</v>
      </c>
      <c r="C269" s="43">
        <v>400</v>
      </c>
      <c r="D269" s="43">
        <v>200</v>
      </c>
      <c r="E269" s="43">
        <v>12.5</v>
      </c>
      <c r="F269" s="43">
        <f t="shared" si="46"/>
        <v>25</v>
      </c>
      <c r="G269" s="43">
        <f t="shared" si="47"/>
        <v>37.5</v>
      </c>
      <c r="H269" s="44">
        <f t="shared" si="48"/>
        <v>137.04369260617025</v>
      </c>
      <c r="I269" s="43">
        <v>29063</v>
      </c>
      <c r="J269" s="44">
        <f t="shared" si="49"/>
        <v>1453.15</v>
      </c>
      <c r="K269" s="43">
        <v>1813</v>
      </c>
      <c r="L269" s="45">
        <f t="shared" si="50"/>
        <v>14.562659494584558</v>
      </c>
      <c r="M269" s="46">
        <f t="shared" si="51"/>
        <v>81.25</v>
      </c>
      <c r="N269" s="43">
        <v>9738</v>
      </c>
      <c r="O269" s="44">
        <f t="shared" si="52"/>
        <v>973.8</v>
      </c>
      <c r="P269" s="43">
        <v>1111</v>
      </c>
      <c r="Q269" s="44">
        <f t="shared" si="53"/>
        <v>8.4295687895523788</v>
      </c>
      <c r="R269" s="60">
        <f t="shared" si="54"/>
        <v>31.25</v>
      </c>
      <c r="S269" s="43">
        <v>234400</v>
      </c>
      <c r="T269" s="47">
        <v>1656</v>
      </c>
    </row>
    <row r="270" spans="1:20" x14ac:dyDescent="0.25">
      <c r="A270" s="42" t="str">
        <f t="shared" si="44"/>
        <v>RECC  400*200*14.2</v>
      </c>
      <c r="B270" s="44">
        <f t="shared" si="45"/>
        <v>120.63875064979143</v>
      </c>
      <c r="C270" s="43">
        <v>400</v>
      </c>
      <c r="D270" s="43">
        <v>200</v>
      </c>
      <c r="E270" s="43">
        <v>14.2</v>
      </c>
      <c r="F270" s="43">
        <f t="shared" si="46"/>
        <v>28.4</v>
      </c>
      <c r="G270" s="43">
        <f t="shared" si="47"/>
        <v>42.599999999999994</v>
      </c>
      <c r="H270" s="44">
        <f t="shared" si="48"/>
        <v>153.67993713349227</v>
      </c>
      <c r="I270" s="43">
        <v>32381</v>
      </c>
      <c r="J270" s="44">
        <f t="shared" si="49"/>
        <v>1619.05</v>
      </c>
      <c r="K270" s="43">
        <v>2032</v>
      </c>
      <c r="L270" s="45">
        <f t="shared" si="50"/>
        <v>14.515651779332032</v>
      </c>
      <c r="M270" s="46">
        <f t="shared" si="51"/>
        <v>89.403199999999998</v>
      </c>
      <c r="N270" s="43">
        <v>10784</v>
      </c>
      <c r="O270" s="44">
        <f t="shared" si="52"/>
        <v>1078.4000000000001</v>
      </c>
      <c r="P270" s="43">
        <v>1242</v>
      </c>
      <c r="Q270" s="44">
        <f t="shared" si="53"/>
        <v>8.3768618368600549</v>
      </c>
      <c r="R270" s="60">
        <f t="shared" si="54"/>
        <v>32.603200000000001</v>
      </c>
      <c r="S270" s="43">
        <v>261400</v>
      </c>
      <c r="T270" s="47">
        <v>1834</v>
      </c>
    </row>
    <row r="271" spans="1:20" x14ac:dyDescent="0.25">
      <c r="A271" s="48" t="str">
        <f t="shared" si="44"/>
        <v>RECC  400*200*16</v>
      </c>
      <c r="B271" s="50">
        <f t="shared" si="45"/>
        <v>134.05632298327023</v>
      </c>
      <c r="C271" s="49">
        <v>400</v>
      </c>
      <c r="D271" s="49">
        <v>200</v>
      </c>
      <c r="E271" s="49">
        <v>16</v>
      </c>
      <c r="F271" s="49">
        <f t="shared" si="46"/>
        <v>32</v>
      </c>
      <c r="G271" s="49">
        <f t="shared" si="47"/>
        <v>48</v>
      </c>
      <c r="H271" s="50">
        <f t="shared" si="48"/>
        <v>170.77238596594935</v>
      </c>
      <c r="I271" s="49">
        <v>35738</v>
      </c>
      <c r="J271" s="50">
        <f t="shared" si="49"/>
        <v>1786.9</v>
      </c>
      <c r="K271" s="49">
        <v>2256</v>
      </c>
      <c r="L271" s="51">
        <f t="shared" si="50"/>
        <v>14.46626109176291</v>
      </c>
      <c r="M271" s="52">
        <f t="shared" si="51"/>
        <v>97.28</v>
      </c>
      <c r="N271" s="49">
        <v>11824</v>
      </c>
      <c r="O271" s="50">
        <f t="shared" si="52"/>
        <v>1182.4000000000001</v>
      </c>
      <c r="P271" s="49">
        <v>1374</v>
      </c>
      <c r="Q271" s="50">
        <f t="shared" si="53"/>
        <v>8.3209591013042559</v>
      </c>
      <c r="R271" s="61">
        <f t="shared" si="54"/>
        <v>33.28</v>
      </c>
      <c r="S271" s="49">
        <v>288700</v>
      </c>
      <c r="T271" s="53">
        <v>2010</v>
      </c>
    </row>
    <row r="272" spans="1:20" x14ac:dyDescent="0.25">
      <c r="A272" s="32" t="str">
        <f t="shared" si="44"/>
        <v>RECC  450*250*8</v>
      </c>
      <c r="B272" s="33">
        <f t="shared" si="45"/>
        <v>84.185344596654062</v>
      </c>
      <c r="C272" s="17">
        <v>450</v>
      </c>
      <c r="D272" s="17">
        <v>250</v>
      </c>
      <c r="E272" s="17">
        <v>8</v>
      </c>
      <c r="F272" s="17">
        <f t="shared" si="46"/>
        <v>12</v>
      </c>
      <c r="G272" s="17">
        <f t="shared" si="47"/>
        <v>20</v>
      </c>
      <c r="H272" s="33">
        <f t="shared" si="48"/>
        <v>107.24247719318988</v>
      </c>
      <c r="I272" s="17">
        <v>30082</v>
      </c>
      <c r="J272" s="33">
        <f t="shared" si="49"/>
        <v>1336.9777777777779</v>
      </c>
      <c r="K272" s="17">
        <v>1622</v>
      </c>
      <c r="L272" s="34">
        <f t="shared" si="50"/>
        <v>16.748269278804848</v>
      </c>
      <c r="M272" s="35">
        <f t="shared" si="51"/>
        <v>65.599999999999994</v>
      </c>
      <c r="N272" s="17">
        <v>12142</v>
      </c>
      <c r="O272" s="33">
        <f t="shared" si="52"/>
        <v>971.36</v>
      </c>
      <c r="P272" s="17">
        <v>1081</v>
      </c>
      <c r="Q272" s="33">
        <f t="shared" si="53"/>
        <v>10.64049166041579</v>
      </c>
      <c r="R272" s="58">
        <f t="shared" si="54"/>
        <v>33.6</v>
      </c>
      <c r="S272" s="17">
        <v>270800</v>
      </c>
      <c r="T272" s="17">
        <v>1629</v>
      </c>
    </row>
    <row r="273" spans="1:20" x14ac:dyDescent="0.25">
      <c r="A273" s="32" t="str">
        <f t="shared" si="44"/>
        <v>RECC  450*250*10</v>
      </c>
      <c r="B273" s="33">
        <f t="shared" si="45"/>
        <v>104.06460093227194</v>
      </c>
      <c r="C273" s="17">
        <v>450</v>
      </c>
      <c r="D273" s="17">
        <v>250</v>
      </c>
      <c r="E273" s="17">
        <v>10</v>
      </c>
      <c r="F273" s="17">
        <f t="shared" si="46"/>
        <v>15</v>
      </c>
      <c r="G273" s="17">
        <f t="shared" si="47"/>
        <v>25</v>
      </c>
      <c r="H273" s="33">
        <f t="shared" si="48"/>
        <v>132.56637061435916</v>
      </c>
      <c r="I273" s="17">
        <v>36895</v>
      </c>
      <c r="J273" s="33">
        <f t="shared" si="49"/>
        <v>1639.7777777777778</v>
      </c>
      <c r="K273" s="17">
        <v>2000</v>
      </c>
      <c r="L273" s="34">
        <f t="shared" si="50"/>
        <v>16.682728198071455</v>
      </c>
      <c r="M273" s="35">
        <f t="shared" si="51"/>
        <v>80</v>
      </c>
      <c r="N273" s="17">
        <v>14819</v>
      </c>
      <c r="O273" s="33">
        <f t="shared" si="52"/>
        <v>1185.52</v>
      </c>
      <c r="P273" s="17">
        <v>1331</v>
      </c>
      <c r="Q273" s="33">
        <f t="shared" si="53"/>
        <v>10.572866920494107</v>
      </c>
      <c r="R273" s="58">
        <f t="shared" si="54"/>
        <v>40</v>
      </c>
      <c r="S273" s="17">
        <v>332800</v>
      </c>
      <c r="T273" s="17">
        <v>1986</v>
      </c>
    </row>
    <row r="274" spans="1:20" x14ac:dyDescent="0.25">
      <c r="A274" s="32" t="str">
        <f t="shared" si="44"/>
        <v>RECC  450*250*12.5</v>
      </c>
      <c r="B274" s="33">
        <f t="shared" si="45"/>
        <v>127.20429869584365</v>
      </c>
      <c r="C274" s="17">
        <v>450</v>
      </c>
      <c r="D274" s="17">
        <v>250</v>
      </c>
      <c r="E274" s="17">
        <v>12.5</v>
      </c>
      <c r="F274" s="17">
        <f t="shared" si="46"/>
        <v>25</v>
      </c>
      <c r="G274" s="17">
        <f t="shared" si="47"/>
        <v>37.5</v>
      </c>
      <c r="H274" s="33">
        <f t="shared" si="48"/>
        <v>162.04369260617025</v>
      </c>
      <c r="I274" s="17">
        <v>45026</v>
      </c>
      <c r="J274" s="33">
        <f t="shared" si="49"/>
        <v>2001.1555555555556</v>
      </c>
      <c r="K274" s="17">
        <v>2458</v>
      </c>
      <c r="L274" s="34">
        <f t="shared" si="50"/>
        <v>16.669233029628632</v>
      </c>
      <c r="M274" s="35">
        <f t="shared" si="51"/>
        <v>93.75</v>
      </c>
      <c r="N274" s="17">
        <v>17973</v>
      </c>
      <c r="O274" s="33">
        <f t="shared" si="52"/>
        <v>1437.84</v>
      </c>
      <c r="P274" s="17">
        <v>1631</v>
      </c>
      <c r="Q274" s="33">
        <f t="shared" si="53"/>
        <v>10.531596743604359</v>
      </c>
      <c r="R274" s="58">
        <f t="shared" si="54"/>
        <v>43.75</v>
      </c>
      <c r="S274" s="17">
        <v>407200</v>
      </c>
      <c r="T274" s="17">
        <v>2406</v>
      </c>
    </row>
    <row r="275" spans="1:20" x14ac:dyDescent="0.25">
      <c r="A275" s="32" t="str">
        <f t="shared" si="44"/>
        <v>RECC  450*250*14.2</v>
      </c>
      <c r="B275" s="33">
        <f t="shared" si="45"/>
        <v>142.93275064979144</v>
      </c>
      <c r="C275" s="17">
        <v>450</v>
      </c>
      <c r="D275" s="17">
        <v>250</v>
      </c>
      <c r="E275" s="17">
        <v>14.2</v>
      </c>
      <c r="F275" s="17">
        <f t="shared" si="46"/>
        <v>28.4</v>
      </c>
      <c r="G275" s="17">
        <f t="shared" si="47"/>
        <v>42.599999999999994</v>
      </c>
      <c r="H275" s="33">
        <f t="shared" si="48"/>
        <v>182.07993713349228</v>
      </c>
      <c r="I275" s="17">
        <v>50315</v>
      </c>
      <c r="J275" s="33">
        <f t="shared" si="49"/>
        <v>2236.2222222222222</v>
      </c>
      <c r="K275" s="17">
        <v>2759</v>
      </c>
      <c r="L275" s="34">
        <f t="shared" si="50"/>
        <v>16.623317166470379</v>
      </c>
      <c r="M275" s="35">
        <f t="shared" si="51"/>
        <v>103.6032</v>
      </c>
      <c r="N275" s="17">
        <v>19999</v>
      </c>
      <c r="O275" s="33">
        <f t="shared" si="52"/>
        <v>1599.92</v>
      </c>
      <c r="P275" s="17">
        <v>1827</v>
      </c>
      <c r="Q275" s="33">
        <f t="shared" si="53"/>
        <v>10.480284996109468</v>
      </c>
      <c r="R275" s="58">
        <f t="shared" si="54"/>
        <v>46.803199999999997</v>
      </c>
      <c r="S275" s="17">
        <v>455800</v>
      </c>
      <c r="T275" s="17">
        <v>2675</v>
      </c>
    </row>
    <row r="276" spans="1:20" x14ac:dyDescent="0.25">
      <c r="A276" s="32" t="str">
        <f t="shared" si="44"/>
        <v>RECC  450*250*16</v>
      </c>
      <c r="B276" s="33">
        <f t="shared" si="45"/>
        <v>159.17632298327024</v>
      </c>
      <c r="C276" s="17">
        <v>450</v>
      </c>
      <c r="D276" s="17">
        <v>250</v>
      </c>
      <c r="E276" s="17">
        <v>16</v>
      </c>
      <c r="F276" s="17">
        <f t="shared" si="46"/>
        <v>32</v>
      </c>
      <c r="G276" s="17">
        <f t="shared" si="47"/>
        <v>48</v>
      </c>
      <c r="H276" s="33">
        <f t="shared" si="48"/>
        <v>202.77238596594935</v>
      </c>
      <c r="I276" s="17">
        <v>55705</v>
      </c>
      <c r="J276" s="33">
        <f t="shared" si="49"/>
        <v>2475.7777777777778</v>
      </c>
      <c r="K276" s="17">
        <v>3070</v>
      </c>
      <c r="L276" s="34">
        <f t="shared" si="50"/>
        <v>16.574585777524959</v>
      </c>
      <c r="M276" s="35">
        <f t="shared" si="51"/>
        <v>113.28</v>
      </c>
      <c r="N276" s="17">
        <v>22041</v>
      </c>
      <c r="O276" s="33">
        <f t="shared" si="52"/>
        <v>1763.28</v>
      </c>
      <c r="P276" s="17">
        <v>2029</v>
      </c>
      <c r="Q276" s="33">
        <f t="shared" si="53"/>
        <v>10.425844461018196</v>
      </c>
      <c r="R276" s="58">
        <f t="shared" si="54"/>
        <v>49.28</v>
      </c>
      <c r="S276" s="17">
        <v>505500</v>
      </c>
      <c r="T276" s="17">
        <v>2947</v>
      </c>
    </row>
    <row r="277" spans="1:20" x14ac:dyDescent="0.25">
      <c r="A277" s="36" t="str">
        <f t="shared" si="44"/>
        <v>RECC  500*300*8</v>
      </c>
      <c r="B277" s="38">
        <f t="shared" si="45"/>
        <v>96.745344596654064</v>
      </c>
      <c r="C277" s="37">
        <v>500</v>
      </c>
      <c r="D277" s="37">
        <v>300</v>
      </c>
      <c r="E277" s="37">
        <v>8</v>
      </c>
      <c r="F277" s="37">
        <f t="shared" si="46"/>
        <v>12</v>
      </c>
      <c r="G277" s="37">
        <f t="shared" si="47"/>
        <v>20</v>
      </c>
      <c r="H277" s="38">
        <f t="shared" si="48"/>
        <v>123.24247719318988</v>
      </c>
      <c r="I277" s="37">
        <v>53762</v>
      </c>
      <c r="J277" s="38">
        <f t="shared" si="49"/>
        <v>2150.48</v>
      </c>
      <c r="K277" s="37">
        <v>2595</v>
      </c>
      <c r="L277" s="39">
        <f t="shared" si="50"/>
        <v>20.886107006388873</v>
      </c>
      <c r="M277" s="40">
        <f t="shared" si="51"/>
        <v>73.600000000000009</v>
      </c>
      <c r="N277" s="37">
        <v>24439</v>
      </c>
      <c r="O277" s="38">
        <f t="shared" si="52"/>
        <v>1629.2666666666667</v>
      </c>
      <c r="P277" s="37">
        <v>1826</v>
      </c>
      <c r="Q277" s="38">
        <f t="shared" si="53"/>
        <v>14.081908112689606</v>
      </c>
      <c r="R277" s="59">
        <f t="shared" si="54"/>
        <v>41.6</v>
      </c>
      <c r="S277" s="37">
        <v>524500</v>
      </c>
      <c r="T277" s="41">
        <v>2696</v>
      </c>
    </row>
    <row r="278" spans="1:20" x14ac:dyDescent="0.25">
      <c r="A278" s="42" t="str">
        <f t="shared" si="44"/>
        <v>RECC  500*300*10</v>
      </c>
      <c r="B278" s="44">
        <f t="shared" si="45"/>
        <v>119.76460093227195</v>
      </c>
      <c r="C278" s="43">
        <v>500</v>
      </c>
      <c r="D278" s="43">
        <v>300</v>
      </c>
      <c r="E278" s="43">
        <v>10</v>
      </c>
      <c r="F278" s="43">
        <f t="shared" si="46"/>
        <v>15</v>
      </c>
      <c r="G278" s="43">
        <f t="shared" si="47"/>
        <v>25</v>
      </c>
      <c r="H278" s="44">
        <f t="shared" si="48"/>
        <v>152.56637061435916</v>
      </c>
      <c r="I278" s="43">
        <v>65813</v>
      </c>
      <c r="J278" s="44">
        <f t="shared" si="49"/>
        <v>2632.52</v>
      </c>
      <c r="K278" s="43">
        <v>3196</v>
      </c>
      <c r="L278" s="45">
        <f t="shared" si="50"/>
        <v>20.769518888264844</v>
      </c>
      <c r="M278" s="46">
        <f t="shared" si="51"/>
        <v>90</v>
      </c>
      <c r="N278" s="43">
        <v>29780</v>
      </c>
      <c r="O278" s="44">
        <f t="shared" si="52"/>
        <v>1985.3333333333333</v>
      </c>
      <c r="P278" s="43">
        <v>2244</v>
      </c>
      <c r="Q278" s="44">
        <f t="shared" si="53"/>
        <v>13.971175214134083</v>
      </c>
      <c r="R278" s="60">
        <f t="shared" si="54"/>
        <v>50</v>
      </c>
      <c r="S278" s="43">
        <v>643900</v>
      </c>
      <c r="T278" s="47">
        <v>3281</v>
      </c>
    </row>
    <row r="279" spans="1:20" x14ac:dyDescent="0.25">
      <c r="A279" s="42" t="str">
        <f t="shared" si="44"/>
        <v>RECC  500*300*12.5</v>
      </c>
      <c r="B279" s="44">
        <f t="shared" si="45"/>
        <v>146.82929869584365</v>
      </c>
      <c r="C279" s="43">
        <v>500</v>
      </c>
      <c r="D279" s="43">
        <v>300</v>
      </c>
      <c r="E279" s="43">
        <v>12.5</v>
      </c>
      <c r="F279" s="43">
        <f t="shared" si="46"/>
        <v>25</v>
      </c>
      <c r="G279" s="43">
        <f t="shared" si="47"/>
        <v>37.5</v>
      </c>
      <c r="H279" s="44">
        <f t="shared" si="48"/>
        <v>187.04369260617025</v>
      </c>
      <c r="I279" s="43">
        <v>73700</v>
      </c>
      <c r="J279" s="44">
        <f t="shared" si="49"/>
        <v>2948</v>
      </c>
      <c r="K279" s="43">
        <v>3593</v>
      </c>
      <c r="L279" s="45">
        <f t="shared" si="50"/>
        <v>19.850077653828759</v>
      </c>
      <c r="M279" s="46">
        <f t="shared" si="51"/>
        <v>106.25</v>
      </c>
      <c r="N279" s="43">
        <v>33245</v>
      </c>
      <c r="O279" s="44">
        <f t="shared" si="52"/>
        <v>2216.3333333333335</v>
      </c>
      <c r="P279" s="43">
        <v>2519</v>
      </c>
      <c r="Q279" s="44">
        <f t="shared" si="53"/>
        <v>13.331887332294599</v>
      </c>
      <c r="R279" s="60">
        <f t="shared" si="54"/>
        <v>56.25</v>
      </c>
      <c r="S279" s="43">
        <v>722400</v>
      </c>
      <c r="T279" s="47">
        <v>3660</v>
      </c>
    </row>
    <row r="280" spans="1:20" x14ac:dyDescent="0.25">
      <c r="A280" s="42" t="str">
        <f t="shared" si="44"/>
        <v>RECC  500*300*14.2</v>
      </c>
      <c r="B280" s="44">
        <f t="shared" si="45"/>
        <v>165.22675064979146</v>
      </c>
      <c r="C280" s="43">
        <v>500</v>
      </c>
      <c r="D280" s="43">
        <v>300</v>
      </c>
      <c r="E280" s="43">
        <v>14.2</v>
      </c>
      <c r="F280" s="43">
        <f t="shared" si="46"/>
        <v>28.4</v>
      </c>
      <c r="G280" s="43">
        <f t="shared" si="47"/>
        <v>42.599999999999994</v>
      </c>
      <c r="H280" s="44">
        <f t="shared" si="48"/>
        <v>210.47993713349229</v>
      </c>
      <c r="I280" s="43">
        <v>81783</v>
      </c>
      <c r="J280" s="44">
        <f t="shared" si="49"/>
        <v>3271.32</v>
      </c>
      <c r="K280" s="43">
        <v>4005</v>
      </c>
      <c r="L280" s="45">
        <f t="shared" si="50"/>
        <v>19.71179464420328</v>
      </c>
      <c r="M280" s="46">
        <f t="shared" si="51"/>
        <v>117.8032</v>
      </c>
      <c r="N280" s="43">
        <v>36768</v>
      </c>
      <c r="O280" s="44">
        <f t="shared" si="52"/>
        <v>2451.1999999999998</v>
      </c>
      <c r="P280" s="43">
        <v>2804</v>
      </c>
      <c r="Q280" s="44">
        <f t="shared" si="53"/>
        <v>13.216901421682214</v>
      </c>
      <c r="R280" s="60">
        <f t="shared" si="54"/>
        <v>61.0032</v>
      </c>
      <c r="S280" s="43">
        <v>803300</v>
      </c>
      <c r="T280" s="47">
        <v>4044</v>
      </c>
    </row>
    <row r="281" spans="1:20" x14ac:dyDescent="0.25">
      <c r="A281" s="48" t="str">
        <f t="shared" si="44"/>
        <v>RECC  500*300*16</v>
      </c>
      <c r="B281" s="50">
        <f t="shared" si="45"/>
        <v>184.29632298327024</v>
      </c>
      <c r="C281" s="49">
        <v>500</v>
      </c>
      <c r="D281" s="49">
        <v>300</v>
      </c>
      <c r="E281" s="49">
        <v>16</v>
      </c>
      <c r="F281" s="49">
        <f t="shared" si="46"/>
        <v>32</v>
      </c>
      <c r="G281" s="49">
        <f t="shared" si="47"/>
        <v>48</v>
      </c>
      <c r="H281" s="50">
        <f t="shared" si="48"/>
        <v>234.77238596594935</v>
      </c>
      <c r="I281" s="49">
        <v>98777</v>
      </c>
      <c r="J281" s="50">
        <f t="shared" si="49"/>
        <v>3951.08</v>
      </c>
      <c r="K281" s="49">
        <v>4885</v>
      </c>
      <c r="L281" s="51">
        <f t="shared" si="50"/>
        <v>20.511830030246166</v>
      </c>
      <c r="M281" s="52">
        <f t="shared" si="51"/>
        <v>129.28</v>
      </c>
      <c r="N281" s="49">
        <v>44078</v>
      </c>
      <c r="O281" s="50">
        <f t="shared" si="52"/>
        <v>2938.5333333333333</v>
      </c>
      <c r="P281" s="49">
        <v>3408</v>
      </c>
      <c r="Q281" s="50">
        <f t="shared" si="53"/>
        <v>13.702109487406355</v>
      </c>
      <c r="R281" s="61">
        <f t="shared" si="54"/>
        <v>65.28</v>
      </c>
      <c r="S281" s="49">
        <v>974500</v>
      </c>
      <c r="T281" s="53">
        <v>4842</v>
      </c>
    </row>
  </sheetData>
  <sheetProtection algorithmName="SHA-512" hashValue="1118XIlPjlohkJuL0NV69298cxR5GDMUHWx4nbrpKaskPh+1tNNrfHPAlMG5HUkwhYNEOUz5fOUGycBTLuAuBQ==" saltValue="rcy1IzDj4MO7Y5RS3q1Iag==" spinCount="100000" sheet="1" objects="1" scenarios="1"/>
  <mergeCells count="3">
    <mergeCell ref="C1:G1"/>
    <mergeCell ref="J1:K1"/>
    <mergeCell ref="O1:P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7BA5-DFBC-4813-9049-55AB84267773}">
  <sheetPr>
    <tabColor rgb="FFFF0000"/>
  </sheetPr>
  <dimension ref="A1:T439"/>
  <sheetViews>
    <sheetView zoomScale="85" zoomScaleNormal="85" workbookViewId="0">
      <pane ySplit="2" topLeftCell="A3" activePane="bottomLeft" state="frozen"/>
      <selection sqref="A1:A3"/>
      <selection pane="bottomLeft" activeCell="V8" sqref="V8"/>
    </sheetView>
  </sheetViews>
  <sheetFormatPr baseColWidth="10" defaultRowHeight="15" x14ac:dyDescent="0.25"/>
  <cols>
    <col min="1" max="1" width="20.7109375" customWidth="1"/>
    <col min="5" max="7" width="0" hidden="1" customWidth="1"/>
    <col min="13" max="18" width="0" hidden="1" customWidth="1"/>
  </cols>
  <sheetData>
    <row r="1" spans="1:20" ht="30" x14ac:dyDescent="0.25">
      <c r="A1" s="92" t="s">
        <v>130</v>
      </c>
      <c r="B1" s="8" t="s">
        <v>131</v>
      </c>
      <c r="C1" s="338" t="s">
        <v>132</v>
      </c>
      <c r="D1" s="339"/>
      <c r="E1" s="93"/>
      <c r="F1" s="93"/>
      <c r="G1" s="93"/>
      <c r="H1" s="8" t="s">
        <v>133</v>
      </c>
      <c r="I1" s="9" t="s">
        <v>134</v>
      </c>
      <c r="J1" s="341" t="s">
        <v>135</v>
      </c>
      <c r="K1" s="342"/>
      <c r="L1" s="10" t="s">
        <v>136</v>
      </c>
      <c r="M1" s="12"/>
      <c r="N1" s="12"/>
      <c r="O1" s="12"/>
      <c r="P1" s="12"/>
      <c r="Q1" s="12"/>
      <c r="R1" s="12"/>
      <c r="S1" s="13" t="s">
        <v>138</v>
      </c>
      <c r="T1" s="62" t="s">
        <v>139</v>
      </c>
    </row>
    <row r="2" spans="1:20" ht="15.75" thickBot="1" x14ac:dyDescent="0.3">
      <c r="A2" s="64"/>
      <c r="B2" s="64" t="s">
        <v>140</v>
      </c>
      <c r="C2" s="65" t="s">
        <v>141</v>
      </c>
      <c r="D2" s="66" t="s">
        <v>4</v>
      </c>
      <c r="E2" s="94"/>
      <c r="F2" s="94"/>
      <c r="G2" s="94"/>
      <c r="H2" s="64" t="s">
        <v>145</v>
      </c>
      <c r="I2" s="65" t="s">
        <v>146</v>
      </c>
      <c r="J2" s="66" t="s">
        <v>147</v>
      </c>
      <c r="K2" s="66" t="s">
        <v>148</v>
      </c>
      <c r="L2" s="66" t="s">
        <v>149</v>
      </c>
      <c r="M2" s="94"/>
      <c r="N2" s="94"/>
      <c r="O2" s="94"/>
      <c r="P2" s="94"/>
      <c r="Q2" s="94"/>
      <c r="R2" s="94"/>
      <c r="S2" s="68" t="s">
        <v>151</v>
      </c>
      <c r="T2" s="66" t="s">
        <v>152</v>
      </c>
    </row>
    <row r="3" spans="1:20" ht="16.5" thickBot="1" x14ac:dyDescent="0.3">
      <c r="A3" s="95"/>
      <c r="B3" s="28" t="s">
        <v>176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30"/>
    </row>
    <row r="4" spans="1:20" x14ac:dyDescent="0.25">
      <c r="A4" s="17" t="str">
        <f t="shared" ref="A4:A67" si="0">$B$3&amp;"  "&amp;C4&amp;"*"&amp;D4</f>
        <v>CIRF  21.3*2</v>
      </c>
      <c r="B4" s="33">
        <f t="shared" ref="B4:B67" si="1">H4*0.785</f>
        <v>0.9519339899642435</v>
      </c>
      <c r="C4" s="17">
        <v>21.3</v>
      </c>
      <c r="D4" s="17">
        <v>2</v>
      </c>
      <c r="E4" s="17"/>
      <c r="F4" s="17"/>
      <c r="G4" s="17"/>
      <c r="H4" s="33">
        <f t="shared" ref="H4:H67" si="2">(C4^2-(C4-2*D4)^2)*PI()*0.01/4</f>
        <v>1.2126547642856604</v>
      </c>
      <c r="I4" s="33">
        <f t="shared" ref="I4:I67" si="3">(C4^4-(C4-2*D4)^4)*PI()*0.0001/64</f>
        <v>0.57069049025738539</v>
      </c>
      <c r="J4" s="33">
        <f t="shared" ref="J4:J67" si="4">I4/(C4*0.5*0.1)</f>
        <v>0.53585961526515047</v>
      </c>
      <c r="K4" s="34">
        <v>0.748</v>
      </c>
      <c r="L4" s="96">
        <f t="shared" ref="L4:L67" si="5">SQRT(I4/H4)</f>
        <v>0.68601202613365309</v>
      </c>
      <c r="M4" s="96"/>
      <c r="N4" s="96"/>
      <c r="O4" s="96"/>
      <c r="P4" s="96"/>
      <c r="Q4" s="96"/>
      <c r="R4" s="96"/>
      <c r="S4" s="17">
        <v>1.141</v>
      </c>
      <c r="T4">
        <v>1.0720000000000001</v>
      </c>
    </row>
    <row r="5" spans="1:20" x14ac:dyDescent="0.25">
      <c r="A5" s="17" t="str">
        <f t="shared" si="0"/>
        <v>CIRF  21.3*2.5</v>
      </c>
      <c r="B5" s="33">
        <f t="shared" si="1"/>
        <v>1.1590906095419544</v>
      </c>
      <c r="C5" s="17">
        <v>21.3</v>
      </c>
      <c r="D5" s="17">
        <v>2.5</v>
      </c>
      <c r="E5" s="17"/>
      <c r="F5" s="17"/>
      <c r="G5" s="17"/>
      <c r="H5" s="33">
        <f t="shared" si="2"/>
        <v>1.4765485471872031</v>
      </c>
      <c r="I5" s="33">
        <f t="shared" si="3"/>
        <v>0.66387468367220659</v>
      </c>
      <c r="J5" s="33">
        <f t="shared" si="4"/>
        <v>0.62335651049033469</v>
      </c>
      <c r="K5" s="34">
        <v>0.88900000000000001</v>
      </c>
      <c r="L5" s="96">
        <f t="shared" si="5"/>
        <v>0.6705315055983575</v>
      </c>
      <c r="M5" s="96"/>
      <c r="N5" s="96"/>
      <c r="O5" s="96"/>
      <c r="P5" s="96"/>
      <c r="Q5" s="96"/>
      <c r="R5" s="96"/>
      <c r="S5" s="17">
        <v>1.3280000000000001</v>
      </c>
      <c r="T5">
        <v>1.2470000000000001</v>
      </c>
    </row>
    <row r="6" spans="1:20" x14ac:dyDescent="0.25">
      <c r="A6" s="17" t="str">
        <f t="shared" si="0"/>
        <v>CIRF  21.3*3</v>
      </c>
      <c r="B6" s="33">
        <f t="shared" si="1"/>
        <v>1.3539164779543253</v>
      </c>
      <c r="C6" s="17">
        <v>21.3</v>
      </c>
      <c r="D6" s="17">
        <v>3</v>
      </c>
      <c r="E6" s="17"/>
      <c r="F6" s="17"/>
      <c r="G6" s="17"/>
      <c r="H6" s="33">
        <f t="shared" si="2"/>
        <v>1.7247343668207966</v>
      </c>
      <c r="I6" s="33">
        <f t="shared" si="3"/>
        <v>0.74139862675750468</v>
      </c>
      <c r="J6" s="33">
        <f t="shared" si="4"/>
        <v>0.69614894531221083</v>
      </c>
      <c r="K6" s="33">
        <v>1.01</v>
      </c>
      <c r="L6" s="96">
        <f t="shared" si="5"/>
        <v>0.65563900128043018</v>
      </c>
      <c r="M6" s="96"/>
      <c r="N6" s="96"/>
      <c r="O6" s="96"/>
      <c r="P6" s="96"/>
      <c r="Q6" s="96"/>
      <c r="R6" s="96"/>
      <c r="S6" s="17">
        <v>1.4830000000000001</v>
      </c>
      <c r="T6">
        <v>1.3919999999999999</v>
      </c>
    </row>
    <row r="7" spans="1:20" x14ac:dyDescent="0.25">
      <c r="A7" s="97" t="str">
        <f t="shared" si="0"/>
        <v>CIRF  26.9*2</v>
      </c>
      <c r="B7" s="38">
        <f t="shared" si="1"/>
        <v>1.2281428160678576</v>
      </c>
      <c r="C7" s="37">
        <v>26.9</v>
      </c>
      <c r="D7" s="37">
        <v>2</v>
      </c>
      <c r="E7" s="37"/>
      <c r="F7" s="37"/>
      <c r="G7" s="37"/>
      <c r="H7" s="38">
        <f t="shared" si="2"/>
        <v>1.5645131414877165</v>
      </c>
      <c r="I7" s="38">
        <f t="shared" si="3"/>
        <v>1.2203398067746873</v>
      </c>
      <c r="J7" s="38">
        <f t="shared" si="4"/>
        <v>0.90731584146816902</v>
      </c>
      <c r="K7" s="38">
        <v>1.24</v>
      </c>
      <c r="L7" s="98">
        <f t="shared" si="5"/>
        <v>0.88318316333589597</v>
      </c>
      <c r="M7" s="98"/>
      <c r="N7" s="98"/>
      <c r="O7" s="98"/>
      <c r="P7" s="98"/>
      <c r="Q7" s="98"/>
      <c r="R7" s="98"/>
      <c r="S7" s="37">
        <v>2.4410000000000003</v>
      </c>
      <c r="T7" s="99">
        <v>1.8149999999999999</v>
      </c>
    </row>
    <row r="8" spans="1:20" x14ac:dyDescent="0.25">
      <c r="A8" s="100" t="str">
        <f t="shared" si="0"/>
        <v>CIRF  26.9*2.5</v>
      </c>
      <c r="B8" s="44">
        <f t="shared" si="1"/>
        <v>1.5043516421714722</v>
      </c>
      <c r="C8" s="43">
        <v>26.9</v>
      </c>
      <c r="D8" s="43">
        <v>2.5</v>
      </c>
      <c r="E8" s="43"/>
      <c r="F8" s="43"/>
      <c r="G8" s="43"/>
      <c r="H8" s="44">
        <f t="shared" si="2"/>
        <v>1.9163715186897734</v>
      </c>
      <c r="I8" s="44">
        <f t="shared" si="3"/>
        <v>1.4411353366986932</v>
      </c>
      <c r="J8" s="44">
        <f t="shared" si="4"/>
        <v>1.0714760867648276</v>
      </c>
      <c r="K8" s="44">
        <v>1.49</v>
      </c>
      <c r="L8" s="101">
        <f t="shared" si="5"/>
        <v>0.86718654279226448</v>
      </c>
      <c r="M8" s="101"/>
      <c r="N8" s="101"/>
      <c r="O8" s="101"/>
      <c r="P8" s="101"/>
      <c r="Q8" s="101"/>
      <c r="R8" s="101"/>
      <c r="S8" s="43">
        <v>2.8820000000000001</v>
      </c>
      <c r="T8" s="102">
        <v>2.1429999999999998</v>
      </c>
    </row>
    <row r="9" spans="1:20" x14ac:dyDescent="0.25">
      <c r="A9" s="103" t="str">
        <f t="shared" si="0"/>
        <v>CIRF  26.9*3</v>
      </c>
      <c r="B9" s="50">
        <f t="shared" si="1"/>
        <v>1.768229717109747</v>
      </c>
      <c r="C9" s="49">
        <v>26.9</v>
      </c>
      <c r="D9" s="49">
        <v>3</v>
      </c>
      <c r="E9" s="49"/>
      <c r="F9" s="49"/>
      <c r="G9" s="49"/>
      <c r="H9" s="50">
        <f t="shared" si="2"/>
        <v>2.2525219326238815</v>
      </c>
      <c r="I9" s="50">
        <f t="shared" si="3"/>
        <v>1.6336696881596275</v>
      </c>
      <c r="J9" s="50">
        <f t="shared" si="4"/>
        <v>1.2146243034644071</v>
      </c>
      <c r="K9" s="50">
        <v>1.72</v>
      </c>
      <c r="L9" s="104">
        <f t="shared" si="5"/>
        <v>0.85162344965365999</v>
      </c>
      <c r="M9" s="104"/>
      <c r="N9" s="104"/>
      <c r="O9" s="104"/>
      <c r="P9" s="104"/>
      <c r="Q9" s="104"/>
      <c r="R9" s="104"/>
      <c r="S9" s="49">
        <v>3.2670000000000003</v>
      </c>
      <c r="T9" s="105">
        <v>2.4289999999999998</v>
      </c>
    </row>
    <row r="10" spans="1:20" x14ac:dyDescent="0.25">
      <c r="A10" s="17" t="str">
        <f t="shared" si="0"/>
        <v>CIRF  33.7*2</v>
      </c>
      <c r="B10" s="33">
        <f t="shared" si="1"/>
        <v>1.5635392477651051</v>
      </c>
      <c r="C10" s="17">
        <v>33.700000000000003</v>
      </c>
      <c r="D10" s="17">
        <v>2</v>
      </c>
      <c r="E10" s="17"/>
      <c r="F10" s="17"/>
      <c r="G10" s="17"/>
      <c r="H10" s="33">
        <f t="shared" si="2"/>
        <v>1.99176974237593</v>
      </c>
      <c r="I10" s="33">
        <f t="shared" si="3"/>
        <v>2.5118457192320656</v>
      </c>
      <c r="J10" s="33">
        <f t="shared" si="4"/>
        <v>1.490709625657012</v>
      </c>
      <c r="K10" s="33">
        <v>2.0099999999999998</v>
      </c>
      <c r="L10" s="96">
        <f t="shared" si="5"/>
        <v>1.1229926535823822</v>
      </c>
      <c r="M10" s="96"/>
      <c r="N10" s="96"/>
      <c r="O10" s="96"/>
      <c r="P10" s="96"/>
      <c r="Q10" s="96"/>
      <c r="R10" s="96"/>
      <c r="S10" s="17">
        <v>5.0240000000000009</v>
      </c>
      <c r="T10">
        <v>2.9809999999999999</v>
      </c>
    </row>
    <row r="11" spans="1:20" x14ac:dyDescent="0.25">
      <c r="A11" s="17" t="str">
        <f t="shared" si="0"/>
        <v>CIRF  33.7*2.5</v>
      </c>
      <c r="B11" s="33">
        <f t="shared" si="1"/>
        <v>1.9235971817930311</v>
      </c>
      <c r="C11" s="17">
        <v>33.700000000000003</v>
      </c>
      <c r="D11" s="17">
        <v>2.5</v>
      </c>
      <c r="E11" s="17"/>
      <c r="F11" s="17"/>
      <c r="G11" s="17"/>
      <c r="H11" s="33">
        <f t="shared" si="2"/>
        <v>2.4504422698000394</v>
      </c>
      <c r="I11" s="33">
        <f t="shared" si="3"/>
        <v>3.0008422341255012</v>
      </c>
      <c r="J11" s="33">
        <f t="shared" si="4"/>
        <v>1.7809152724780419</v>
      </c>
      <c r="K11" s="33">
        <v>2.44</v>
      </c>
      <c r="L11" s="96">
        <f t="shared" si="5"/>
        <v>1.1066221125569469</v>
      </c>
      <c r="M11" s="96"/>
      <c r="N11" s="96"/>
      <c r="O11" s="96"/>
      <c r="P11" s="96"/>
      <c r="Q11" s="96"/>
      <c r="R11" s="96"/>
      <c r="S11" s="17">
        <v>6.0020000000000007</v>
      </c>
      <c r="T11">
        <v>3.5619999999999998</v>
      </c>
    </row>
    <row r="12" spans="1:20" x14ac:dyDescent="0.25">
      <c r="A12" s="17" t="str">
        <f t="shared" si="0"/>
        <v>CIRF  33.7*3</v>
      </c>
      <c r="B12" s="33">
        <f t="shared" si="1"/>
        <v>2.2713243646556172</v>
      </c>
      <c r="C12" s="17">
        <v>33.700000000000003</v>
      </c>
      <c r="D12" s="17">
        <v>3</v>
      </c>
      <c r="E12" s="17"/>
      <c r="F12" s="17"/>
      <c r="G12" s="17"/>
      <c r="H12" s="33">
        <f t="shared" si="2"/>
        <v>2.8934068339562002</v>
      </c>
      <c r="I12" s="33">
        <f t="shared" si="3"/>
        <v>3.4413095855512315</v>
      </c>
      <c r="J12" s="33">
        <f t="shared" si="4"/>
        <v>2.0423202288137867</v>
      </c>
      <c r="K12" s="33">
        <v>2.84</v>
      </c>
      <c r="L12" s="96">
        <f t="shared" si="5"/>
        <v>1.0905789746735448</v>
      </c>
      <c r="M12" s="96"/>
      <c r="N12" s="96"/>
      <c r="O12" s="96"/>
      <c r="P12" s="96"/>
      <c r="Q12" s="96"/>
      <c r="R12" s="96"/>
      <c r="S12" s="17">
        <v>6.883</v>
      </c>
      <c r="T12">
        <v>4.085</v>
      </c>
    </row>
    <row r="13" spans="1:20" x14ac:dyDescent="0.25">
      <c r="A13" s="97" t="str">
        <f t="shared" si="0"/>
        <v>CIRF  42.4*2</v>
      </c>
      <c r="B13" s="38">
        <f t="shared" si="1"/>
        <v>1.9926493883189347</v>
      </c>
      <c r="C13" s="37">
        <v>42.4</v>
      </c>
      <c r="D13" s="37">
        <v>2</v>
      </c>
      <c r="E13" s="37"/>
      <c r="F13" s="37"/>
      <c r="G13" s="37"/>
      <c r="H13" s="38">
        <f t="shared" si="2"/>
        <v>2.5384068641005535</v>
      </c>
      <c r="I13" s="38">
        <f t="shared" si="3"/>
        <v>5.1915497184584511</v>
      </c>
      <c r="J13" s="38">
        <f t="shared" si="4"/>
        <v>2.448844206820024</v>
      </c>
      <c r="K13" s="38">
        <v>3.27</v>
      </c>
      <c r="L13" s="98">
        <f t="shared" si="5"/>
        <v>1.4301048912579801</v>
      </c>
      <c r="M13" s="98"/>
      <c r="N13" s="98"/>
      <c r="O13" s="98"/>
      <c r="P13" s="98"/>
      <c r="Q13" s="98"/>
      <c r="R13" s="98"/>
      <c r="S13" s="37">
        <v>10.38</v>
      </c>
      <c r="T13" s="99">
        <v>4.8979999999999997</v>
      </c>
    </row>
    <row r="14" spans="1:20" x14ac:dyDescent="0.25">
      <c r="A14" s="100" t="str">
        <f t="shared" si="0"/>
        <v>CIRF  42.4*2.5</v>
      </c>
      <c r="B14" s="44">
        <f t="shared" si="1"/>
        <v>2.4599848574853178</v>
      </c>
      <c r="C14" s="43">
        <v>42.4</v>
      </c>
      <c r="D14" s="43">
        <v>2.5</v>
      </c>
      <c r="E14" s="43"/>
      <c r="F14" s="43"/>
      <c r="G14" s="43"/>
      <c r="H14" s="44">
        <f t="shared" si="2"/>
        <v>3.1337386719558187</v>
      </c>
      <c r="I14" s="44">
        <f t="shared" si="3"/>
        <v>6.260661462300134</v>
      </c>
      <c r="J14" s="44">
        <f t="shared" si="4"/>
        <v>2.9531421991981763</v>
      </c>
      <c r="K14" s="44">
        <v>3.99</v>
      </c>
      <c r="L14" s="101">
        <f t="shared" si="5"/>
        <v>1.4134443745687342</v>
      </c>
      <c r="M14" s="101"/>
      <c r="N14" s="101"/>
      <c r="O14" s="101"/>
      <c r="P14" s="101"/>
      <c r="Q14" s="101"/>
      <c r="R14" s="101"/>
      <c r="S14" s="43">
        <v>12.520000000000001</v>
      </c>
      <c r="T14" s="102">
        <v>5.9059999999999997</v>
      </c>
    </row>
    <row r="15" spans="1:20" x14ac:dyDescent="0.25">
      <c r="A15" s="100" t="str">
        <f t="shared" si="0"/>
        <v>CIRF  42.4*3</v>
      </c>
      <c r="B15" s="44">
        <f t="shared" si="1"/>
        <v>2.9149895754863624</v>
      </c>
      <c r="C15" s="43">
        <v>42.4</v>
      </c>
      <c r="D15" s="43">
        <v>3</v>
      </c>
      <c r="E15" s="43"/>
      <c r="F15" s="43"/>
      <c r="G15" s="43"/>
      <c r="H15" s="44">
        <f t="shared" si="2"/>
        <v>3.7133625165431368</v>
      </c>
      <c r="I15" s="44">
        <f t="shared" si="3"/>
        <v>7.2473696235372396</v>
      </c>
      <c r="J15" s="44">
        <f t="shared" si="4"/>
        <v>3.4185705771402071</v>
      </c>
      <c r="K15" s="44">
        <v>4.67</v>
      </c>
      <c r="L15" s="101">
        <f t="shared" si="5"/>
        <v>1.3970325694127534</v>
      </c>
      <c r="M15" s="101"/>
      <c r="N15" s="101"/>
      <c r="O15" s="101"/>
      <c r="P15" s="101"/>
      <c r="Q15" s="101"/>
      <c r="R15" s="101"/>
      <c r="S15" s="43">
        <v>14.490000000000002</v>
      </c>
      <c r="T15" s="102">
        <v>6.8369999999999997</v>
      </c>
    </row>
    <row r="16" spans="1:20" x14ac:dyDescent="0.25">
      <c r="A16" s="103" t="str">
        <f t="shared" si="0"/>
        <v>CIRF  42.4*4</v>
      </c>
      <c r="B16" s="50">
        <f t="shared" si="1"/>
        <v>3.7880067579924299</v>
      </c>
      <c r="C16" s="49">
        <v>42.4</v>
      </c>
      <c r="D16" s="49">
        <v>4</v>
      </c>
      <c r="E16" s="49"/>
      <c r="F16" s="49"/>
      <c r="G16" s="49"/>
      <c r="H16" s="50">
        <f t="shared" si="2"/>
        <v>4.8254863159139232</v>
      </c>
      <c r="I16" s="50">
        <f t="shared" si="3"/>
        <v>8.9908461038108207</v>
      </c>
      <c r="J16" s="50">
        <f t="shared" si="4"/>
        <v>4.2409651433069904</v>
      </c>
      <c r="K16" s="50">
        <v>5.92</v>
      </c>
      <c r="L16" s="104">
        <f t="shared" si="5"/>
        <v>1.3649908424601243</v>
      </c>
      <c r="M16" s="104"/>
      <c r="N16" s="104"/>
      <c r="O16" s="104"/>
      <c r="P16" s="104"/>
      <c r="Q16" s="104"/>
      <c r="R16" s="104"/>
      <c r="S16" s="49">
        <v>17.98</v>
      </c>
      <c r="T16" s="105">
        <v>8.4819999999999993</v>
      </c>
    </row>
    <row r="17" spans="1:20" x14ac:dyDescent="0.25">
      <c r="A17" s="17" t="str">
        <f t="shared" si="0"/>
        <v>CIRF  48.3*2</v>
      </c>
      <c r="B17" s="33">
        <f t="shared" si="1"/>
        <v>2.2836551158209573</v>
      </c>
      <c r="C17" s="17">
        <v>48.3</v>
      </c>
      <c r="D17" s="17">
        <v>2</v>
      </c>
      <c r="E17" s="17"/>
      <c r="F17" s="17"/>
      <c r="G17" s="17"/>
      <c r="H17" s="33">
        <f t="shared" si="2"/>
        <v>2.9091147972241491</v>
      </c>
      <c r="I17" s="33">
        <f t="shared" si="3"/>
        <v>7.8098459485629137</v>
      </c>
      <c r="J17" s="33">
        <f t="shared" si="4"/>
        <v>3.233890661930813</v>
      </c>
      <c r="K17" s="33">
        <v>4.29</v>
      </c>
      <c r="L17" s="96">
        <f t="shared" si="5"/>
        <v>1.6384787151501234</v>
      </c>
      <c r="M17" s="96"/>
      <c r="N17" s="96"/>
      <c r="O17" s="96"/>
      <c r="P17" s="96"/>
      <c r="Q17" s="96"/>
      <c r="R17" s="96"/>
      <c r="S17" s="17">
        <v>15.62</v>
      </c>
      <c r="T17">
        <v>6.468</v>
      </c>
    </row>
    <row r="18" spans="1:20" x14ac:dyDescent="0.25">
      <c r="A18" s="17" t="str">
        <f t="shared" si="0"/>
        <v>CIRF  48.3*2.5</v>
      </c>
      <c r="B18" s="33">
        <f t="shared" si="1"/>
        <v>2.8237420168628473</v>
      </c>
      <c r="C18" s="17">
        <v>48.3</v>
      </c>
      <c r="D18" s="17">
        <v>2.5</v>
      </c>
      <c r="E18" s="17"/>
      <c r="F18" s="17"/>
      <c r="G18" s="17"/>
      <c r="H18" s="33">
        <f t="shared" si="2"/>
        <v>3.597123588360315</v>
      </c>
      <c r="I18" s="33">
        <f t="shared" si="3"/>
        <v>9.4599404328942267</v>
      </c>
      <c r="J18" s="33">
        <f t="shared" si="4"/>
        <v>3.9171595995421229</v>
      </c>
      <c r="K18" s="33">
        <v>5.25</v>
      </c>
      <c r="L18" s="96">
        <f t="shared" si="5"/>
        <v>1.6216850804024805</v>
      </c>
      <c r="M18" s="96"/>
      <c r="N18" s="96"/>
      <c r="O18" s="96"/>
      <c r="P18" s="96"/>
      <c r="Q18" s="96"/>
      <c r="R18" s="96"/>
      <c r="S18" s="17">
        <v>18.919999999999998</v>
      </c>
      <c r="T18">
        <v>7.8339999999999996</v>
      </c>
    </row>
    <row r="19" spans="1:20" x14ac:dyDescent="0.25">
      <c r="A19" s="17" t="str">
        <f t="shared" si="0"/>
        <v>CIRF  48.3*3</v>
      </c>
      <c r="B19" s="33">
        <f t="shared" si="1"/>
        <v>3.3514981667393959</v>
      </c>
      <c r="C19" s="17">
        <v>48.3</v>
      </c>
      <c r="D19" s="17">
        <v>3</v>
      </c>
      <c r="E19" s="17"/>
      <c r="F19" s="17"/>
      <c r="G19" s="17"/>
      <c r="H19" s="33">
        <f t="shared" si="2"/>
        <v>4.2694244162285298</v>
      </c>
      <c r="I19" s="33">
        <f t="shared" si="3"/>
        <v>10.999584962555573</v>
      </c>
      <c r="J19" s="33">
        <f t="shared" si="4"/>
        <v>4.5546935662756001</v>
      </c>
      <c r="K19" s="33">
        <v>6.17</v>
      </c>
      <c r="L19" s="96">
        <f t="shared" si="5"/>
        <v>1.6051051367433846</v>
      </c>
      <c r="M19" s="96"/>
      <c r="N19" s="96"/>
      <c r="O19" s="96"/>
      <c r="P19" s="96"/>
      <c r="Q19" s="96"/>
      <c r="R19" s="96"/>
      <c r="S19" s="17">
        <v>22</v>
      </c>
      <c r="T19">
        <v>9.109</v>
      </c>
    </row>
    <row r="20" spans="1:20" x14ac:dyDescent="0.25">
      <c r="A20" s="17" t="str">
        <f t="shared" si="0"/>
        <v>CIRF  48.3*4</v>
      </c>
      <c r="B20" s="33">
        <f t="shared" si="1"/>
        <v>4.3700182129964746</v>
      </c>
      <c r="C20" s="17">
        <v>48.3</v>
      </c>
      <c r="D20" s="17">
        <v>4</v>
      </c>
      <c r="E20" s="17"/>
      <c r="F20" s="17"/>
      <c r="G20" s="17"/>
      <c r="H20" s="33">
        <f t="shared" si="2"/>
        <v>5.5669021821611144</v>
      </c>
      <c r="I20" s="33">
        <f t="shared" si="3"/>
        <v>13.767575372979927</v>
      </c>
      <c r="J20" s="33">
        <f t="shared" si="4"/>
        <v>5.7008593676935515</v>
      </c>
      <c r="K20" s="33">
        <v>7.87</v>
      </c>
      <c r="L20" s="96">
        <f t="shared" si="5"/>
        <v>1.5726132709601555</v>
      </c>
      <c r="M20" s="96"/>
      <c r="N20" s="96"/>
      <c r="O20" s="96"/>
      <c r="P20" s="96"/>
      <c r="Q20" s="96"/>
      <c r="R20" s="96"/>
      <c r="S20" s="17">
        <v>27.54</v>
      </c>
      <c r="T20">
        <v>11.4</v>
      </c>
    </row>
    <row r="21" spans="1:20" x14ac:dyDescent="0.25">
      <c r="A21" s="17" t="str">
        <f t="shared" si="0"/>
        <v>CIRF  48.3*5</v>
      </c>
      <c r="B21" s="33">
        <f t="shared" si="1"/>
        <v>5.3392152545921938</v>
      </c>
      <c r="C21" s="17">
        <v>48.3</v>
      </c>
      <c r="D21" s="17">
        <v>5</v>
      </c>
      <c r="E21" s="17"/>
      <c r="F21" s="17"/>
      <c r="G21" s="17"/>
      <c r="H21" s="33">
        <f t="shared" si="2"/>
        <v>6.8015480950219027</v>
      </c>
      <c r="I21" s="33">
        <f t="shared" si="3"/>
        <v>16.15274151281395</v>
      </c>
      <c r="J21" s="33">
        <f t="shared" si="4"/>
        <v>6.6885058024074331</v>
      </c>
      <c r="K21" s="33">
        <v>9.42</v>
      </c>
      <c r="L21" s="96">
        <f t="shared" si="5"/>
        <v>1.5410588892057304</v>
      </c>
      <c r="M21" s="96"/>
      <c r="N21" s="96"/>
      <c r="O21" s="96"/>
      <c r="P21" s="96"/>
      <c r="Q21" s="96"/>
      <c r="R21" s="96"/>
      <c r="S21" s="17">
        <v>32.31</v>
      </c>
      <c r="T21">
        <v>13.38</v>
      </c>
    </row>
    <row r="22" spans="1:20" x14ac:dyDescent="0.25">
      <c r="A22" s="97" t="str">
        <f t="shared" si="0"/>
        <v>CIRF  60.3*2</v>
      </c>
      <c r="B22" s="38">
        <f t="shared" si="1"/>
        <v>2.8755311717572738</v>
      </c>
      <c r="C22" s="37">
        <v>60.3</v>
      </c>
      <c r="D22" s="37">
        <v>2</v>
      </c>
      <c r="E22" s="37"/>
      <c r="F22" s="37"/>
      <c r="G22" s="37"/>
      <c r="H22" s="38">
        <f t="shared" si="2"/>
        <v>3.6630970340856992</v>
      </c>
      <c r="I22" s="38">
        <f t="shared" si="3"/>
        <v>15.581395332899863</v>
      </c>
      <c r="J22" s="38">
        <f t="shared" si="4"/>
        <v>5.1679586510447306</v>
      </c>
      <c r="K22" s="38">
        <v>6.8</v>
      </c>
      <c r="L22" s="98">
        <f t="shared" si="5"/>
        <v>2.0624287866493725</v>
      </c>
      <c r="M22" s="98"/>
      <c r="N22" s="98"/>
      <c r="O22" s="98"/>
      <c r="P22" s="98"/>
      <c r="Q22" s="98"/>
      <c r="R22" s="98"/>
      <c r="S22" s="37">
        <v>31.160000000000004</v>
      </c>
      <c r="T22" s="99">
        <v>10.34</v>
      </c>
    </row>
    <row r="23" spans="1:20" x14ac:dyDescent="0.25">
      <c r="A23" s="100" t="str">
        <f t="shared" si="0"/>
        <v>CIRF  60.3*2.5</v>
      </c>
      <c r="B23" s="44">
        <f t="shared" si="1"/>
        <v>3.5635870867832424</v>
      </c>
      <c r="C23" s="43">
        <v>60.3</v>
      </c>
      <c r="D23" s="43">
        <v>2.5</v>
      </c>
      <c r="E23" s="43"/>
      <c r="F23" s="43"/>
      <c r="G23" s="43"/>
      <c r="H23" s="44">
        <f t="shared" si="2"/>
        <v>4.5396013844372511</v>
      </c>
      <c r="I23" s="44">
        <f t="shared" si="3"/>
        <v>18.993067997295096</v>
      </c>
      <c r="J23" s="44">
        <f t="shared" si="4"/>
        <v>6.2995250405622203</v>
      </c>
      <c r="K23" s="44">
        <v>8.36</v>
      </c>
      <c r="L23" s="101">
        <f t="shared" si="5"/>
        <v>2.0454492171647769</v>
      </c>
      <c r="M23" s="101"/>
      <c r="N23" s="101"/>
      <c r="O23" s="101"/>
      <c r="P23" s="101"/>
      <c r="Q23" s="101"/>
      <c r="R23" s="101"/>
      <c r="S23" s="43">
        <v>37.99</v>
      </c>
      <c r="T23" s="102">
        <v>12.6</v>
      </c>
    </row>
    <row r="24" spans="1:20" x14ac:dyDescent="0.25">
      <c r="A24" s="100" t="str">
        <f t="shared" si="0"/>
        <v>CIRF  60.3*3</v>
      </c>
      <c r="B24" s="44">
        <f t="shared" si="1"/>
        <v>4.2393122506438701</v>
      </c>
      <c r="C24" s="43">
        <v>60.3</v>
      </c>
      <c r="D24" s="43">
        <v>3</v>
      </c>
      <c r="E24" s="43"/>
      <c r="F24" s="43"/>
      <c r="G24" s="43"/>
      <c r="H24" s="44">
        <f t="shared" si="2"/>
        <v>5.4003977715208533</v>
      </c>
      <c r="I24" s="44">
        <f t="shared" si="3"/>
        <v>22.224594474000487</v>
      </c>
      <c r="J24" s="44">
        <f t="shared" si="4"/>
        <v>7.3713414507464297</v>
      </c>
      <c r="K24" s="44">
        <v>9.86</v>
      </c>
      <c r="L24" s="101">
        <f t="shared" si="5"/>
        <v>2.0286356252417534</v>
      </c>
      <c r="M24" s="101"/>
      <c r="N24" s="101"/>
      <c r="O24" s="101"/>
      <c r="P24" s="101"/>
      <c r="Q24" s="101"/>
      <c r="R24" s="101"/>
      <c r="S24" s="43">
        <v>44.45</v>
      </c>
      <c r="T24" s="102">
        <v>14.74</v>
      </c>
    </row>
    <row r="25" spans="1:20" x14ac:dyDescent="0.25">
      <c r="A25" s="100" t="str">
        <f t="shared" si="0"/>
        <v>CIRF  60.3*4</v>
      </c>
      <c r="B25" s="44">
        <f t="shared" si="1"/>
        <v>5.5537703248691104</v>
      </c>
      <c r="C25" s="43">
        <v>60.3</v>
      </c>
      <c r="D25" s="43">
        <v>4</v>
      </c>
      <c r="E25" s="43"/>
      <c r="F25" s="43"/>
      <c r="G25" s="43"/>
      <c r="H25" s="44">
        <f t="shared" si="2"/>
        <v>7.0748666558842164</v>
      </c>
      <c r="I25" s="44">
        <f t="shared" si="3"/>
        <v>28.172914946229728</v>
      </c>
      <c r="J25" s="44">
        <f t="shared" si="4"/>
        <v>9.3442503967594455</v>
      </c>
      <c r="K25" s="44">
        <v>12.7</v>
      </c>
      <c r="L25" s="101">
        <f t="shared" si="5"/>
        <v>1.9955231143737722</v>
      </c>
      <c r="M25" s="101"/>
      <c r="N25" s="101"/>
      <c r="O25" s="101"/>
      <c r="P25" s="101"/>
      <c r="Q25" s="101"/>
      <c r="R25" s="101"/>
      <c r="S25" s="43">
        <v>56.35</v>
      </c>
      <c r="T25" s="102">
        <v>18.690000000000001</v>
      </c>
    </row>
    <row r="26" spans="1:20" x14ac:dyDescent="0.25">
      <c r="A26" s="103" t="str">
        <f t="shared" si="0"/>
        <v>CIRF  60.3*5</v>
      </c>
      <c r="B26" s="50">
        <f t="shared" si="1"/>
        <v>6.8189053944329858</v>
      </c>
      <c r="C26" s="49">
        <v>60.3</v>
      </c>
      <c r="D26" s="49">
        <v>5</v>
      </c>
      <c r="E26" s="49"/>
      <c r="F26" s="49"/>
      <c r="G26" s="49"/>
      <c r="H26" s="50">
        <f t="shared" si="2"/>
        <v>8.6865036871757777</v>
      </c>
      <c r="I26" s="50">
        <f t="shared" si="3"/>
        <v>33.47659081611846</v>
      </c>
      <c r="J26" s="50">
        <f t="shared" si="4"/>
        <v>11.103346871017731</v>
      </c>
      <c r="K26" s="50">
        <v>15.3</v>
      </c>
      <c r="L26" s="104">
        <f t="shared" si="5"/>
        <v>1.963125696434133</v>
      </c>
      <c r="M26" s="104"/>
      <c r="N26" s="104"/>
      <c r="O26" s="104"/>
      <c r="P26" s="104"/>
      <c r="Q26" s="104"/>
      <c r="R26" s="104"/>
      <c r="S26" s="49">
        <v>66.95</v>
      </c>
      <c r="T26" s="105">
        <v>22.21</v>
      </c>
    </row>
    <row r="27" spans="1:20" x14ac:dyDescent="0.25">
      <c r="A27" s="17" t="str">
        <f t="shared" si="0"/>
        <v>CIRF  76.1*2</v>
      </c>
      <c r="B27" s="33">
        <f t="shared" si="1"/>
        <v>3.6548346454067593</v>
      </c>
      <c r="C27" s="17">
        <v>76.099999999999994</v>
      </c>
      <c r="D27" s="17">
        <v>2</v>
      </c>
      <c r="E27" s="17"/>
      <c r="F27" s="17"/>
      <c r="G27" s="17"/>
      <c r="H27" s="33">
        <f t="shared" si="2"/>
        <v>4.6558403126200751</v>
      </c>
      <c r="I27" s="33">
        <f t="shared" si="3"/>
        <v>31.978697385234888</v>
      </c>
      <c r="J27" s="33">
        <f t="shared" si="4"/>
        <v>8.4043882747003646</v>
      </c>
      <c r="K27" s="58">
        <v>11</v>
      </c>
      <c r="L27" s="96">
        <f t="shared" si="5"/>
        <v>2.6207847107307383</v>
      </c>
      <c r="M27" s="96"/>
      <c r="N27" s="96"/>
      <c r="O27" s="96"/>
      <c r="P27" s="96"/>
      <c r="Q27" s="96"/>
      <c r="R27" s="96"/>
      <c r="S27" s="17">
        <v>63.960000000000008</v>
      </c>
      <c r="T27">
        <v>16.809999999999999</v>
      </c>
    </row>
    <row r="28" spans="1:20" x14ac:dyDescent="0.25">
      <c r="A28" s="17" t="str">
        <f t="shared" si="0"/>
        <v>CIRF  76.1*2.5</v>
      </c>
      <c r="B28" s="33">
        <f t="shared" si="1"/>
        <v>4.5377164288450977</v>
      </c>
      <c r="C28" s="17">
        <v>76.099999999999994</v>
      </c>
      <c r="D28" s="17">
        <v>2.5</v>
      </c>
      <c r="E28" s="17"/>
      <c r="F28" s="17"/>
      <c r="G28" s="17"/>
      <c r="H28" s="33">
        <f t="shared" si="2"/>
        <v>5.7805304826052195</v>
      </c>
      <c r="I28" s="33">
        <f t="shared" si="3"/>
        <v>39.186288398211801</v>
      </c>
      <c r="J28" s="33">
        <f t="shared" si="4"/>
        <v>10.298630328045151</v>
      </c>
      <c r="K28" s="58">
        <v>13.5</v>
      </c>
      <c r="L28" s="96">
        <f t="shared" si="5"/>
        <v>2.6036536828080648</v>
      </c>
      <c r="M28" s="96"/>
      <c r="N28" s="96"/>
      <c r="O28" s="96"/>
      <c r="P28" s="96"/>
      <c r="Q28" s="96"/>
      <c r="R28" s="96"/>
      <c r="S28" s="17">
        <v>78.37</v>
      </c>
      <c r="T28">
        <v>20.6</v>
      </c>
    </row>
    <row r="29" spans="1:20" x14ac:dyDescent="0.25">
      <c r="A29" s="17" t="str">
        <f t="shared" si="0"/>
        <v>CIRF  76.1*3</v>
      </c>
      <c r="B29" s="33">
        <f t="shared" si="1"/>
        <v>5.408267461118097</v>
      </c>
      <c r="C29" s="17">
        <v>76.099999999999994</v>
      </c>
      <c r="D29" s="17">
        <v>3</v>
      </c>
      <c r="E29" s="17"/>
      <c r="F29" s="17"/>
      <c r="G29" s="17"/>
      <c r="H29" s="33">
        <f t="shared" si="2"/>
        <v>6.8895126893224159</v>
      </c>
      <c r="I29" s="33">
        <f t="shared" si="3"/>
        <v>46.096093144992558</v>
      </c>
      <c r="J29" s="33">
        <f t="shared" si="4"/>
        <v>12.114610550589372</v>
      </c>
      <c r="K29" s="58">
        <v>16</v>
      </c>
      <c r="L29" s="96">
        <f t="shared" si="5"/>
        <v>2.5866508268415354</v>
      </c>
      <c r="M29" s="96"/>
      <c r="N29" s="96"/>
      <c r="O29" s="96"/>
      <c r="P29" s="96"/>
      <c r="Q29" s="96"/>
      <c r="R29" s="96"/>
      <c r="S29" s="17">
        <v>92.19</v>
      </c>
      <c r="T29">
        <v>24.23</v>
      </c>
    </row>
    <row r="30" spans="1:20" x14ac:dyDescent="0.25">
      <c r="A30" s="17" t="str">
        <f t="shared" si="0"/>
        <v>CIRF  76.1*4</v>
      </c>
      <c r="B30" s="33">
        <f t="shared" si="1"/>
        <v>7.1123772721680734</v>
      </c>
      <c r="C30" s="17">
        <v>76.099999999999994</v>
      </c>
      <c r="D30" s="17">
        <v>4</v>
      </c>
      <c r="E30" s="17"/>
      <c r="F30" s="17"/>
      <c r="G30" s="17"/>
      <c r="H30" s="33">
        <f t="shared" si="2"/>
        <v>9.0603532129529594</v>
      </c>
      <c r="I30" s="33">
        <f t="shared" si="3"/>
        <v>59.055495496442546</v>
      </c>
      <c r="J30" s="33">
        <f t="shared" si="4"/>
        <v>15.520498159380434</v>
      </c>
      <c r="K30" s="58">
        <v>20.8</v>
      </c>
      <c r="L30" s="96">
        <f t="shared" si="5"/>
        <v>2.5530398547613782</v>
      </c>
      <c r="M30" s="96"/>
      <c r="N30" s="96"/>
      <c r="O30" s="96"/>
      <c r="P30" s="96"/>
      <c r="Q30" s="96"/>
      <c r="R30" s="96"/>
      <c r="S30" s="17">
        <v>118.10000000000001</v>
      </c>
      <c r="T30">
        <v>31.04</v>
      </c>
    </row>
    <row r="31" spans="1:20" x14ac:dyDescent="0.25">
      <c r="A31" s="17" t="str">
        <f t="shared" si="0"/>
        <v>CIRF  76.1*5</v>
      </c>
      <c r="B31" s="33">
        <f t="shared" si="1"/>
        <v>8.7671640785566964</v>
      </c>
      <c r="C31" s="17">
        <v>76.099999999999994</v>
      </c>
      <c r="D31" s="17">
        <v>5</v>
      </c>
      <c r="E31" s="17"/>
      <c r="F31" s="17"/>
      <c r="G31" s="17"/>
      <c r="H31" s="33">
        <f t="shared" si="2"/>
        <v>11.168361883511714</v>
      </c>
      <c r="I31" s="33">
        <f t="shared" si="3"/>
        <v>70.922029655293812</v>
      </c>
      <c r="J31" s="33">
        <f t="shared" si="4"/>
        <v>18.639166795083788</v>
      </c>
      <c r="K31" s="58">
        <v>25.3</v>
      </c>
      <c r="L31" s="96">
        <f t="shared" si="5"/>
        <v>2.5199727181062892</v>
      </c>
      <c r="M31" s="96"/>
      <c r="N31" s="96"/>
      <c r="O31" s="96"/>
      <c r="P31" s="96"/>
      <c r="Q31" s="96"/>
      <c r="R31" s="96"/>
      <c r="S31" s="17">
        <v>141.80000000000001</v>
      </c>
      <c r="T31">
        <v>37.28</v>
      </c>
    </row>
    <row r="32" spans="1:20" x14ac:dyDescent="0.25">
      <c r="A32" s="17" t="str">
        <f t="shared" si="0"/>
        <v>CIRF  76.1*6</v>
      </c>
      <c r="B32" s="33">
        <f t="shared" si="1"/>
        <v>10.372627880283956</v>
      </c>
      <c r="C32" s="17">
        <v>76.099999999999994</v>
      </c>
      <c r="D32" s="17">
        <v>6</v>
      </c>
      <c r="E32" s="17"/>
      <c r="F32" s="17"/>
      <c r="G32" s="17"/>
      <c r="H32" s="33">
        <f t="shared" si="2"/>
        <v>13.213538700998669</v>
      </c>
      <c r="I32" s="33">
        <f t="shared" si="3"/>
        <v>81.758935881663007</v>
      </c>
      <c r="J32" s="33">
        <f t="shared" si="4"/>
        <v>21.487236762592119</v>
      </c>
      <c r="K32" s="58">
        <v>29.6</v>
      </c>
      <c r="L32" s="96">
        <f t="shared" si="5"/>
        <v>2.4874711053598189</v>
      </c>
      <c r="M32" s="96"/>
      <c r="N32" s="96"/>
      <c r="O32" s="96"/>
      <c r="P32" s="96"/>
      <c r="Q32" s="96"/>
      <c r="R32" s="96"/>
      <c r="S32" s="17">
        <v>163.5</v>
      </c>
      <c r="T32">
        <v>42.97</v>
      </c>
    </row>
    <row r="33" spans="1:20" x14ac:dyDescent="0.25">
      <c r="A33" s="17" t="str">
        <f t="shared" si="0"/>
        <v>CIRF  76.1*6.3</v>
      </c>
      <c r="B33" s="33">
        <f t="shared" si="1"/>
        <v>10.84464903489317</v>
      </c>
      <c r="C33" s="17">
        <v>76.099999999999994</v>
      </c>
      <c r="D33" s="17">
        <v>6.3</v>
      </c>
      <c r="E33" s="17"/>
      <c r="F33" s="17"/>
      <c r="G33" s="17"/>
      <c r="H33" s="33">
        <f t="shared" si="2"/>
        <v>13.814839534895757</v>
      </c>
      <c r="I33" s="33">
        <f t="shared" si="3"/>
        <v>84.818452235916908</v>
      </c>
      <c r="J33" s="33">
        <f t="shared" si="4"/>
        <v>22.291314648072778</v>
      </c>
      <c r="K33" s="58">
        <v>30.8</v>
      </c>
      <c r="L33" s="96">
        <f t="shared" si="5"/>
        <v>2.4778342357793024</v>
      </c>
      <c r="M33" s="96"/>
      <c r="N33" s="96"/>
      <c r="O33" s="96"/>
      <c r="P33" s="96"/>
      <c r="Q33" s="96"/>
      <c r="R33" s="96"/>
      <c r="S33" s="17">
        <v>169.60000000000002</v>
      </c>
      <c r="T33">
        <v>44.58</v>
      </c>
    </row>
    <row r="34" spans="1:20" x14ac:dyDescent="0.25">
      <c r="A34" s="97" t="str">
        <f t="shared" si="0"/>
        <v>CIRF  88.9*2</v>
      </c>
      <c r="B34" s="38">
        <f t="shared" si="1"/>
        <v>4.2861691050721618</v>
      </c>
      <c r="C34" s="37">
        <v>88.9</v>
      </c>
      <c r="D34" s="37">
        <v>2</v>
      </c>
      <c r="E34" s="37"/>
      <c r="F34" s="37"/>
      <c r="G34" s="37"/>
      <c r="H34" s="38">
        <f t="shared" si="2"/>
        <v>5.4600880319390592</v>
      </c>
      <c r="I34" s="38">
        <f t="shared" si="3"/>
        <v>51.56786966874887</v>
      </c>
      <c r="J34" s="38">
        <f t="shared" si="4"/>
        <v>11.601320510404694</v>
      </c>
      <c r="K34" s="59">
        <v>15.1</v>
      </c>
      <c r="L34" s="98">
        <f t="shared" si="5"/>
        <v>3.0731925582364679</v>
      </c>
      <c r="M34" s="98"/>
      <c r="N34" s="98"/>
      <c r="O34" s="98"/>
      <c r="P34" s="98"/>
      <c r="Q34" s="98"/>
      <c r="R34" s="98"/>
      <c r="S34" s="37">
        <v>103.10000000000001</v>
      </c>
      <c r="T34" s="99">
        <v>23.2</v>
      </c>
    </row>
    <row r="35" spans="1:20" x14ac:dyDescent="0.25">
      <c r="A35" s="100" t="str">
        <f t="shared" si="0"/>
        <v>CIRF  88.9*2.5</v>
      </c>
      <c r="B35" s="44">
        <f t="shared" si="1"/>
        <v>5.3268845034268537</v>
      </c>
      <c r="C35" s="43">
        <v>88.9</v>
      </c>
      <c r="D35" s="43">
        <v>2.5</v>
      </c>
      <c r="E35" s="43"/>
      <c r="F35" s="43"/>
      <c r="G35" s="43"/>
      <c r="H35" s="44">
        <f t="shared" si="2"/>
        <v>6.785840131753953</v>
      </c>
      <c r="I35" s="44">
        <f t="shared" si="3"/>
        <v>63.373045813451824</v>
      </c>
      <c r="J35" s="44">
        <f t="shared" si="4"/>
        <v>14.257153163881174</v>
      </c>
      <c r="K35" s="60">
        <v>18.7</v>
      </c>
      <c r="L35" s="101">
        <f t="shared" si="5"/>
        <v>3.0559797937813662</v>
      </c>
      <c r="M35" s="101"/>
      <c r="N35" s="101"/>
      <c r="O35" s="101"/>
      <c r="P35" s="101"/>
      <c r="Q35" s="101"/>
      <c r="R35" s="101"/>
      <c r="S35" s="43">
        <v>126.7</v>
      </c>
      <c r="T35" s="102">
        <v>28.51</v>
      </c>
    </row>
    <row r="36" spans="1:20" x14ac:dyDescent="0.25">
      <c r="A36" s="100" t="str">
        <f t="shared" si="0"/>
        <v>CIRF  88.9*3</v>
      </c>
      <c r="B36" s="44">
        <f t="shared" si="1"/>
        <v>6.3552691506162047</v>
      </c>
      <c r="C36" s="43">
        <v>88.9</v>
      </c>
      <c r="D36" s="43">
        <v>3</v>
      </c>
      <c r="E36" s="43"/>
      <c r="F36" s="43"/>
      <c r="G36" s="43"/>
      <c r="H36" s="44">
        <f t="shared" si="2"/>
        <v>8.0958842683008978</v>
      </c>
      <c r="I36" s="44">
        <f t="shared" si="3"/>
        <v>74.76356844524507</v>
      </c>
      <c r="J36" s="44">
        <f t="shared" si="4"/>
        <v>16.819700437625436</v>
      </c>
      <c r="K36" s="60">
        <v>22.1</v>
      </c>
      <c r="L36" s="101">
        <f t="shared" si="5"/>
        <v>3.0388752030973567</v>
      </c>
      <c r="M36" s="101"/>
      <c r="N36" s="101"/>
      <c r="O36" s="101"/>
      <c r="P36" s="101"/>
      <c r="Q36" s="101"/>
      <c r="R36" s="101"/>
      <c r="S36" s="43">
        <v>149.5</v>
      </c>
      <c r="T36" s="102">
        <v>33.64</v>
      </c>
    </row>
    <row r="37" spans="1:20" x14ac:dyDescent="0.25">
      <c r="A37" s="100" t="str">
        <f t="shared" si="0"/>
        <v>CIRF  88.9*4</v>
      </c>
      <c r="B37" s="44">
        <f t="shared" si="1"/>
        <v>8.3750461914988819</v>
      </c>
      <c r="C37" s="43">
        <v>88.9</v>
      </c>
      <c r="D37" s="43">
        <v>4</v>
      </c>
      <c r="E37" s="43"/>
      <c r="F37" s="43"/>
      <c r="G37" s="43"/>
      <c r="H37" s="44">
        <f t="shared" si="2"/>
        <v>10.668848651590933</v>
      </c>
      <c r="I37" s="44">
        <f t="shared" si="3"/>
        <v>96.339836684474321</v>
      </c>
      <c r="J37" s="44">
        <f t="shared" si="4"/>
        <v>21.673754034752378</v>
      </c>
      <c r="K37" s="60">
        <v>28.9</v>
      </c>
      <c r="L37" s="101">
        <f t="shared" si="5"/>
        <v>3.0049979201323924</v>
      </c>
      <c r="M37" s="101"/>
      <c r="N37" s="101"/>
      <c r="O37" s="101"/>
      <c r="P37" s="101"/>
      <c r="Q37" s="101"/>
      <c r="R37" s="101"/>
      <c r="S37" s="43">
        <v>192.70000000000002</v>
      </c>
      <c r="T37" s="102">
        <v>43.35</v>
      </c>
    </row>
    <row r="38" spans="1:20" x14ac:dyDescent="0.25">
      <c r="A38" s="100" t="str">
        <f t="shared" si="0"/>
        <v>CIRF  88.9*5</v>
      </c>
      <c r="B38" s="44">
        <f t="shared" si="1"/>
        <v>10.345500227720208</v>
      </c>
      <c r="C38" s="43">
        <v>88.9</v>
      </c>
      <c r="D38" s="43">
        <v>5</v>
      </c>
      <c r="E38" s="43"/>
      <c r="F38" s="43"/>
      <c r="G38" s="43"/>
      <c r="H38" s="44">
        <f t="shared" si="2"/>
        <v>13.178981181809181</v>
      </c>
      <c r="I38" s="44">
        <f t="shared" si="3"/>
        <v>116.37386331793533</v>
      </c>
      <c r="J38" s="44">
        <f t="shared" si="4"/>
        <v>26.180846640705361</v>
      </c>
      <c r="K38" s="60">
        <v>35.200000000000003</v>
      </c>
      <c r="L38" s="101">
        <f t="shared" si="5"/>
        <v>2.9715757604341846</v>
      </c>
      <c r="M38" s="101"/>
      <c r="N38" s="101"/>
      <c r="O38" s="101"/>
      <c r="P38" s="101"/>
      <c r="Q38" s="101"/>
      <c r="R38" s="101"/>
      <c r="S38" s="43">
        <v>232.70000000000002</v>
      </c>
      <c r="T38" s="102">
        <v>52.36</v>
      </c>
    </row>
    <row r="39" spans="1:20" x14ac:dyDescent="0.25">
      <c r="A39" s="100" t="str">
        <f t="shared" si="0"/>
        <v>CIRF  88.9*6</v>
      </c>
      <c r="B39" s="44">
        <f t="shared" si="1"/>
        <v>12.266631259280173</v>
      </c>
      <c r="C39" s="43">
        <v>88.9</v>
      </c>
      <c r="D39" s="43">
        <v>6</v>
      </c>
      <c r="E39" s="43"/>
      <c r="F39" s="43"/>
      <c r="G39" s="43"/>
      <c r="H39" s="44">
        <f t="shared" si="2"/>
        <v>15.626281858955634</v>
      </c>
      <c r="I39" s="44">
        <f t="shared" si="3"/>
        <v>134.94095232153461</v>
      </c>
      <c r="J39" s="44">
        <f t="shared" si="4"/>
        <v>30.357919532403734</v>
      </c>
      <c r="K39" s="60">
        <v>41.3</v>
      </c>
      <c r="L39" s="101">
        <f t="shared" si="5"/>
        <v>2.9386242529455853</v>
      </c>
      <c r="M39" s="101"/>
      <c r="N39" s="101"/>
      <c r="O39" s="101"/>
      <c r="P39" s="101"/>
      <c r="Q39" s="101"/>
      <c r="R39" s="101"/>
      <c r="S39" s="43">
        <v>269.90000000000003</v>
      </c>
      <c r="T39" s="102">
        <v>60.72</v>
      </c>
    </row>
    <row r="40" spans="1:20" x14ac:dyDescent="0.25">
      <c r="A40" s="103" t="str">
        <f t="shared" si="0"/>
        <v>CIRF  88.9*6.3</v>
      </c>
      <c r="B40" s="50">
        <f t="shared" si="1"/>
        <v>12.83335258283919</v>
      </c>
      <c r="C40" s="49">
        <v>88.9</v>
      </c>
      <c r="D40" s="49">
        <v>6.3</v>
      </c>
      <c r="E40" s="49"/>
      <c r="F40" s="49"/>
      <c r="G40" s="49"/>
      <c r="H40" s="50">
        <f t="shared" si="2"/>
        <v>16.34821985075056</v>
      </c>
      <c r="I40" s="50">
        <f t="shared" si="3"/>
        <v>140.23605164347902</v>
      </c>
      <c r="J40" s="50">
        <f t="shared" si="4"/>
        <v>31.549167973786052</v>
      </c>
      <c r="K40" s="61">
        <v>43.1</v>
      </c>
      <c r="L40" s="104">
        <f t="shared" si="5"/>
        <v>2.9288329587055668</v>
      </c>
      <c r="M40" s="104"/>
      <c r="N40" s="104"/>
      <c r="O40" s="104"/>
      <c r="P40" s="104"/>
      <c r="Q40" s="104"/>
      <c r="R40" s="104"/>
      <c r="S40" s="49">
        <v>280.5</v>
      </c>
      <c r="T40" s="105">
        <v>63.1</v>
      </c>
    </row>
    <row r="41" spans="1:20" x14ac:dyDescent="0.25">
      <c r="A41" s="17" t="str">
        <f t="shared" si="0"/>
        <v>CIRF  101.6*2</v>
      </c>
      <c r="B41" s="33">
        <f t="shared" si="1"/>
        <v>4.9125712642714383</v>
      </c>
      <c r="C41" s="17">
        <v>101.6</v>
      </c>
      <c r="D41" s="17">
        <v>2</v>
      </c>
      <c r="E41" s="17"/>
      <c r="F41" s="17"/>
      <c r="G41" s="17"/>
      <c r="H41" s="33">
        <f t="shared" si="2"/>
        <v>6.2580525659508766</v>
      </c>
      <c r="I41" s="33">
        <f t="shared" si="3"/>
        <v>77.6323936911338</v>
      </c>
      <c r="J41" s="33">
        <f t="shared" si="4"/>
        <v>15.281967262034213</v>
      </c>
      <c r="K41" s="58">
        <v>19.8</v>
      </c>
      <c r="L41" s="96">
        <f t="shared" si="5"/>
        <v>3.5221016453248475</v>
      </c>
      <c r="M41" s="96"/>
      <c r="N41" s="96"/>
      <c r="O41" s="96"/>
      <c r="P41" s="96"/>
      <c r="Q41" s="96"/>
      <c r="R41" s="96"/>
      <c r="S41" s="17">
        <v>155.30000000000001</v>
      </c>
      <c r="T41">
        <v>30.56</v>
      </c>
    </row>
    <row r="42" spans="1:20" x14ac:dyDescent="0.25">
      <c r="A42" s="17" t="str">
        <f t="shared" si="0"/>
        <v>CIRF  101.6*2.5</v>
      </c>
      <c r="B42" s="33">
        <f t="shared" si="1"/>
        <v>6.1098872024259396</v>
      </c>
      <c r="C42" s="17">
        <v>101.6</v>
      </c>
      <c r="D42" s="17">
        <v>2.5</v>
      </c>
      <c r="E42" s="17"/>
      <c r="F42" s="17"/>
      <c r="G42" s="17"/>
      <c r="H42" s="33">
        <f t="shared" si="2"/>
        <v>7.7832957992687124</v>
      </c>
      <c r="I42" s="33">
        <f t="shared" si="3"/>
        <v>95.608643521451995</v>
      </c>
      <c r="J42" s="33">
        <f t="shared" si="4"/>
        <v>18.820599118396061</v>
      </c>
      <c r="K42" s="58">
        <v>24.6</v>
      </c>
      <c r="L42" s="96">
        <f t="shared" si="5"/>
        <v>3.5048288117966617</v>
      </c>
      <c r="M42" s="96"/>
      <c r="N42" s="96"/>
      <c r="O42" s="96"/>
      <c r="P42" s="96"/>
      <c r="Q42" s="96"/>
      <c r="R42" s="96"/>
      <c r="S42" s="17">
        <v>191.20000000000002</v>
      </c>
      <c r="T42">
        <v>37.64</v>
      </c>
    </row>
    <row r="43" spans="1:20" x14ac:dyDescent="0.25">
      <c r="A43" s="17" t="str">
        <f t="shared" si="0"/>
        <v>CIRF  101.6*3</v>
      </c>
      <c r="B43" s="33">
        <f t="shared" si="1"/>
        <v>7.2948723894151124</v>
      </c>
      <c r="C43" s="17">
        <v>101.6</v>
      </c>
      <c r="D43" s="17">
        <v>3</v>
      </c>
      <c r="E43" s="17"/>
      <c r="F43" s="17"/>
      <c r="G43" s="17"/>
      <c r="H43" s="33">
        <f t="shared" si="2"/>
        <v>9.2928310693186145</v>
      </c>
      <c r="I43" s="33">
        <f t="shared" si="3"/>
        <v>113.03520927787083</v>
      </c>
      <c r="J43" s="33">
        <f t="shared" si="4"/>
        <v>22.251025448399769</v>
      </c>
      <c r="K43" s="58">
        <v>29.2</v>
      </c>
      <c r="L43" s="96">
        <f t="shared" si="5"/>
        <v>3.4876496383667899</v>
      </c>
      <c r="M43" s="96"/>
      <c r="N43" s="96"/>
      <c r="O43" s="96"/>
      <c r="P43" s="96"/>
      <c r="Q43" s="96"/>
      <c r="R43" s="96"/>
      <c r="S43" s="17">
        <v>226.10000000000002</v>
      </c>
      <c r="T43">
        <v>44.5</v>
      </c>
    </row>
    <row r="44" spans="1:20" x14ac:dyDescent="0.25">
      <c r="A44" s="17" t="str">
        <f t="shared" si="0"/>
        <v>CIRF  101.6*4</v>
      </c>
      <c r="B44" s="33">
        <f t="shared" si="1"/>
        <v>9.6278505098974279</v>
      </c>
      <c r="C44" s="17">
        <v>101.6</v>
      </c>
      <c r="D44" s="17">
        <v>4</v>
      </c>
      <c r="E44" s="17"/>
      <c r="F44" s="17"/>
      <c r="G44" s="17"/>
      <c r="H44" s="33">
        <f t="shared" si="2"/>
        <v>12.264777719614557</v>
      </c>
      <c r="I44" s="33">
        <f t="shared" si="3"/>
        <v>146.28445681738671</v>
      </c>
      <c r="J44" s="33">
        <f t="shared" si="4"/>
        <v>28.796152916808406</v>
      </c>
      <c r="K44" s="58">
        <v>38.1</v>
      </c>
      <c r="L44" s="96">
        <f t="shared" si="5"/>
        <v>3.4535778549208933</v>
      </c>
      <c r="M44" s="96"/>
      <c r="N44" s="96"/>
      <c r="O44" s="96"/>
      <c r="P44" s="96"/>
      <c r="Q44" s="96"/>
      <c r="R44" s="96"/>
      <c r="S44" s="17">
        <v>292.60000000000002</v>
      </c>
      <c r="T44">
        <v>57.59</v>
      </c>
    </row>
    <row r="45" spans="1:20" x14ac:dyDescent="0.25">
      <c r="A45" s="17" t="str">
        <f t="shared" si="0"/>
        <v>CIRF  101.6*5</v>
      </c>
      <c r="B45" s="33">
        <f t="shared" si="1"/>
        <v>11.91150562571838</v>
      </c>
      <c r="C45" s="17">
        <v>101.6</v>
      </c>
      <c r="D45" s="17">
        <v>5</v>
      </c>
      <c r="E45" s="17"/>
      <c r="F45" s="17"/>
      <c r="G45" s="17"/>
      <c r="H45" s="33">
        <f t="shared" si="2"/>
        <v>15.1738925168387</v>
      </c>
      <c r="I45" s="33">
        <f t="shared" si="3"/>
        <v>177.46929470919042</v>
      </c>
      <c r="J45" s="33">
        <f t="shared" si="4"/>
        <v>34.934900533305203</v>
      </c>
      <c r="K45" s="58">
        <v>46.7</v>
      </c>
      <c r="L45" s="96">
        <f t="shared" si="5"/>
        <v>3.4198976592874826</v>
      </c>
      <c r="M45" s="96"/>
      <c r="N45" s="96"/>
      <c r="O45" s="96"/>
      <c r="P45" s="96"/>
      <c r="Q45" s="96"/>
      <c r="R45" s="96"/>
      <c r="S45" s="17">
        <v>354.90000000000003</v>
      </c>
      <c r="T45">
        <v>69.87</v>
      </c>
    </row>
    <row r="46" spans="1:20" x14ac:dyDescent="0.25">
      <c r="A46" s="17" t="str">
        <f t="shared" si="0"/>
        <v>CIRF  101.6*6</v>
      </c>
      <c r="B46" s="33">
        <f t="shared" si="1"/>
        <v>14.145837736877981</v>
      </c>
      <c r="C46" s="17">
        <v>101.6</v>
      </c>
      <c r="D46" s="17">
        <v>6</v>
      </c>
      <c r="E46" s="17"/>
      <c r="F46" s="17"/>
      <c r="G46" s="17"/>
      <c r="H46" s="33">
        <f t="shared" si="2"/>
        <v>18.020175460991059</v>
      </c>
      <c r="I46" s="33">
        <f t="shared" si="3"/>
        <v>206.67699639719865</v>
      </c>
      <c r="J46" s="33">
        <f t="shared" si="4"/>
        <v>40.684448109684773</v>
      </c>
      <c r="K46" s="58">
        <v>54.9</v>
      </c>
      <c r="L46" s="96">
        <f t="shared" si="5"/>
        <v>3.386620734596657</v>
      </c>
      <c r="M46" s="96"/>
      <c r="N46" s="96"/>
      <c r="O46" s="96"/>
      <c r="P46" s="96"/>
      <c r="Q46" s="96"/>
      <c r="R46" s="96"/>
      <c r="S46" s="17">
        <v>413.40000000000003</v>
      </c>
      <c r="T46">
        <v>81.37</v>
      </c>
    </row>
    <row r="47" spans="1:20" x14ac:dyDescent="0.25">
      <c r="A47" s="17" t="str">
        <f t="shared" si="0"/>
        <v>CIRF  101.6*6.3</v>
      </c>
      <c r="B47" s="33">
        <f t="shared" si="1"/>
        <v>14.806519384316889</v>
      </c>
      <c r="C47" s="17">
        <v>101.6</v>
      </c>
      <c r="D47" s="17">
        <v>6.3</v>
      </c>
      <c r="E47" s="17"/>
      <c r="F47" s="17"/>
      <c r="G47" s="17"/>
      <c r="H47" s="33">
        <f t="shared" si="2"/>
        <v>18.861808132887756</v>
      </c>
      <c r="I47" s="33">
        <f t="shared" si="3"/>
        <v>215.06658023801609</v>
      </c>
      <c r="J47" s="33">
        <f t="shared" si="4"/>
        <v>42.335940991735448</v>
      </c>
      <c r="K47" s="58">
        <v>57.3</v>
      </c>
      <c r="L47" s="96">
        <f t="shared" si="5"/>
        <v>3.3767180812143613</v>
      </c>
      <c r="M47" s="96"/>
      <c r="N47" s="96"/>
      <c r="O47" s="96"/>
      <c r="P47" s="96"/>
      <c r="Q47" s="96"/>
      <c r="R47" s="96"/>
      <c r="S47" s="17">
        <v>430.1</v>
      </c>
      <c r="T47">
        <v>84.67</v>
      </c>
    </row>
    <row r="48" spans="1:20" x14ac:dyDescent="0.25">
      <c r="A48" s="97" t="str">
        <f t="shared" si="0"/>
        <v>CIRF  114.3*2.5</v>
      </c>
      <c r="B48" s="38">
        <f t="shared" si="1"/>
        <v>6.8928899014250264</v>
      </c>
      <c r="C48" s="37">
        <v>114.3</v>
      </c>
      <c r="D48" s="37">
        <v>2.5</v>
      </c>
      <c r="E48" s="37"/>
      <c r="F48" s="37"/>
      <c r="G48" s="37"/>
      <c r="H48" s="38">
        <f t="shared" si="2"/>
        <v>8.7807514667834727</v>
      </c>
      <c r="I48" s="54">
        <f t="shared" si="3"/>
        <v>137.2594995754325</v>
      </c>
      <c r="J48" s="59">
        <f t="shared" si="4"/>
        <v>24.017410249419509</v>
      </c>
      <c r="K48" s="59">
        <v>31.3</v>
      </c>
      <c r="L48" s="98">
        <f t="shared" si="5"/>
        <v>3.9537150251377491</v>
      </c>
      <c r="M48" s="98"/>
      <c r="N48" s="98"/>
      <c r="O48" s="98"/>
      <c r="P48" s="98"/>
      <c r="Q48" s="98"/>
      <c r="R48" s="98"/>
      <c r="S48" s="37">
        <v>274.5</v>
      </c>
      <c r="T48" s="99">
        <v>48.03</v>
      </c>
    </row>
    <row r="49" spans="1:20" x14ac:dyDescent="0.25">
      <c r="A49" s="100" t="str">
        <f t="shared" si="0"/>
        <v>CIRF  114.3*3</v>
      </c>
      <c r="B49" s="44">
        <f t="shared" si="1"/>
        <v>8.2344756282140139</v>
      </c>
      <c r="C49" s="43">
        <v>114.3</v>
      </c>
      <c r="D49" s="43">
        <v>3</v>
      </c>
      <c r="E49" s="43"/>
      <c r="F49" s="43"/>
      <c r="G49" s="43"/>
      <c r="H49" s="44">
        <f t="shared" si="2"/>
        <v>10.489777870336322</v>
      </c>
      <c r="I49" s="55">
        <f t="shared" si="3"/>
        <v>162.54815553427449</v>
      </c>
      <c r="J49" s="60">
        <f t="shared" si="4"/>
        <v>28.442371922007784</v>
      </c>
      <c r="K49" s="60">
        <v>37.200000000000003</v>
      </c>
      <c r="L49" s="101">
        <f t="shared" si="5"/>
        <v>3.9364784389095795</v>
      </c>
      <c r="M49" s="101"/>
      <c r="N49" s="101"/>
      <c r="O49" s="101"/>
      <c r="P49" s="101"/>
      <c r="Q49" s="101"/>
      <c r="R49" s="101"/>
      <c r="S49" s="43">
        <v>325.10000000000002</v>
      </c>
      <c r="T49" s="102">
        <v>56.88</v>
      </c>
    </row>
    <row r="50" spans="1:20" x14ac:dyDescent="0.25">
      <c r="A50" s="100" t="str">
        <f t="shared" si="0"/>
        <v>CIRF  114.3*4</v>
      </c>
      <c r="B50" s="44">
        <f t="shared" si="1"/>
        <v>10.880654828295969</v>
      </c>
      <c r="C50" s="43">
        <v>114.3</v>
      </c>
      <c r="D50" s="43">
        <v>4</v>
      </c>
      <c r="E50" s="43"/>
      <c r="F50" s="43"/>
      <c r="G50" s="43"/>
      <c r="H50" s="44">
        <f t="shared" si="2"/>
        <v>13.860706787638176</v>
      </c>
      <c r="I50" s="55">
        <f t="shared" si="3"/>
        <v>211.06547193827393</v>
      </c>
      <c r="J50" s="60">
        <f t="shared" si="4"/>
        <v>36.931841109059306</v>
      </c>
      <c r="K50" s="60">
        <v>48.7</v>
      </c>
      <c r="L50" s="101">
        <f t="shared" si="5"/>
        <v>3.9022573595292251</v>
      </c>
      <c r="M50" s="101"/>
      <c r="N50" s="101"/>
      <c r="O50" s="101"/>
      <c r="P50" s="101"/>
      <c r="Q50" s="101"/>
      <c r="R50" s="101"/>
      <c r="S50" s="43">
        <v>422.1</v>
      </c>
      <c r="T50" s="102">
        <v>73.86</v>
      </c>
    </row>
    <row r="51" spans="1:20" x14ac:dyDescent="0.25">
      <c r="A51" s="100" t="str">
        <f t="shared" si="0"/>
        <v>CIRF  114.3*5</v>
      </c>
      <c r="B51" s="44">
        <f t="shared" si="1"/>
        <v>13.477511023716552</v>
      </c>
      <c r="C51" s="43">
        <v>114.3</v>
      </c>
      <c r="D51" s="43">
        <v>5</v>
      </c>
      <c r="E51" s="43"/>
      <c r="F51" s="43"/>
      <c r="G51" s="43"/>
      <c r="H51" s="44">
        <f t="shared" si="2"/>
        <v>17.168803851868219</v>
      </c>
      <c r="I51" s="55">
        <f t="shared" si="3"/>
        <v>256.92020453075236</v>
      </c>
      <c r="J51" s="60">
        <f t="shared" si="4"/>
        <v>44.955416365835937</v>
      </c>
      <c r="K51" s="60">
        <v>59.8</v>
      </c>
      <c r="L51" s="101">
        <f t="shared" si="5"/>
        <v>3.8683798288172273</v>
      </c>
      <c r="M51" s="101"/>
      <c r="N51" s="101"/>
      <c r="O51" s="101"/>
      <c r="P51" s="101"/>
      <c r="Q51" s="101"/>
      <c r="R51" s="101"/>
      <c r="S51" s="43">
        <v>513.80000000000007</v>
      </c>
      <c r="T51" s="102">
        <v>89.91</v>
      </c>
    </row>
    <row r="52" spans="1:20" x14ac:dyDescent="0.25">
      <c r="A52" s="100" t="str">
        <f t="shared" si="0"/>
        <v>CIRF  114.3*6</v>
      </c>
      <c r="B52" s="44">
        <f t="shared" si="1"/>
        <v>16.025044214475788</v>
      </c>
      <c r="C52" s="43">
        <v>114.3</v>
      </c>
      <c r="D52" s="43">
        <v>6</v>
      </c>
      <c r="E52" s="43"/>
      <c r="F52" s="43"/>
      <c r="G52" s="43"/>
      <c r="H52" s="44">
        <f t="shared" si="2"/>
        <v>20.414069063026481</v>
      </c>
      <c r="I52" s="55">
        <f t="shared" si="3"/>
        <v>300.211596223637</v>
      </c>
      <c r="J52" s="60">
        <f t="shared" si="4"/>
        <v>52.530463031257568</v>
      </c>
      <c r="K52" s="60">
        <v>70.400000000000006</v>
      </c>
      <c r="L52" s="101">
        <f t="shared" si="5"/>
        <v>3.8348549516246373</v>
      </c>
      <c r="M52" s="101"/>
      <c r="N52" s="101"/>
      <c r="O52" s="101"/>
      <c r="P52" s="101"/>
      <c r="Q52" s="101"/>
      <c r="R52" s="101"/>
      <c r="S52" s="43">
        <v>600.4</v>
      </c>
      <c r="T52" s="102">
        <v>105.1</v>
      </c>
    </row>
    <row r="53" spans="1:20" x14ac:dyDescent="0.25">
      <c r="A53" s="100" t="str">
        <f t="shared" si="0"/>
        <v>CIRF  114.3*6.3</v>
      </c>
      <c r="B53" s="44">
        <f t="shared" si="1"/>
        <v>16.779686185794581</v>
      </c>
      <c r="C53" s="43">
        <v>114.3</v>
      </c>
      <c r="D53" s="43">
        <v>6.3</v>
      </c>
      <c r="E53" s="43"/>
      <c r="F53" s="43"/>
      <c r="G53" s="43"/>
      <c r="H53" s="44">
        <f t="shared" si="2"/>
        <v>21.375396415024944</v>
      </c>
      <c r="I53" s="55">
        <f t="shared" si="3"/>
        <v>312.71376658570404</v>
      </c>
      <c r="J53" s="60">
        <f t="shared" si="4"/>
        <v>54.718069393823981</v>
      </c>
      <c r="K53" s="60">
        <v>73.599999999999994</v>
      </c>
      <c r="L53" s="101">
        <f t="shared" si="5"/>
        <v>3.8248676447689007</v>
      </c>
      <c r="M53" s="101"/>
      <c r="N53" s="101"/>
      <c r="O53" s="101"/>
      <c r="P53" s="101"/>
      <c r="Q53" s="101"/>
      <c r="R53" s="101"/>
      <c r="S53" s="43">
        <v>625.40000000000009</v>
      </c>
      <c r="T53" s="102">
        <v>109.4</v>
      </c>
    </row>
    <row r="54" spans="1:20" x14ac:dyDescent="0.25">
      <c r="A54" s="103" t="str">
        <f t="shared" si="0"/>
        <v>CIRF  114.3*8</v>
      </c>
      <c r="B54" s="50">
        <f t="shared" si="1"/>
        <v>20.972141582010167</v>
      </c>
      <c r="C54" s="49">
        <v>114.3</v>
      </c>
      <c r="D54" s="49">
        <v>8</v>
      </c>
      <c r="E54" s="49"/>
      <c r="F54" s="49"/>
      <c r="G54" s="49"/>
      <c r="H54" s="50">
        <f t="shared" si="2"/>
        <v>26.716103926127602</v>
      </c>
      <c r="I54" s="56">
        <f t="shared" si="3"/>
        <v>379.49190378037127</v>
      </c>
      <c r="J54" s="61">
        <f t="shared" si="4"/>
        <v>66.402782813713259</v>
      </c>
      <c r="K54" s="61">
        <v>90.6</v>
      </c>
      <c r="L54" s="104">
        <f t="shared" si="5"/>
        <v>3.7689007017962153</v>
      </c>
      <c r="M54" s="104"/>
      <c r="N54" s="104"/>
      <c r="O54" s="104"/>
      <c r="P54" s="104"/>
      <c r="Q54" s="104"/>
      <c r="R54" s="104"/>
      <c r="S54" s="49">
        <v>759</v>
      </c>
      <c r="T54" s="105">
        <v>132.80000000000001</v>
      </c>
    </row>
    <row r="55" spans="1:20" x14ac:dyDescent="0.25">
      <c r="A55" s="17" t="str">
        <f t="shared" si="0"/>
        <v>CIRF  139.7*3</v>
      </c>
      <c r="B55" s="33">
        <f t="shared" si="1"/>
        <v>10.113682105811804</v>
      </c>
      <c r="C55" s="17">
        <v>139.69999999999999</v>
      </c>
      <c r="D55" s="17">
        <v>3</v>
      </c>
      <c r="E55" s="17"/>
      <c r="F55" s="17"/>
      <c r="G55" s="17"/>
      <c r="H55" s="33">
        <f t="shared" si="2"/>
        <v>12.883671472371725</v>
      </c>
      <c r="I55" s="57">
        <f t="shared" si="3"/>
        <v>301.08963080449956</v>
      </c>
      <c r="J55" s="58">
        <f t="shared" si="4"/>
        <v>43.10517262770216</v>
      </c>
      <c r="K55" s="58">
        <v>56.1</v>
      </c>
      <c r="L55" s="96">
        <f t="shared" si="5"/>
        <v>4.8342385646552426</v>
      </c>
      <c r="M55" s="96"/>
      <c r="N55" s="96"/>
      <c r="O55" s="96"/>
      <c r="P55" s="96"/>
      <c r="Q55" s="96"/>
      <c r="R55" s="96"/>
      <c r="S55" s="17">
        <v>602.20000000000005</v>
      </c>
      <c r="T55">
        <v>86.21</v>
      </c>
    </row>
    <row r="56" spans="1:20" x14ac:dyDescent="0.25">
      <c r="A56" s="17" t="str">
        <f t="shared" si="0"/>
        <v>CIRF  139.7*4</v>
      </c>
      <c r="B56" s="33">
        <f t="shared" si="1"/>
        <v>13.386263465093041</v>
      </c>
      <c r="C56" s="17">
        <v>139.69999999999999</v>
      </c>
      <c r="D56" s="17">
        <v>4</v>
      </c>
      <c r="E56" s="17"/>
      <c r="F56" s="17"/>
      <c r="G56" s="17"/>
      <c r="H56" s="33">
        <f t="shared" si="2"/>
        <v>17.052564923685402</v>
      </c>
      <c r="I56" s="57">
        <f t="shared" si="3"/>
        <v>392.85890912541822</v>
      </c>
      <c r="J56" s="58">
        <f t="shared" si="4"/>
        <v>56.243222494691231</v>
      </c>
      <c r="K56" s="58">
        <v>73.7</v>
      </c>
      <c r="L56" s="96">
        <f t="shared" si="5"/>
        <v>4.7998033813897001</v>
      </c>
      <c r="M56" s="96"/>
      <c r="N56" s="96"/>
      <c r="O56" s="96"/>
      <c r="P56" s="96"/>
      <c r="Q56" s="96"/>
      <c r="R56" s="96"/>
      <c r="S56" s="17">
        <v>785.7</v>
      </c>
      <c r="T56">
        <v>112.5</v>
      </c>
    </row>
    <row r="57" spans="1:20" x14ac:dyDescent="0.25">
      <c r="A57" s="17" t="str">
        <f t="shared" si="0"/>
        <v>CIRF  139.7*5</v>
      </c>
      <c r="B57" s="33">
        <f t="shared" si="1"/>
        <v>16.609521819712896</v>
      </c>
      <c r="C57" s="17">
        <v>139.69999999999999</v>
      </c>
      <c r="D57" s="17">
        <v>5</v>
      </c>
      <c r="E57" s="17"/>
      <c r="F57" s="17"/>
      <c r="G57" s="17"/>
      <c r="H57" s="33">
        <f t="shared" si="2"/>
        <v>21.158626521927257</v>
      </c>
      <c r="I57" s="57">
        <f t="shared" si="3"/>
        <v>480.54123694160398</v>
      </c>
      <c r="J57" s="58">
        <f t="shared" si="4"/>
        <v>68.796168495576808</v>
      </c>
      <c r="K57" s="58">
        <v>90.8</v>
      </c>
      <c r="L57" s="96">
        <f t="shared" si="5"/>
        <v>4.7656439753720576</v>
      </c>
      <c r="M57" s="96"/>
      <c r="N57" s="96"/>
      <c r="O57" s="96"/>
      <c r="P57" s="96"/>
      <c r="Q57" s="96"/>
      <c r="R57" s="96"/>
      <c r="S57" s="17">
        <v>961.1</v>
      </c>
      <c r="T57">
        <v>137.6</v>
      </c>
    </row>
    <row r="58" spans="1:20" x14ac:dyDescent="0.25">
      <c r="A58" s="17" t="str">
        <f t="shared" si="0"/>
        <v>CIRF  139.7*6</v>
      </c>
      <c r="B58" s="33">
        <f t="shared" si="1"/>
        <v>19.783457169671394</v>
      </c>
      <c r="C58" s="17">
        <v>139.69999999999999</v>
      </c>
      <c r="D58" s="17">
        <v>6</v>
      </c>
      <c r="E58" s="17"/>
      <c r="F58" s="17"/>
      <c r="G58" s="17"/>
      <c r="H58" s="33">
        <f t="shared" si="2"/>
        <v>25.201856267097316</v>
      </c>
      <c r="I58" s="57">
        <f t="shared" si="3"/>
        <v>564.25979610100524</v>
      </c>
      <c r="J58" s="58">
        <f t="shared" si="4"/>
        <v>80.781645826915579</v>
      </c>
      <c r="K58" s="106">
        <v>107</v>
      </c>
      <c r="L58" s="96">
        <f t="shared" si="5"/>
        <v>4.7317663192511938</v>
      </c>
      <c r="M58" s="96"/>
      <c r="N58" s="96"/>
      <c r="O58" s="96"/>
      <c r="P58" s="96"/>
      <c r="Q58" s="96"/>
      <c r="R58" s="96"/>
      <c r="S58" s="17">
        <v>1129</v>
      </c>
      <c r="T58">
        <v>161.6</v>
      </c>
    </row>
    <row r="59" spans="1:20" x14ac:dyDescent="0.25">
      <c r="A59" s="17" t="str">
        <f t="shared" si="0"/>
        <v>CIRF  139.7*6.3</v>
      </c>
      <c r="B59" s="33">
        <f t="shared" si="1"/>
        <v>20.726019788749973</v>
      </c>
      <c r="C59" s="17">
        <v>139.69999999999999</v>
      </c>
      <c r="D59" s="17">
        <v>6.3</v>
      </c>
      <c r="E59" s="17"/>
      <c r="F59" s="17"/>
      <c r="G59" s="17"/>
      <c r="H59" s="33">
        <f t="shared" si="2"/>
        <v>26.402572979299325</v>
      </c>
      <c r="I59" s="57">
        <f t="shared" si="3"/>
        <v>588.62061216131019</v>
      </c>
      <c r="J59" s="58">
        <f t="shared" si="4"/>
        <v>84.269235814074477</v>
      </c>
      <c r="K59" s="106">
        <v>112</v>
      </c>
      <c r="L59" s="96">
        <f t="shared" si="5"/>
        <v>4.7216588716255217</v>
      </c>
      <c r="M59" s="96"/>
      <c r="N59" s="96"/>
      <c r="O59" s="96"/>
      <c r="P59" s="96"/>
      <c r="Q59" s="96"/>
      <c r="R59" s="96"/>
      <c r="S59" s="17">
        <v>1177</v>
      </c>
      <c r="T59">
        <v>168.5</v>
      </c>
    </row>
    <row r="60" spans="1:20" x14ac:dyDescent="0.25">
      <c r="A60" s="17" t="str">
        <f t="shared" si="0"/>
        <v>CIRF  139.7*8</v>
      </c>
      <c r="B60" s="33">
        <f t="shared" si="1"/>
        <v>25.983358855604315</v>
      </c>
      <c r="C60" s="17">
        <v>139.69999999999999</v>
      </c>
      <c r="D60" s="17">
        <v>8</v>
      </c>
      <c r="E60" s="17"/>
      <c r="F60" s="17"/>
      <c r="G60" s="17"/>
      <c r="H60" s="33">
        <f t="shared" si="2"/>
        <v>33.099820198222055</v>
      </c>
      <c r="I60" s="57">
        <f t="shared" si="3"/>
        <v>720.28891106328228</v>
      </c>
      <c r="J60" s="58">
        <f t="shared" si="4"/>
        <v>103.11938597899533</v>
      </c>
      <c r="K60" s="106">
        <v>139</v>
      </c>
      <c r="L60" s="96">
        <f t="shared" si="5"/>
        <v>4.6648807594621315</v>
      </c>
      <c r="M60" s="96"/>
      <c r="N60" s="96"/>
      <c r="O60" s="96"/>
      <c r="P60" s="96"/>
      <c r="Q60" s="96"/>
      <c r="R60" s="96"/>
      <c r="S60" s="17">
        <v>1441</v>
      </c>
      <c r="T60">
        <v>206.2</v>
      </c>
    </row>
    <row r="61" spans="1:20" x14ac:dyDescent="0.25">
      <c r="A61" s="17" t="str">
        <f t="shared" si="0"/>
        <v>CIRF  139.7*10</v>
      </c>
      <c r="B61" s="33">
        <f t="shared" si="1"/>
        <v>31.985968522891806</v>
      </c>
      <c r="C61" s="17">
        <v>139.69999999999999</v>
      </c>
      <c r="D61" s="17">
        <v>10</v>
      </c>
      <c r="E61" s="17"/>
      <c r="F61" s="17"/>
      <c r="G61" s="17"/>
      <c r="H61" s="33">
        <f t="shared" si="2"/>
        <v>40.746456717059623</v>
      </c>
      <c r="I61" s="57">
        <f t="shared" si="3"/>
        <v>861.894009683984</v>
      </c>
      <c r="J61" s="58">
        <f t="shared" si="4"/>
        <v>123.39212737064912</v>
      </c>
      <c r="K61" s="106">
        <v>169</v>
      </c>
      <c r="L61" s="96">
        <f t="shared" si="5"/>
        <v>4.5991969407712903</v>
      </c>
      <c r="M61" s="96"/>
      <c r="N61" s="96"/>
      <c r="O61" s="96"/>
      <c r="P61" s="96"/>
      <c r="Q61" s="96"/>
      <c r="R61" s="96"/>
      <c r="S61" s="17">
        <v>1724</v>
      </c>
      <c r="T61">
        <v>246.8</v>
      </c>
    </row>
    <row r="62" spans="1:20" x14ac:dyDescent="0.25">
      <c r="A62" s="97" t="str">
        <f t="shared" si="0"/>
        <v>CIRF  168.3*3</v>
      </c>
      <c r="B62" s="38">
        <f t="shared" si="1"/>
        <v>12.229639005784142</v>
      </c>
      <c r="C62" s="37">
        <v>168.3</v>
      </c>
      <c r="D62" s="37">
        <v>3</v>
      </c>
      <c r="E62" s="37"/>
      <c r="F62" s="37"/>
      <c r="G62" s="37"/>
      <c r="H62" s="38">
        <f t="shared" si="2"/>
        <v>15.579157969151773</v>
      </c>
      <c r="I62" s="54">
        <f t="shared" si="3"/>
        <v>532.28315861880367</v>
      </c>
      <c r="J62" s="59">
        <f t="shared" si="4"/>
        <v>63.254088962424674</v>
      </c>
      <c r="K62" s="107">
        <v>82</v>
      </c>
      <c r="L62" s="98">
        <f t="shared" si="5"/>
        <v>5.8451999538082546</v>
      </c>
      <c r="M62" s="98"/>
      <c r="N62" s="98"/>
      <c r="O62" s="98"/>
      <c r="P62" s="98"/>
      <c r="Q62" s="98"/>
      <c r="R62" s="98"/>
      <c r="S62" s="37">
        <v>1065</v>
      </c>
      <c r="T62" s="99">
        <v>126.5</v>
      </c>
    </row>
    <row r="63" spans="1:20" x14ac:dyDescent="0.25">
      <c r="A63" s="100" t="str">
        <f t="shared" si="0"/>
        <v>CIRF  168.3*4</v>
      </c>
      <c r="B63" s="44">
        <f t="shared" si="1"/>
        <v>16.20753933172281</v>
      </c>
      <c r="C63" s="43">
        <v>168.3</v>
      </c>
      <c r="D63" s="43">
        <v>4</v>
      </c>
      <c r="E63" s="43"/>
      <c r="F63" s="43"/>
      <c r="G63" s="43"/>
      <c r="H63" s="44">
        <f t="shared" si="2"/>
        <v>20.646546919392112</v>
      </c>
      <c r="I63" s="55">
        <f t="shared" si="3"/>
        <v>697.09168637596451</v>
      </c>
      <c r="J63" s="60">
        <f t="shared" si="4"/>
        <v>82.839178416632734</v>
      </c>
      <c r="K63" s="108">
        <v>108</v>
      </c>
      <c r="L63" s="101">
        <f t="shared" si="5"/>
        <v>5.8106034540312601</v>
      </c>
      <c r="M63" s="101"/>
      <c r="N63" s="101"/>
      <c r="O63" s="101"/>
      <c r="P63" s="101"/>
      <c r="Q63" s="101"/>
      <c r="R63" s="101"/>
      <c r="S63" s="43">
        <v>1394</v>
      </c>
      <c r="T63" s="102">
        <v>165.7</v>
      </c>
    </row>
    <row r="64" spans="1:20" x14ac:dyDescent="0.25">
      <c r="A64" s="100" t="str">
        <f t="shared" si="0"/>
        <v>CIRF  168.3*5</v>
      </c>
      <c r="B64" s="44">
        <f t="shared" si="1"/>
        <v>20.136116653000119</v>
      </c>
      <c r="C64" s="43">
        <v>168.3</v>
      </c>
      <c r="D64" s="43">
        <v>5</v>
      </c>
      <c r="E64" s="43"/>
      <c r="F64" s="43"/>
      <c r="G64" s="43"/>
      <c r="H64" s="44">
        <f t="shared" si="2"/>
        <v>25.651104016560662</v>
      </c>
      <c r="I64" s="55">
        <f t="shared" si="3"/>
        <v>855.84555848574439</v>
      </c>
      <c r="J64" s="60">
        <f t="shared" si="4"/>
        <v>101.70476036669569</v>
      </c>
      <c r="K64" s="108">
        <v>133</v>
      </c>
      <c r="L64" s="101">
        <f t="shared" si="5"/>
        <v>5.7762325524514688</v>
      </c>
      <c r="M64" s="101"/>
      <c r="N64" s="101"/>
      <c r="O64" s="101"/>
      <c r="P64" s="101"/>
      <c r="Q64" s="101"/>
      <c r="R64" s="101"/>
      <c r="S64" s="43">
        <v>1712</v>
      </c>
      <c r="T64" s="102">
        <v>203.4</v>
      </c>
    </row>
    <row r="65" spans="1:20" x14ac:dyDescent="0.25">
      <c r="A65" s="100" t="str">
        <f t="shared" si="0"/>
        <v>CIRF  168.3*6</v>
      </c>
      <c r="B65" s="44">
        <f t="shared" si="1"/>
        <v>24.015370969616072</v>
      </c>
      <c r="C65" s="43">
        <v>168.3</v>
      </c>
      <c r="D65" s="43">
        <v>6</v>
      </c>
      <c r="E65" s="43"/>
      <c r="F65" s="43"/>
      <c r="G65" s="43"/>
      <c r="H65" s="44">
        <f t="shared" si="2"/>
        <v>30.592829260657414</v>
      </c>
      <c r="I65" s="55">
        <f t="shared" si="3"/>
        <v>1008.6949116610583</v>
      </c>
      <c r="J65" s="60">
        <f t="shared" si="4"/>
        <v>119.86867637089225</v>
      </c>
      <c r="K65" s="108">
        <v>158</v>
      </c>
      <c r="L65" s="101">
        <f t="shared" si="5"/>
        <v>5.742091300214585</v>
      </c>
      <c r="M65" s="101"/>
      <c r="N65" s="101"/>
      <c r="O65" s="101"/>
      <c r="P65" s="101"/>
      <c r="Q65" s="101"/>
      <c r="R65" s="101"/>
      <c r="S65" s="43">
        <v>2017</v>
      </c>
      <c r="T65" s="102">
        <v>239.7</v>
      </c>
    </row>
    <row r="66" spans="1:20" x14ac:dyDescent="0.25">
      <c r="A66" s="100" t="str">
        <f t="shared" si="0"/>
        <v>CIRF  168.3*6.3</v>
      </c>
      <c r="B66" s="44">
        <f t="shared" si="1"/>
        <v>25.169529278691872</v>
      </c>
      <c r="C66" s="43">
        <v>168.3</v>
      </c>
      <c r="D66" s="43">
        <v>6.3</v>
      </c>
      <c r="E66" s="43"/>
      <c r="F66" s="43"/>
      <c r="G66" s="43"/>
      <c r="H66" s="44">
        <f t="shared" si="2"/>
        <v>32.063094622537413</v>
      </c>
      <c r="I66" s="55">
        <f t="shared" si="3"/>
        <v>1053.4205493743011</v>
      </c>
      <c r="J66" s="60">
        <f t="shared" si="4"/>
        <v>125.1836659981344</v>
      </c>
      <c r="K66" s="108">
        <v>165</v>
      </c>
      <c r="L66" s="101">
        <f t="shared" si="5"/>
        <v>5.7318943203796096</v>
      </c>
      <c r="M66" s="101"/>
      <c r="N66" s="101"/>
      <c r="O66" s="101"/>
      <c r="P66" s="101"/>
      <c r="Q66" s="101"/>
      <c r="R66" s="101"/>
      <c r="S66" s="43">
        <v>2107</v>
      </c>
      <c r="T66" s="102">
        <v>250.4</v>
      </c>
    </row>
    <row r="67" spans="1:20" x14ac:dyDescent="0.25">
      <c r="A67" s="100" t="str">
        <f t="shared" si="0"/>
        <v>CIRF  168.3*8</v>
      </c>
      <c r="B67" s="44">
        <f t="shared" si="1"/>
        <v>31.625910588863864</v>
      </c>
      <c r="C67" s="43">
        <v>168.3</v>
      </c>
      <c r="D67" s="43">
        <v>8</v>
      </c>
      <c r="E67" s="43"/>
      <c r="F67" s="43"/>
      <c r="G67" s="43"/>
      <c r="H67" s="44">
        <f t="shared" si="2"/>
        <v>40.287784189635495</v>
      </c>
      <c r="I67" s="55">
        <f t="shared" si="3"/>
        <v>1297.271183281985</v>
      </c>
      <c r="J67" s="60">
        <f t="shared" si="4"/>
        <v>154.16175677741947</v>
      </c>
      <c r="K67" s="108">
        <v>206</v>
      </c>
      <c r="L67" s="101">
        <f t="shared" si="5"/>
        <v>5.6745142963957731</v>
      </c>
      <c r="M67" s="101"/>
      <c r="N67" s="101"/>
      <c r="O67" s="101"/>
      <c r="P67" s="101"/>
      <c r="Q67" s="101"/>
      <c r="R67" s="101"/>
      <c r="S67" s="43">
        <v>2595</v>
      </c>
      <c r="T67" s="102">
        <v>308.3</v>
      </c>
    </row>
    <row r="68" spans="1:20" x14ac:dyDescent="0.25">
      <c r="A68" s="103" t="str">
        <f t="shared" ref="A68:A131" si="6">$B$3&amp;"  "&amp;C68&amp;"*"&amp;D68</f>
        <v>CIRF  168.3*10</v>
      </c>
      <c r="B68" s="50">
        <f t="shared" ref="B68:B131" si="7">H68*0.785</f>
        <v>39.039158189466249</v>
      </c>
      <c r="C68" s="49">
        <v>168.3</v>
      </c>
      <c r="D68" s="49">
        <v>10</v>
      </c>
      <c r="E68" s="49"/>
      <c r="F68" s="49"/>
      <c r="G68" s="49"/>
      <c r="H68" s="50">
        <f t="shared" ref="H68:H131" si="8">(C68^2-(C68-2*D68)^2)*PI()*0.01/4</f>
        <v>49.731411706326426</v>
      </c>
      <c r="I68" s="56">
        <f t="shared" ref="I68:I131" si="9">(C68^4-(C68-2*D68)^4)*PI()*0.0001/64</f>
        <v>1563.9838958302241</v>
      </c>
      <c r="J68" s="61">
        <f t="shared" ref="J68:J131" si="10">I68/(C68*0.5*0.1)</f>
        <v>185.85667211292025</v>
      </c>
      <c r="K68" s="109">
        <v>251</v>
      </c>
      <c r="L68" s="104">
        <f t="shared" ref="L68:L131" si="11">SQRT(I68/H68)</f>
        <v>5.6079062492163692</v>
      </c>
      <c r="M68" s="104"/>
      <c r="N68" s="104"/>
      <c r="O68" s="104"/>
      <c r="P68" s="104"/>
      <c r="Q68" s="104"/>
      <c r="R68" s="104"/>
      <c r="S68" s="49">
        <v>3128</v>
      </c>
      <c r="T68" s="105">
        <v>371.7</v>
      </c>
    </row>
    <row r="69" spans="1:20" x14ac:dyDescent="0.25">
      <c r="A69" s="17" t="str">
        <f t="shared" si="6"/>
        <v>CIRF  177.8*4</v>
      </c>
      <c r="B69" s="33">
        <f t="shared" si="7"/>
        <v>17.144676420288647</v>
      </c>
      <c r="C69" s="17">
        <v>177.8</v>
      </c>
      <c r="D69" s="17">
        <v>4</v>
      </c>
      <c r="E69" s="17"/>
      <c r="F69" s="17"/>
      <c r="G69" s="17"/>
      <c r="H69" s="33">
        <f t="shared" si="8"/>
        <v>21.840352127756237</v>
      </c>
      <c r="I69" s="57">
        <f t="shared" si="9"/>
        <v>825.08591469998191</v>
      </c>
      <c r="J69" s="58">
        <f t="shared" si="10"/>
        <v>92.810564083237551</v>
      </c>
      <c r="K69" s="106">
        <v>121</v>
      </c>
      <c r="L69" s="96">
        <f t="shared" si="11"/>
        <v>6.1463851164729357</v>
      </c>
      <c r="M69" s="96"/>
      <c r="N69" s="96"/>
      <c r="O69" s="96"/>
      <c r="P69" s="96"/>
      <c r="Q69" s="96"/>
      <c r="R69" s="96"/>
      <c r="S69" s="17">
        <v>1650</v>
      </c>
      <c r="T69">
        <v>185.6</v>
      </c>
    </row>
    <row r="70" spans="1:20" x14ac:dyDescent="0.25">
      <c r="A70" s="17" t="str">
        <f t="shared" si="6"/>
        <v>CIRF  177.8*5</v>
      </c>
      <c r="B70" s="33">
        <f t="shared" si="7"/>
        <v>21.307538013707415</v>
      </c>
      <c r="C70" s="17">
        <v>177.8</v>
      </c>
      <c r="D70" s="17">
        <v>5</v>
      </c>
      <c r="E70" s="17"/>
      <c r="F70" s="17"/>
      <c r="G70" s="17"/>
      <c r="H70" s="33">
        <f t="shared" si="8"/>
        <v>27.143360527015812</v>
      </c>
      <c r="I70" s="57">
        <f t="shared" si="9"/>
        <v>1013.9687330152292</v>
      </c>
      <c r="J70" s="58">
        <f t="shared" si="10"/>
        <v>114.05722531104939</v>
      </c>
      <c r="K70" s="106">
        <v>149</v>
      </c>
      <c r="L70" s="96">
        <f t="shared" si="11"/>
        <v>6.1119595875627324</v>
      </c>
      <c r="M70" s="96"/>
      <c r="N70" s="96"/>
      <c r="O70" s="96"/>
      <c r="P70" s="96"/>
      <c r="Q70" s="96"/>
      <c r="R70" s="96"/>
      <c r="S70" s="17">
        <v>2028</v>
      </c>
      <c r="T70">
        <v>228.1</v>
      </c>
    </row>
    <row r="71" spans="1:20" x14ac:dyDescent="0.25">
      <c r="A71" s="17" t="str">
        <f t="shared" si="6"/>
        <v>CIRF  177.8*6</v>
      </c>
      <c r="B71" s="33">
        <f t="shared" si="7"/>
        <v>25.421076602464819</v>
      </c>
      <c r="C71" s="17">
        <v>177.8</v>
      </c>
      <c r="D71" s="17">
        <v>6</v>
      </c>
      <c r="E71" s="17"/>
      <c r="F71" s="17"/>
      <c r="G71" s="17"/>
      <c r="H71" s="33">
        <f t="shared" si="8"/>
        <v>32.383537073203591</v>
      </c>
      <c r="I71" s="57">
        <f t="shared" si="9"/>
        <v>1196.2170951239211</v>
      </c>
      <c r="J71" s="58">
        <f t="shared" si="10"/>
        <v>134.55760350100348</v>
      </c>
      <c r="K71" s="106">
        <v>177</v>
      </c>
      <c r="L71" s="96">
        <f t="shared" si="11"/>
        <v>6.0777504061947134</v>
      </c>
      <c r="M71" s="96"/>
      <c r="N71" s="96"/>
      <c r="O71" s="96"/>
      <c r="P71" s="96"/>
      <c r="Q71" s="96"/>
      <c r="R71" s="96"/>
      <c r="S71" s="17">
        <v>2392</v>
      </c>
      <c r="T71">
        <v>269.10000000000002</v>
      </c>
    </row>
    <row r="72" spans="1:20" x14ac:dyDescent="0.25">
      <c r="A72" s="17" t="str">
        <f t="shared" si="6"/>
        <v>CIRF  177.8*6.3</v>
      </c>
      <c r="B72" s="33">
        <f t="shared" si="7"/>
        <v>26.645520193183067</v>
      </c>
      <c r="C72" s="17">
        <v>177.8</v>
      </c>
      <c r="D72" s="17">
        <v>6.3</v>
      </c>
      <c r="E72" s="17"/>
      <c r="F72" s="17"/>
      <c r="G72" s="17"/>
      <c r="H72" s="33">
        <f t="shared" si="8"/>
        <v>33.943337825710913</v>
      </c>
      <c r="I72" s="57">
        <f t="shared" si="9"/>
        <v>1249.6214363032107</v>
      </c>
      <c r="J72" s="58">
        <f t="shared" si="10"/>
        <v>140.56484097898883</v>
      </c>
      <c r="K72" s="106">
        <v>185</v>
      </c>
      <c r="L72" s="96">
        <f t="shared" si="11"/>
        <v>6.0675303872333437</v>
      </c>
      <c r="M72" s="96"/>
      <c r="N72" s="96"/>
      <c r="O72" s="96"/>
      <c r="P72" s="96"/>
      <c r="Q72" s="96"/>
      <c r="R72" s="96"/>
      <c r="S72" s="17">
        <v>2499</v>
      </c>
      <c r="T72">
        <v>281.10000000000002</v>
      </c>
    </row>
    <row r="73" spans="1:20" x14ac:dyDescent="0.25">
      <c r="A73" s="17" t="str">
        <f t="shared" si="6"/>
        <v>CIRF  177.8*8</v>
      </c>
      <c r="B73" s="33">
        <f t="shared" si="7"/>
        <v>33.500184765995527</v>
      </c>
      <c r="C73" s="17">
        <v>177.8</v>
      </c>
      <c r="D73" s="17">
        <v>8</v>
      </c>
      <c r="E73" s="17"/>
      <c r="F73" s="17"/>
      <c r="G73" s="17"/>
      <c r="H73" s="33">
        <f t="shared" si="8"/>
        <v>42.675394606363731</v>
      </c>
      <c r="I73" s="57">
        <f t="shared" si="9"/>
        <v>1541.4373869515891</v>
      </c>
      <c r="J73" s="58">
        <f t="shared" si="10"/>
        <v>173.39003227801902</v>
      </c>
      <c r="K73" s="106">
        <v>231</v>
      </c>
      <c r="L73" s="96">
        <f t="shared" si="11"/>
        <v>6.0099958402647848</v>
      </c>
      <c r="M73" s="96"/>
      <c r="N73" s="96"/>
      <c r="O73" s="96"/>
      <c r="P73" s="96"/>
      <c r="Q73" s="96"/>
      <c r="R73" s="96"/>
      <c r="S73" s="17">
        <v>3083</v>
      </c>
      <c r="T73">
        <v>346.8</v>
      </c>
    </row>
    <row r="74" spans="1:20" x14ac:dyDescent="0.25">
      <c r="A74" s="17" t="str">
        <f t="shared" si="6"/>
        <v>CIRF  177.8*10</v>
      </c>
      <c r="B74" s="33">
        <f t="shared" si="7"/>
        <v>41.382000910880834</v>
      </c>
      <c r="C74" s="17">
        <v>177.8</v>
      </c>
      <c r="D74" s="17">
        <v>10</v>
      </c>
      <c r="E74" s="17"/>
      <c r="F74" s="17"/>
      <c r="G74" s="17"/>
      <c r="H74" s="33">
        <f t="shared" si="8"/>
        <v>52.715924727236725</v>
      </c>
      <c r="I74" s="57">
        <f t="shared" si="9"/>
        <v>1861.9818130869653</v>
      </c>
      <c r="J74" s="58">
        <f t="shared" si="10"/>
        <v>209.44677312564289</v>
      </c>
      <c r="K74" s="106">
        <v>282</v>
      </c>
      <c r="L74" s="96">
        <f t="shared" si="11"/>
        <v>5.9431515208683692</v>
      </c>
      <c r="M74" s="96"/>
      <c r="N74" s="96"/>
      <c r="O74" s="96"/>
      <c r="P74" s="96"/>
      <c r="Q74" s="96"/>
      <c r="R74" s="96"/>
      <c r="S74" s="17">
        <v>3724</v>
      </c>
      <c r="T74">
        <v>418.9</v>
      </c>
    </row>
    <row r="75" spans="1:20" x14ac:dyDescent="0.25">
      <c r="A75" s="17" t="str">
        <f t="shared" si="6"/>
        <v>CIRF  177.8*12</v>
      </c>
      <c r="B75" s="33">
        <f t="shared" si="7"/>
        <v>49.066525037120691</v>
      </c>
      <c r="C75" s="17">
        <v>177.8</v>
      </c>
      <c r="D75" s="17">
        <v>12</v>
      </c>
      <c r="E75" s="17"/>
      <c r="F75" s="17"/>
      <c r="G75" s="17"/>
      <c r="H75" s="33">
        <f t="shared" si="8"/>
        <v>62.505127435822537</v>
      </c>
      <c r="I75" s="57">
        <f t="shared" si="9"/>
        <v>2159.0552371445538</v>
      </c>
      <c r="J75" s="58">
        <f t="shared" si="10"/>
        <v>242.86335625922987</v>
      </c>
      <c r="K75" s="106">
        <v>330</v>
      </c>
      <c r="L75" s="96">
        <f t="shared" si="11"/>
        <v>5.8772485058911705</v>
      </c>
      <c r="M75" s="96"/>
      <c r="N75" s="96"/>
      <c r="O75" s="96"/>
      <c r="P75" s="96"/>
      <c r="Q75" s="96"/>
      <c r="R75" s="96"/>
      <c r="S75" s="17">
        <v>4318</v>
      </c>
      <c r="T75">
        <v>485.7</v>
      </c>
    </row>
    <row r="76" spans="1:20" x14ac:dyDescent="0.25">
      <c r="A76" s="17" t="str">
        <f t="shared" si="6"/>
        <v>CIRF  177.8*12.5</v>
      </c>
      <c r="B76" s="33">
        <f t="shared" si="7"/>
        <v>50.956829190767301</v>
      </c>
      <c r="C76" s="17">
        <v>177.8</v>
      </c>
      <c r="D76" s="17">
        <v>12.5</v>
      </c>
      <c r="E76" s="17"/>
      <c r="F76" s="17"/>
      <c r="G76" s="17"/>
      <c r="H76" s="33">
        <f t="shared" si="8"/>
        <v>64.913158204799103</v>
      </c>
      <c r="I76" s="57">
        <f t="shared" si="9"/>
        <v>2229.7945724270867</v>
      </c>
      <c r="J76" s="58">
        <f t="shared" si="10"/>
        <v>250.82053683094335</v>
      </c>
      <c r="K76" s="106">
        <v>342</v>
      </c>
      <c r="L76" s="96">
        <f t="shared" si="11"/>
        <v>5.8609235620335474</v>
      </c>
      <c r="M76" s="96"/>
      <c r="N76" s="96"/>
      <c r="O76" s="96"/>
      <c r="P76" s="96"/>
      <c r="Q76" s="96"/>
      <c r="R76" s="96"/>
      <c r="S76" s="17">
        <v>4460</v>
      </c>
      <c r="T76">
        <v>501.6</v>
      </c>
    </row>
    <row r="77" spans="1:20" x14ac:dyDescent="0.25">
      <c r="A77" s="97" t="str">
        <f t="shared" si="6"/>
        <v>CIRF  193.7*4</v>
      </c>
      <c r="B77" s="38">
        <f t="shared" si="7"/>
        <v>18.71314796851987</v>
      </c>
      <c r="C77" s="37">
        <v>193.7</v>
      </c>
      <c r="D77" s="37">
        <v>4</v>
      </c>
      <c r="E77" s="37"/>
      <c r="F77" s="37"/>
      <c r="G77" s="37"/>
      <c r="H77" s="38">
        <f t="shared" si="8"/>
        <v>23.838405055439324</v>
      </c>
      <c r="I77" s="54">
        <f t="shared" si="9"/>
        <v>1072.7905053279765</v>
      </c>
      <c r="J77" s="54">
        <f t="shared" si="10"/>
        <v>110.76825042106107</v>
      </c>
      <c r="K77" s="107">
        <v>144</v>
      </c>
      <c r="L77" s="98">
        <f t="shared" si="11"/>
        <v>6.7083986539262845</v>
      </c>
      <c r="M77" s="98"/>
      <c r="N77" s="98"/>
      <c r="O77" s="98"/>
      <c r="P77" s="98"/>
      <c r="Q77" s="98"/>
      <c r="R77" s="98"/>
      <c r="S77" s="37">
        <v>2146</v>
      </c>
      <c r="T77" s="99">
        <v>221.5</v>
      </c>
    </row>
    <row r="78" spans="1:20" x14ac:dyDescent="0.25">
      <c r="A78" s="100" t="str">
        <f t="shared" si="6"/>
        <v>CIRF  193.7*5</v>
      </c>
      <c r="B78" s="44">
        <f t="shared" si="7"/>
        <v>23.268127448996463</v>
      </c>
      <c r="C78" s="43">
        <v>193.7</v>
      </c>
      <c r="D78" s="43">
        <v>5</v>
      </c>
      <c r="E78" s="43"/>
      <c r="F78" s="43"/>
      <c r="G78" s="43"/>
      <c r="H78" s="44">
        <f t="shared" si="8"/>
        <v>29.640926686619697</v>
      </c>
      <c r="I78" s="55">
        <f t="shared" si="9"/>
        <v>1320.232439921308</v>
      </c>
      <c r="J78" s="55">
        <f t="shared" si="10"/>
        <v>136.31723695625277</v>
      </c>
      <c r="K78" s="108">
        <v>178</v>
      </c>
      <c r="L78" s="101">
        <f t="shared" si="11"/>
        <v>6.6738941031454777</v>
      </c>
      <c r="M78" s="101"/>
      <c r="N78" s="101"/>
      <c r="O78" s="101"/>
      <c r="P78" s="101"/>
      <c r="Q78" s="101"/>
      <c r="R78" s="101"/>
      <c r="S78" s="43">
        <v>2640</v>
      </c>
      <c r="T78" s="102">
        <v>272.60000000000002</v>
      </c>
    </row>
    <row r="79" spans="1:20" x14ac:dyDescent="0.25">
      <c r="A79" s="100" t="str">
        <f t="shared" si="6"/>
        <v>CIRF  193.7*6</v>
      </c>
      <c r="B79" s="44">
        <f t="shared" si="7"/>
        <v>27.773783924811649</v>
      </c>
      <c r="C79" s="43">
        <v>193.7</v>
      </c>
      <c r="D79" s="43">
        <v>6</v>
      </c>
      <c r="E79" s="43"/>
      <c r="F79" s="43"/>
      <c r="G79" s="43"/>
      <c r="H79" s="44">
        <f t="shared" si="8"/>
        <v>35.380616464728213</v>
      </c>
      <c r="I79" s="55">
        <f t="shared" si="9"/>
        <v>1559.7230765504301</v>
      </c>
      <c r="J79" s="55">
        <f t="shared" si="10"/>
        <v>161.04523247810326</v>
      </c>
      <c r="K79" s="108">
        <v>211</v>
      </c>
      <c r="L79" s="101">
        <f t="shared" si="11"/>
        <v>6.6395867717803023</v>
      </c>
      <c r="M79" s="101"/>
      <c r="N79" s="101"/>
      <c r="O79" s="101"/>
      <c r="P79" s="101"/>
      <c r="Q79" s="101"/>
      <c r="R79" s="101"/>
      <c r="S79" s="43">
        <v>3119</v>
      </c>
      <c r="T79" s="102">
        <v>322.10000000000002</v>
      </c>
    </row>
    <row r="80" spans="1:20" x14ac:dyDescent="0.25">
      <c r="A80" s="100" t="str">
        <f t="shared" si="6"/>
        <v>CIRF  193.7*6.3</v>
      </c>
      <c r="B80" s="44">
        <f t="shared" si="7"/>
        <v>29.115862881647249</v>
      </c>
      <c r="C80" s="43">
        <v>193.7</v>
      </c>
      <c r="D80" s="43">
        <v>6.3</v>
      </c>
      <c r="E80" s="43"/>
      <c r="F80" s="43"/>
      <c r="G80" s="43"/>
      <c r="H80" s="44">
        <f t="shared" si="8"/>
        <v>37.090271186811783</v>
      </c>
      <c r="I80" s="55">
        <f t="shared" si="9"/>
        <v>1630.0455562599525</v>
      </c>
      <c r="J80" s="55">
        <f t="shared" si="10"/>
        <v>168.3062009561128</v>
      </c>
      <c r="K80" s="108">
        <v>221</v>
      </c>
      <c r="L80" s="101">
        <f t="shared" si="11"/>
        <v>6.629333488368192</v>
      </c>
      <c r="M80" s="101"/>
      <c r="N80" s="101"/>
      <c r="O80" s="101"/>
      <c r="P80" s="101"/>
      <c r="Q80" s="101"/>
      <c r="R80" s="101"/>
      <c r="S80" s="43">
        <v>3260</v>
      </c>
      <c r="T80" s="102">
        <v>336.6</v>
      </c>
    </row>
    <row r="81" spans="1:20" x14ac:dyDescent="0.25">
      <c r="A81" s="100" t="str">
        <f t="shared" si="6"/>
        <v>CIRF  193.7*8</v>
      </c>
      <c r="B81" s="44">
        <f t="shared" si="7"/>
        <v>36.637127862458009</v>
      </c>
      <c r="C81" s="43">
        <v>193.7</v>
      </c>
      <c r="D81" s="43">
        <v>8</v>
      </c>
      <c r="E81" s="43"/>
      <c r="F81" s="43"/>
      <c r="G81" s="43"/>
      <c r="H81" s="44">
        <f t="shared" si="8"/>
        <v>46.671500461729948</v>
      </c>
      <c r="I81" s="55">
        <f t="shared" si="9"/>
        <v>2015.5373337338401</v>
      </c>
      <c r="J81" s="55">
        <f t="shared" si="10"/>
        <v>208.10917230086113</v>
      </c>
      <c r="K81" s="108">
        <v>276</v>
      </c>
      <c r="L81" s="101">
        <f t="shared" si="11"/>
        <v>6.5715761047103447</v>
      </c>
      <c r="M81" s="101"/>
      <c r="N81" s="101"/>
      <c r="O81" s="101"/>
      <c r="P81" s="101"/>
      <c r="Q81" s="101"/>
      <c r="R81" s="101"/>
      <c r="S81" s="43">
        <v>4031</v>
      </c>
      <c r="T81" s="102">
        <v>416.2</v>
      </c>
    </row>
    <row r="82" spans="1:20" x14ac:dyDescent="0.25">
      <c r="A82" s="100" t="str">
        <f t="shared" si="6"/>
        <v>CIRF  193.7*10</v>
      </c>
      <c r="B82" s="44">
        <f t="shared" si="7"/>
        <v>45.303179781458937</v>
      </c>
      <c r="C82" s="43">
        <v>193.7</v>
      </c>
      <c r="D82" s="43">
        <v>10</v>
      </c>
      <c r="E82" s="43"/>
      <c r="F82" s="43"/>
      <c r="G82" s="43"/>
      <c r="H82" s="44">
        <f t="shared" si="8"/>
        <v>57.711057046444502</v>
      </c>
      <c r="I82" s="55">
        <f t="shared" si="9"/>
        <v>2441.5881829578443</v>
      </c>
      <c r="J82" s="55">
        <f t="shared" si="10"/>
        <v>252.09996726461995</v>
      </c>
      <c r="K82" s="108">
        <v>338</v>
      </c>
      <c r="L82" s="101">
        <f t="shared" si="11"/>
        <v>6.504391785555355</v>
      </c>
      <c r="M82" s="101"/>
      <c r="N82" s="101"/>
      <c r="O82" s="101"/>
      <c r="P82" s="101"/>
      <c r="Q82" s="101"/>
      <c r="R82" s="101"/>
      <c r="S82" s="43">
        <v>4883</v>
      </c>
      <c r="T82" s="102">
        <v>504.2</v>
      </c>
    </row>
    <row r="83" spans="1:20" x14ac:dyDescent="0.25">
      <c r="A83" s="100" t="str">
        <f t="shared" si="6"/>
        <v>CIRF  193.7*12</v>
      </c>
      <c r="B83" s="44">
        <f t="shared" si="7"/>
        <v>53.771939681814402</v>
      </c>
      <c r="C83" s="43">
        <v>193.7</v>
      </c>
      <c r="D83" s="43">
        <v>12</v>
      </c>
      <c r="E83" s="43"/>
      <c r="F83" s="43"/>
      <c r="G83" s="43"/>
      <c r="H83" s="44">
        <f t="shared" si="8"/>
        <v>68.499286218871845</v>
      </c>
      <c r="I83" s="55">
        <f t="shared" si="9"/>
        <v>2839.2003710126087</v>
      </c>
      <c r="J83" s="55">
        <f t="shared" si="10"/>
        <v>293.15440072406903</v>
      </c>
      <c r="K83" s="108">
        <v>397</v>
      </c>
      <c r="L83" s="101">
        <f t="shared" si="11"/>
        <v>6.4380596844080271</v>
      </c>
      <c r="M83" s="101"/>
      <c r="N83" s="101"/>
      <c r="O83" s="101"/>
      <c r="P83" s="101"/>
      <c r="Q83" s="101"/>
      <c r="R83" s="101"/>
      <c r="S83" s="43">
        <v>5678</v>
      </c>
      <c r="T83" s="102">
        <v>586.29999999999995</v>
      </c>
    </row>
    <row r="84" spans="1:20" x14ac:dyDescent="0.25">
      <c r="A84" s="103" t="str">
        <f t="shared" si="6"/>
        <v>CIRF  193.7*12.5</v>
      </c>
      <c r="B84" s="50">
        <f t="shared" si="7"/>
        <v>55.858302778989916</v>
      </c>
      <c r="C84" s="49">
        <v>193.7</v>
      </c>
      <c r="D84" s="49">
        <v>12.5</v>
      </c>
      <c r="E84" s="49"/>
      <c r="F84" s="49"/>
      <c r="G84" s="49"/>
      <c r="H84" s="50">
        <f t="shared" si="8"/>
        <v>71.157073603808811</v>
      </c>
      <c r="I84" s="56">
        <f t="shared" si="9"/>
        <v>2934.3122493710439</v>
      </c>
      <c r="J84" s="56">
        <f t="shared" si="10"/>
        <v>302.97493540227606</v>
      </c>
      <c r="K84" s="109">
        <v>411</v>
      </c>
      <c r="L84" s="104">
        <f t="shared" si="11"/>
        <v>6.4216129204429624</v>
      </c>
      <c r="M84" s="104"/>
      <c r="N84" s="104"/>
      <c r="O84" s="104"/>
      <c r="P84" s="104"/>
      <c r="Q84" s="104"/>
      <c r="R84" s="104"/>
      <c r="S84" s="49">
        <v>5869</v>
      </c>
      <c r="T84" s="105">
        <v>605.9</v>
      </c>
    </row>
    <row r="85" spans="1:20" x14ac:dyDescent="0.25">
      <c r="A85" s="17" t="str">
        <f t="shared" si="6"/>
        <v>CIRF  219.1*4</v>
      </c>
      <c r="B85" s="33">
        <f t="shared" si="7"/>
        <v>21.218756605316958</v>
      </c>
      <c r="C85" s="17">
        <v>219.1</v>
      </c>
      <c r="D85" s="17">
        <v>4</v>
      </c>
      <c r="E85" s="17"/>
      <c r="F85" s="17"/>
      <c r="G85" s="17"/>
      <c r="H85" s="33">
        <f t="shared" si="8"/>
        <v>27.030263191486569</v>
      </c>
      <c r="I85" s="57">
        <f t="shared" si="9"/>
        <v>1563.8362148217459</v>
      </c>
      <c r="J85" s="57">
        <f t="shared" si="10"/>
        <v>142.7509096140343</v>
      </c>
      <c r="K85" s="106">
        <v>185</v>
      </c>
      <c r="L85" s="96">
        <f t="shared" si="11"/>
        <v>7.6062482539028409</v>
      </c>
      <c r="M85" s="96"/>
      <c r="N85" s="96"/>
      <c r="O85" s="96"/>
      <c r="P85" s="96"/>
      <c r="Q85" s="96"/>
      <c r="R85" s="96"/>
      <c r="S85" s="17">
        <v>3128</v>
      </c>
      <c r="T85">
        <v>285.5</v>
      </c>
    </row>
    <row r="86" spans="1:20" x14ac:dyDescent="0.25">
      <c r="A86" s="17" t="str">
        <f t="shared" si="6"/>
        <v>CIRF  219.1*5</v>
      </c>
      <c r="B86" s="33">
        <f t="shared" si="7"/>
        <v>26.400138244992807</v>
      </c>
      <c r="C86" s="17">
        <v>219.1</v>
      </c>
      <c r="D86" s="17">
        <v>5</v>
      </c>
      <c r="E86" s="17"/>
      <c r="F86" s="17"/>
      <c r="G86" s="17"/>
      <c r="H86" s="33">
        <f t="shared" si="8"/>
        <v>33.630749356678734</v>
      </c>
      <c r="I86" s="57">
        <f t="shared" si="9"/>
        <v>1928.0428733154195</v>
      </c>
      <c r="J86" s="57">
        <f t="shared" si="10"/>
        <v>175.99661098269462</v>
      </c>
      <c r="K86" s="106">
        <v>229</v>
      </c>
      <c r="L86" s="96">
        <f t="shared" si="11"/>
        <v>7.5716419949704434</v>
      </c>
      <c r="M86" s="96"/>
      <c r="N86" s="96"/>
      <c r="O86" s="96"/>
      <c r="P86" s="96"/>
      <c r="Q86" s="96"/>
      <c r="R86" s="96"/>
      <c r="S86" s="17">
        <v>3856</v>
      </c>
      <c r="T86">
        <v>352</v>
      </c>
    </row>
    <row r="87" spans="1:20" x14ac:dyDescent="0.25">
      <c r="A87" s="17" t="str">
        <f t="shared" si="6"/>
        <v>CIRF  219.1*6</v>
      </c>
      <c r="B87" s="33">
        <f t="shared" si="7"/>
        <v>31.532196880007302</v>
      </c>
      <c r="C87" s="17">
        <v>219.1</v>
      </c>
      <c r="D87" s="17">
        <v>6</v>
      </c>
      <c r="E87" s="17"/>
      <c r="F87" s="17"/>
      <c r="G87" s="17"/>
      <c r="H87" s="33">
        <f t="shared" si="8"/>
        <v>40.168403668799108</v>
      </c>
      <c r="I87" s="57">
        <f t="shared" si="9"/>
        <v>2281.9474303276893</v>
      </c>
      <c r="J87" s="57">
        <f t="shared" si="10"/>
        <v>208.3019105730433</v>
      </c>
      <c r="K87" s="106">
        <v>273</v>
      </c>
      <c r="L87" s="96">
        <f t="shared" si="11"/>
        <v>7.5372085349949032</v>
      </c>
      <c r="M87" s="96"/>
      <c r="N87" s="96"/>
      <c r="O87" s="96"/>
      <c r="P87" s="96"/>
      <c r="Q87" s="96"/>
      <c r="R87" s="96"/>
      <c r="S87" s="17">
        <v>4564</v>
      </c>
      <c r="T87">
        <v>416.6</v>
      </c>
    </row>
    <row r="88" spans="1:20" x14ac:dyDescent="0.25">
      <c r="A88" s="17" t="str">
        <f t="shared" si="6"/>
        <v>CIRF  219.1*6.3</v>
      </c>
      <c r="B88" s="33">
        <f t="shared" si="7"/>
        <v>33.062196484602651</v>
      </c>
      <c r="C88" s="17">
        <v>219.1</v>
      </c>
      <c r="D88" s="17">
        <v>6.3</v>
      </c>
      <c r="E88" s="17"/>
      <c r="F88" s="17"/>
      <c r="G88" s="17"/>
      <c r="H88" s="33">
        <f t="shared" si="8"/>
        <v>42.117447751086182</v>
      </c>
      <c r="I88" s="57">
        <f t="shared" si="9"/>
        <v>2386.139258337234</v>
      </c>
      <c r="J88" s="57">
        <f t="shared" si="10"/>
        <v>217.81280313438921</v>
      </c>
      <c r="K88" s="106">
        <v>285</v>
      </c>
      <c r="L88" s="96">
        <f t="shared" si="11"/>
        <v>7.5269125476519259</v>
      </c>
      <c r="M88" s="96"/>
      <c r="N88" s="96"/>
      <c r="O88" s="96"/>
      <c r="P88" s="96"/>
      <c r="Q88" s="96"/>
      <c r="R88" s="96"/>
      <c r="S88" s="17">
        <v>4772</v>
      </c>
      <c r="T88">
        <v>435.6</v>
      </c>
    </row>
    <row r="89" spans="1:20" x14ac:dyDescent="0.25">
      <c r="A89" s="17" t="str">
        <f t="shared" si="6"/>
        <v>CIRF  219.1*8</v>
      </c>
      <c r="B89" s="33">
        <f t="shared" si="7"/>
        <v>41.648345136052157</v>
      </c>
      <c r="C89" s="17">
        <v>219.1</v>
      </c>
      <c r="D89" s="17">
        <v>8</v>
      </c>
      <c r="E89" s="17"/>
      <c r="F89" s="17"/>
      <c r="G89" s="17"/>
      <c r="H89" s="33">
        <f t="shared" si="8"/>
        <v>53.055216733824402</v>
      </c>
      <c r="I89" s="57">
        <f t="shared" si="9"/>
        <v>2959.63287346987</v>
      </c>
      <c r="J89" s="57">
        <f t="shared" si="10"/>
        <v>270.16274518209678</v>
      </c>
      <c r="K89" s="106">
        <v>357</v>
      </c>
      <c r="L89" s="96">
        <f t="shared" si="11"/>
        <v>7.468869559712501</v>
      </c>
      <c r="M89" s="96"/>
      <c r="N89" s="96"/>
      <c r="O89" s="96"/>
      <c r="P89" s="96"/>
      <c r="Q89" s="96"/>
      <c r="R89" s="96"/>
      <c r="S89" s="17">
        <v>5919</v>
      </c>
      <c r="T89">
        <v>540.29999999999995</v>
      </c>
    </row>
    <row r="90" spans="1:20" x14ac:dyDescent="0.25">
      <c r="A90" s="17" t="str">
        <f t="shared" si="6"/>
        <v>CIRF  219.1*10</v>
      </c>
      <c r="B90" s="33">
        <f t="shared" si="7"/>
        <v>51.567201373451624</v>
      </c>
      <c r="C90" s="17">
        <v>219.1</v>
      </c>
      <c r="D90" s="17">
        <v>10</v>
      </c>
      <c r="E90" s="17"/>
      <c r="F90" s="17"/>
      <c r="G90" s="17"/>
      <c r="H90" s="33">
        <f t="shared" si="8"/>
        <v>65.690702386562577</v>
      </c>
      <c r="I90" s="57">
        <f t="shared" si="9"/>
        <v>3598.4389618160981</v>
      </c>
      <c r="J90" s="57">
        <f t="shared" si="10"/>
        <v>328.474574332825</v>
      </c>
      <c r="K90" s="106">
        <v>438</v>
      </c>
      <c r="L90" s="96">
        <f t="shared" si="11"/>
        <v>7.4012507388954196</v>
      </c>
      <c r="M90" s="96"/>
      <c r="N90" s="96"/>
      <c r="O90" s="96"/>
      <c r="P90" s="96"/>
      <c r="Q90" s="96"/>
      <c r="R90" s="96"/>
      <c r="S90" s="17">
        <v>7197</v>
      </c>
      <c r="T90">
        <v>656.9</v>
      </c>
    </row>
    <row r="91" spans="1:20" x14ac:dyDescent="0.25">
      <c r="A91" s="17" t="str">
        <f t="shared" si="6"/>
        <v>CIRF  219.1*12</v>
      </c>
      <c r="B91" s="33">
        <f t="shared" si="7"/>
        <v>61.28876559220565</v>
      </c>
      <c r="C91" s="17">
        <v>219.1</v>
      </c>
      <c r="D91" s="17">
        <v>12</v>
      </c>
      <c r="E91" s="17"/>
      <c r="F91" s="17"/>
      <c r="G91" s="17"/>
      <c r="H91" s="33">
        <f t="shared" si="8"/>
        <v>78.074860627013564</v>
      </c>
      <c r="I91" s="57">
        <f t="shared" si="9"/>
        <v>4199.8819536446981</v>
      </c>
      <c r="J91" s="57">
        <f t="shared" si="10"/>
        <v>383.37580590093091</v>
      </c>
      <c r="K91" s="106">
        <v>515</v>
      </c>
      <c r="L91" s="96">
        <f t="shared" si="11"/>
        <v>7.3343719908387515</v>
      </c>
      <c r="M91" s="96"/>
      <c r="N91" s="96"/>
      <c r="O91" s="96"/>
      <c r="P91" s="96"/>
      <c r="Q91" s="96"/>
      <c r="R91" s="96"/>
      <c r="S91" s="17">
        <v>8400</v>
      </c>
      <c r="T91">
        <v>766.8</v>
      </c>
    </row>
    <row r="92" spans="1:20" x14ac:dyDescent="0.25">
      <c r="A92" s="17" t="str">
        <f t="shared" si="6"/>
        <v>CIRF  219.1*12.5</v>
      </c>
      <c r="B92" s="33">
        <f t="shared" si="7"/>
        <v>63.688329768980779</v>
      </c>
      <c r="C92" s="17">
        <v>219.1</v>
      </c>
      <c r="D92" s="17">
        <v>12.5</v>
      </c>
      <c r="E92" s="17"/>
      <c r="F92" s="17"/>
      <c r="G92" s="17"/>
      <c r="H92" s="33">
        <f t="shared" si="8"/>
        <v>81.131630278956408</v>
      </c>
      <c r="I92" s="57">
        <f t="shared" si="9"/>
        <v>4344.5795326759244</v>
      </c>
      <c r="J92" s="57">
        <f t="shared" si="10"/>
        <v>396.58416546562523</v>
      </c>
      <c r="K92" s="106">
        <v>534</v>
      </c>
      <c r="L92" s="96">
        <f t="shared" si="11"/>
        <v>7.3177703229877338</v>
      </c>
      <c r="M92" s="96"/>
      <c r="N92" s="96"/>
      <c r="O92" s="96"/>
      <c r="P92" s="96"/>
      <c r="Q92" s="96"/>
      <c r="R92" s="96"/>
      <c r="S92" s="17">
        <v>8689</v>
      </c>
      <c r="T92">
        <v>793.2</v>
      </c>
    </row>
    <row r="93" spans="1:20" x14ac:dyDescent="0.25">
      <c r="A93" s="97" t="str">
        <f t="shared" si="6"/>
        <v>CIRF  244.5*5</v>
      </c>
      <c r="B93" s="38">
        <f t="shared" si="7"/>
        <v>29.532149040989154</v>
      </c>
      <c r="C93" s="37">
        <v>244.5</v>
      </c>
      <c r="D93" s="37">
        <v>5</v>
      </c>
      <c r="E93" s="37"/>
      <c r="F93" s="37"/>
      <c r="G93" s="37"/>
      <c r="H93" s="38">
        <f t="shared" si="8"/>
        <v>37.620572026737776</v>
      </c>
      <c r="I93" s="54">
        <f t="shared" si="9"/>
        <v>2698.5824136216925</v>
      </c>
      <c r="J93" s="54">
        <f t="shared" si="10"/>
        <v>220.74293771956582</v>
      </c>
      <c r="K93" s="107">
        <v>287</v>
      </c>
      <c r="L93" s="98">
        <f t="shared" si="11"/>
        <v>8.4694487719095388</v>
      </c>
      <c r="M93" s="98"/>
      <c r="N93" s="98"/>
      <c r="O93" s="98"/>
      <c r="P93" s="98"/>
      <c r="Q93" s="98"/>
      <c r="R93" s="98"/>
      <c r="S93" s="37">
        <v>5397</v>
      </c>
      <c r="T93" s="99">
        <v>441.5</v>
      </c>
    </row>
    <row r="94" spans="1:20" x14ac:dyDescent="0.25">
      <c r="A94" s="100" t="str">
        <f t="shared" si="6"/>
        <v>CIRF  244.5*6</v>
      </c>
      <c r="B94" s="44">
        <f t="shared" si="7"/>
        <v>35.290609835202901</v>
      </c>
      <c r="C94" s="43">
        <v>244.5</v>
      </c>
      <c r="D94" s="43">
        <v>6</v>
      </c>
      <c r="E94" s="43"/>
      <c r="F94" s="43"/>
      <c r="G94" s="43"/>
      <c r="H94" s="44">
        <f t="shared" si="8"/>
        <v>44.956190872869939</v>
      </c>
      <c r="I94" s="55">
        <f t="shared" si="9"/>
        <v>3198.5346389371621</v>
      </c>
      <c r="J94" s="55">
        <f t="shared" si="10"/>
        <v>261.63882527093347</v>
      </c>
      <c r="K94" s="108">
        <v>341</v>
      </c>
      <c r="L94" s="101">
        <f t="shared" si="11"/>
        <v>8.4349162710722858</v>
      </c>
      <c r="M94" s="101"/>
      <c r="N94" s="101"/>
      <c r="O94" s="101"/>
      <c r="P94" s="101"/>
      <c r="Q94" s="101"/>
      <c r="R94" s="101"/>
      <c r="S94" s="43">
        <v>6397</v>
      </c>
      <c r="T94" s="102">
        <v>523.29999999999995</v>
      </c>
    </row>
    <row r="95" spans="1:20" x14ac:dyDescent="0.25">
      <c r="A95" s="100" t="str">
        <f t="shared" si="6"/>
        <v>CIRF  244.5*6.3</v>
      </c>
      <c r="B95" s="44">
        <f t="shared" si="7"/>
        <v>37.008530087558064</v>
      </c>
      <c r="C95" s="43">
        <v>244.5</v>
      </c>
      <c r="D95" s="43">
        <v>6.3</v>
      </c>
      <c r="E95" s="43"/>
      <c r="F95" s="43"/>
      <c r="G95" s="43"/>
      <c r="H95" s="44">
        <f t="shared" si="8"/>
        <v>47.144624315360588</v>
      </c>
      <c r="I95" s="55">
        <f t="shared" si="9"/>
        <v>3346.0266548476966</v>
      </c>
      <c r="J95" s="55">
        <f t="shared" si="10"/>
        <v>273.7036118484823</v>
      </c>
      <c r="K95" s="108">
        <v>358</v>
      </c>
      <c r="L95" s="101">
        <f t="shared" si="11"/>
        <v>8.4245867851189011</v>
      </c>
      <c r="M95" s="101"/>
      <c r="N95" s="101"/>
      <c r="O95" s="101"/>
      <c r="P95" s="101"/>
      <c r="Q95" s="101"/>
      <c r="R95" s="101"/>
      <c r="S95" s="43">
        <v>6692</v>
      </c>
      <c r="T95" s="102">
        <v>547.4</v>
      </c>
    </row>
    <row r="96" spans="1:20" x14ac:dyDescent="0.25">
      <c r="A96" s="100" t="str">
        <f t="shared" si="6"/>
        <v>CIRF  244.5*8</v>
      </c>
      <c r="B96" s="44">
        <f t="shared" si="7"/>
        <v>46.659562409646334</v>
      </c>
      <c r="C96" s="43">
        <v>244.5</v>
      </c>
      <c r="D96" s="43">
        <v>8</v>
      </c>
      <c r="E96" s="43"/>
      <c r="F96" s="43"/>
      <c r="G96" s="43"/>
      <c r="H96" s="44">
        <f t="shared" si="8"/>
        <v>59.438933005918891</v>
      </c>
      <c r="I96" s="55">
        <f t="shared" si="9"/>
        <v>4160.4466904158571</v>
      </c>
      <c r="J96" s="55">
        <f t="shared" si="10"/>
        <v>340.32283766182877</v>
      </c>
      <c r="K96" s="108">
        <v>448</v>
      </c>
      <c r="L96" s="101">
        <f t="shared" si="11"/>
        <v>8.3663201289455813</v>
      </c>
      <c r="M96" s="101"/>
      <c r="N96" s="101"/>
      <c r="O96" s="101"/>
      <c r="P96" s="101"/>
      <c r="Q96" s="101"/>
      <c r="R96" s="101"/>
      <c r="S96" s="43">
        <v>8321</v>
      </c>
      <c r="T96" s="102">
        <v>680.6</v>
      </c>
    </row>
    <row r="97" spans="1:20" x14ac:dyDescent="0.25">
      <c r="A97" s="100" t="str">
        <f t="shared" si="6"/>
        <v>CIRF  244.5*10</v>
      </c>
      <c r="B97" s="44">
        <f t="shared" si="7"/>
        <v>57.831222965444312</v>
      </c>
      <c r="C97" s="43">
        <v>244.5</v>
      </c>
      <c r="D97" s="43">
        <v>10</v>
      </c>
      <c r="E97" s="43"/>
      <c r="F97" s="43"/>
      <c r="G97" s="43"/>
      <c r="H97" s="44">
        <f t="shared" si="8"/>
        <v>73.670347726680646</v>
      </c>
      <c r="I97" s="55">
        <f t="shared" si="9"/>
        <v>5073.1473423122106</v>
      </c>
      <c r="J97" s="55">
        <f t="shared" si="10"/>
        <v>414.98137769425028</v>
      </c>
      <c r="K97" s="108">
        <v>550</v>
      </c>
      <c r="L97" s="101">
        <f t="shared" si="11"/>
        <v>8.2983620371733604</v>
      </c>
      <c r="M97" s="101"/>
      <c r="N97" s="101"/>
      <c r="O97" s="101"/>
      <c r="P97" s="101"/>
      <c r="Q97" s="101"/>
      <c r="R97" s="101"/>
      <c r="S97" s="43">
        <v>10150</v>
      </c>
      <c r="T97" s="102">
        <v>830</v>
      </c>
    </row>
    <row r="98" spans="1:20" x14ac:dyDescent="0.25">
      <c r="A98" s="100" t="str">
        <f t="shared" si="6"/>
        <v>CIRF  244.5*12</v>
      </c>
      <c r="B98" s="44">
        <f t="shared" si="7"/>
        <v>68.805591502596855</v>
      </c>
      <c r="C98" s="43">
        <v>244.5</v>
      </c>
      <c r="D98" s="43">
        <v>12</v>
      </c>
      <c r="E98" s="43"/>
      <c r="F98" s="43"/>
      <c r="G98" s="43"/>
      <c r="H98" s="44">
        <f t="shared" si="8"/>
        <v>87.650435035155226</v>
      </c>
      <c r="I98" s="55">
        <f t="shared" si="9"/>
        <v>5938.3443643927149</v>
      </c>
      <c r="J98" s="55">
        <f t="shared" si="10"/>
        <v>485.75414023662285</v>
      </c>
      <c r="K98" s="108">
        <v>649</v>
      </c>
      <c r="L98" s="101">
        <f t="shared" si="11"/>
        <v>8.2310577995783749</v>
      </c>
      <c r="M98" s="101"/>
      <c r="N98" s="101"/>
      <c r="O98" s="101"/>
      <c r="P98" s="101"/>
      <c r="Q98" s="101"/>
      <c r="R98" s="101"/>
      <c r="S98" s="43">
        <v>11880</v>
      </c>
      <c r="T98" s="102">
        <v>971.5</v>
      </c>
    </row>
    <row r="99" spans="1:20" x14ac:dyDescent="0.25">
      <c r="A99" s="103" t="str">
        <f t="shared" si="6"/>
        <v>CIRF  244.5*12.5</v>
      </c>
      <c r="B99" s="50">
        <f t="shared" si="7"/>
        <v>71.518356758971649</v>
      </c>
      <c r="C99" s="49">
        <v>244.5</v>
      </c>
      <c r="D99" s="49">
        <v>12.5</v>
      </c>
      <c r="E99" s="49"/>
      <c r="F99" s="49"/>
      <c r="G99" s="49"/>
      <c r="H99" s="50">
        <f t="shared" si="8"/>
        <v>91.106186954104004</v>
      </c>
      <c r="I99" s="56">
        <f t="shared" si="9"/>
        <v>6147.4184354115905</v>
      </c>
      <c r="J99" s="56">
        <f t="shared" si="10"/>
        <v>502.85631373509938</v>
      </c>
      <c r="K99" s="109">
        <v>673</v>
      </c>
      <c r="L99" s="104">
        <f t="shared" si="11"/>
        <v>8.2143357917728199</v>
      </c>
      <c r="M99" s="104"/>
      <c r="N99" s="104"/>
      <c r="O99" s="104"/>
      <c r="P99" s="104"/>
      <c r="Q99" s="104"/>
      <c r="R99" s="104"/>
      <c r="S99" s="49">
        <v>12290</v>
      </c>
      <c r="T99" s="105">
        <v>1006</v>
      </c>
    </row>
    <row r="100" spans="1:20" x14ac:dyDescent="0.25">
      <c r="A100" s="17" t="str">
        <f t="shared" si="6"/>
        <v>CIRF  273*5</v>
      </c>
      <c r="B100" s="33">
        <f t="shared" si="7"/>
        <v>33.04641312311103</v>
      </c>
      <c r="C100" s="17">
        <v>273</v>
      </c>
      <c r="D100" s="17">
        <v>5</v>
      </c>
      <c r="E100" s="17"/>
      <c r="F100" s="17"/>
      <c r="G100" s="17"/>
      <c r="H100" s="33">
        <f t="shared" si="8"/>
        <v>42.097341558103224</v>
      </c>
      <c r="I100" s="57">
        <f t="shared" si="9"/>
        <v>3780.8148670101987</v>
      </c>
      <c r="J100" s="57">
        <f t="shared" si="10"/>
        <v>276.98277413994128</v>
      </c>
      <c r="K100" s="106">
        <v>359</v>
      </c>
      <c r="L100" s="96">
        <f t="shared" si="11"/>
        <v>9.4768797607651436</v>
      </c>
      <c r="M100" s="96"/>
      <c r="N100" s="96"/>
      <c r="O100" s="96"/>
      <c r="P100" s="96"/>
      <c r="Q100" s="96"/>
      <c r="R100" s="96"/>
      <c r="S100" s="17">
        <v>7562</v>
      </c>
      <c r="T100">
        <v>554</v>
      </c>
    </row>
    <row r="101" spans="1:20" x14ac:dyDescent="0.25">
      <c r="A101" s="17" t="str">
        <f t="shared" si="6"/>
        <v>CIRF  273*6</v>
      </c>
      <c r="B101" s="33">
        <f t="shared" si="7"/>
        <v>39.507726733749166</v>
      </c>
      <c r="C101" s="17">
        <v>273</v>
      </c>
      <c r="D101" s="17">
        <v>6</v>
      </c>
      <c r="E101" s="17"/>
      <c r="F101" s="17"/>
      <c r="G101" s="17"/>
      <c r="H101" s="33">
        <f t="shared" si="8"/>
        <v>50.328314310508489</v>
      </c>
      <c r="I101" s="57">
        <f t="shared" si="9"/>
        <v>4487.0837727462722</v>
      </c>
      <c r="J101" s="57">
        <f t="shared" si="10"/>
        <v>328.72408591547781</v>
      </c>
      <c r="K101" s="106">
        <v>428</v>
      </c>
      <c r="L101" s="96">
        <f t="shared" si="11"/>
        <v>9.442258734010629</v>
      </c>
      <c r="M101" s="96"/>
      <c r="N101" s="96"/>
      <c r="O101" s="96"/>
      <c r="P101" s="96"/>
      <c r="Q101" s="96"/>
      <c r="R101" s="96"/>
      <c r="S101" s="17">
        <v>8974</v>
      </c>
      <c r="T101">
        <v>657.4</v>
      </c>
    </row>
    <row r="102" spans="1:20" x14ac:dyDescent="0.25">
      <c r="A102" s="17" t="str">
        <f t="shared" si="6"/>
        <v>CIRF  273*6.3</v>
      </c>
      <c r="B102" s="33">
        <f t="shared" si="7"/>
        <v>41.436502831031703</v>
      </c>
      <c r="C102" s="17">
        <v>273</v>
      </c>
      <c r="D102" s="17">
        <v>6.3</v>
      </c>
      <c r="E102" s="17"/>
      <c r="F102" s="17"/>
      <c r="G102" s="17"/>
      <c r="H102" s="33">
        <f t="shared" si="8"/>
        <v>52.78535392488115</v>
      </c>
      <c r="I102" s="57">
        <f t="shared" si="9"/>
        <v>4695.8233545390203</v>
      </c>
      <c r="J102" s="57">
        <f t="shared" si="10"/>
        <v>344.01636296989159</v>
      </c>
      <c r="K102" s="106">
        <v>448</v>
      </c>
      <c r="L102" s="96">
        <f t="shared" si="11"/>
        <v>9.4318993315238444</v>
      </c>
      <c r="M102" s="96"/>
      <c r="N102" s="96"/>
      <c r="O102" s="96"/>
      <c r="P102" s="96"/>
      <c r="Q102" s="96"/>
      <c r="R102" s="96"/>
      <c r="S102" s="17">
        <v>9392</v>
      </c>
      <c r="T102">
        <v>688</v>
      </c>
    </row>
    <row r="103" spans="1:20" x14ac:dyDescent="0.25">
      <c r="A103" s="17" t="str">
        <f t="shared" si="6"/>
        <v>CIRF  273*8</v>
      </c>
      <c r="B103" s="33">
        <f t="shared" si="7"/>
        <v>52.282384941041343</v>
      </c>
      <c r="C103" s="17">
        <v>273</v>
      </c>
      <c r="D103" s="17">
        <v>8</v>
      </c>
      <c r="E103" s="17"/>
      <c r="F103" s="17"/>
      <c r="G103" s="17"/>
      <c r="H103" s="33">
        <f t="shared" si="8"/>
        <v>66.601764256103621</v>
      </c>
      <c r="I103" s="57">
        <f t="shared" si="9"/>
        <v>5851.7142597465836</v>
      </c>
      <c r="J103" s="57">
        <f t="shared" si="10"/>
        <v>428.6970153660501</v>
      </c>
      <c r="K103" s="106">
        <v>562</v>
      </c>
      <c r="L103" s="96">
        <f t="shared" si="11"/>
        <v>9.3734332024077496</v>
      </c>
      <c r="M103" s="96"/>
      <c r="N103" s="96"/>
      <c r="O103" s="96"/>
      <c r="P103" s="96"/>
      <c r="Q103" s="96"/>
      <c r="R103" s="96"/>
      <c r="S103" s="17">
        <v>11700</v>
      </c>
      <c r="T103">
        <v>857.4</v>
      </c>
    </row>
    <row r="104" spans="1:20" x14ac:dyDescent="0.25">
      <c r="A104" s="17" t="str">
        <f t="shared" si="6"/>
        <v>CIRF  273*10</v>
      </c>
      <c r="B104" s="33">
        <f t="shared" si="7"/>
        <v>64.859751129688078</v>
      </c>
      <c r="C104" s="17">
        <v>273</v>
      </c>
      <c r="D104" s="17">
        <v>10</v>
      </c>
      <c r="E104" s="17"/>
      <c r="F104" s="17"/>
      <c r="G104" s="17"/>
      <c r="H104" s="33">
        <f t="shared" si="8"/>
        <v>82.623886789411557</v>
      </c>
      <c r="I104" s="57">
        <f t="shared" si="9"/>
        <v>7154.0925175196871</v>
      </c>
      <c r="J104" s="57">
        <f t="shared" si="10"/>
        <v>524.10934194283425</v>
      </c>
      <c r="K104" s="106">
        <v>692</v>
      </c>
      <c r="L104" s="96">
        <f t="shared" si="11"/>
        <v>9.3051732923143362</v>
      </c>
      <c r="M104" s="96"/>
      <c r="N104" s="96"/>
      <c r="O104" s="96"/>
      <c r="P104" s="96"/>
      <c r="Q104" s="96"/>
      <c r="R104" s="96"/>
      <c r="S104" s="17">
        <v>14310</v>
      </c>
      <c r="T104">
        <v>1048</v>
      </c>
    </row>
    <row r="105" spans="1:20" x14ac:dyDescent="0.25">
      <c r="A105" s="17" t="str">
        <f t="shared" si="6"/>
        <v>CIRF  273*12</v>
      </c>
      <c r="B105" s="33">
        <f t="shared" si="7"/>
        <v>77.239825299689372</v>
      </c>
      <c r="C105" s="17">
        <v>273</v>
      </c>
      <c r="D105" s="17">
        <v>12</v>
      </c>
      <c r="E105" s="17"/>
      <c r="F105" s="17"/>
      <c r="G105" s="17"/>
      <c r="H105" s="33">
        <f t="shared" si="8"/>
        <v>98.394681910432325</v>
      </c>
      <c r="I105" s="57">
        <f t="shared" si="9"/>
        <v>8396.1412007695781</v>
      </c>
      <c r="J105" s="57">
        <f t="shared" si="10"/>
        <v>615.10191947029875</v>
      </c>
      <c r="K105" s="106">
        <v>818</v>
      </c>
      <c r="L105" s="96">
        <f t="shared" si="11"/>
        <v>9.2374915426212976</v>
      </c>
      <c r="M105" s="96"/>
      <c r="N105" s="96"/>
      <c r="O105" s="96"/>
      <c r="P105" s="96"/>
      <c r="Q105" s="96"/>
      <c r="R105" s="96"/>
      <c r="S105" s="17">
        <v>16790</v>
      </c>
      <c r="T105">
        <v>1230</v>
      </c>
    </row>
    <row r="106" spans="1:20" x14ac:dyDescent="0.25">
      <c r="A106" s="17" t="str">
        <f t="shared" si="6"/>
        <v>CIRF  273*12.5</v>
      </c>
      <c r="B106" s="33">
        <f t="shared" si="7"/>
        <v>80.304016964276343</v>
      </c>
      <c r="C106" s="17">
        <v>273</v>
      </c>
      <c r="D106" s="17">
        <v>12.5</v>
      </c>
      <c r="E106" s="17"/>
      <c r="F106" s="17"/>
      <c r="G106" s="17"/>
      <c r="H106" s="33">
        <f t="shared" si="8"/>
        <v>102.29811078251764</v>
      </c>
      <c r="I106" s="57">
        <f t="shared" si="9"/>
        <v>8697.4493150488888</v>
      </c>
      <c r="J106" s="57">
        <f t="shared" si="10"/>
        <v>637.17577399625554</v>
      </c>
      <c r="K106" s="106">
        <v>849</v>
      </c>
      <c r="L106" s="96">
        <f t="shared" si="11"/>
        <v>9.220662937121169</v>
      </c>
      <c r="M106" s="96"/>
      <c r="N106" s="96"/>
      <c r="O106" s="96"/>
      <c r="P106" s="96"/>
      <c r="Q106" s="96"/>
      <c r="R106" s="96"/>
      <c r="S106" s="17">
        <v>17390</v>
      </c>
      <c r="T106">
        <v>1274</v>
      </c>
    </row>
    <row r="107" spans="1:20" x14ac:dyDescent="0.25">
      <c r="A107" s="97" t="str">
        <f t="shared" si="6"/>
        <v>CIRF  323.9*5</v>
      </c>
      <c r="B107" s="38">
        <f t="shared" si="7"/>
        <v>39.322765466269068</v>
      </c>
      <c r="C107" s="37">
        <v>323.89999999999998</v>
      </c>
      <c r="D107" s="37">
        <v>5</v>
      </c>
      <c r="E107" s="37"/>
      <c r="F107" s="37"/>
      <c r="G107" s="37"/>
      <c r="H107" s="38">
        <f t="shared" si="8"/>
        <v>50.092694861489257</v>
      </c>
      <c r="I107" s="54">
        <f t="shared" si="9"/>
        <v>6369.4245327079143</v>
      </c>
      <c r="J107" s="54">
        <f t="shared" si="10"/>
        <v>393.29574144537906</v>
      </c>
      <c r="K107" s="107">
        <v>509</v>
      </c>
      <c r="L107" s="98">
        <f t="shared" si="11"/>
        <v>11.276203372589553</v>
      </c>
      <c r="M107" s="98"/>
      <c r="N107" s="98"/>
      <c r="O107" s="98"/>
      <c r="P107" s="98"/>
      <c r="Q107" s="98"/>
      <c r="R107" s="98"/>
      <c r="S107" s="37">
        <v>12740</v>
      </c>
      <c r="T107" s="99">
        <v>786.6</v>
      </c>
    </row>
    <row r="108" spans="1:20" x14ac:dyDescent="0.25">
      <c r="A108" s="100" t="str">
        <f t="shared" si="6"/>
        <v>CIRF  323.9*6</v>
      </c>
      <c r="B108" s="44">
        <f t="shared" si="7"/>
        <v>47.039349545538833</v>
      </c>
      <c r="C108" s="43">
        <v>323.89999999999998</v>
      </c>
      <c r="D108" s="43">
        <v>6</v>
      </c>
      <c r="E108" s="43"/>
      <c r="F108" s="43"/>
      <c r="G108" s="43"/>
      <c r="H108" s="44">
        <f t="shared" si="8"/>
        <v>59.922738274571756</v>
      </c>
      <c r="I108" s="55">
        <f t="shared" si="9"/>
        <v>7572.4671461610042</v>
      </c>
      <c r="J108" s="55">
        <f t="shared" si="10"/>
        <v>467.58055857740067</v>
      </c>
      <c r="K108" s="108">
        <v>606</v>
      </c>
      <c r="L108" s="101">
        <f t="shared" si="11"/>
        <v>11.241463983841255</v>
      </c>
      <c r="M108" s="101"/>
      <c r="N108" s="101"/>
      <c r="O108" s="101"/>
      <c r="P108" s="101"/>
      <c r="Q108" s="101"/>
      <c r="R108" s="101"/>
      <c r="S108" s="43">
        <v>15140</v>
      </c>
      <c r="T108" s="102">
        <v>935.2</v>
      </c>
    </row>
    <row r="109" spans="1:20" x14ac:dyDescent="0.25">
      <c r="A109" s="100" t="str">
        <f t="shared" si="6"/>
        <v>CIRF  323.9*6.3</v>
      </c>
      <c r="B109" s="44">
        <f t="shared" si="7"/>
        <v>49.344706783410864</v>
      </c>
      <c r="C109" s="43">
        <v>323.89999999999998</v>
      </c>
      <c r="D109" s="43">
        <v>6.3</v>
      </c>
      <c r="E109" s="43"/>
      <c r="F109" s="43"/>
      <c r="G109" s="43"/>
      <c r="H109" s="44">
        <f t="shared" si="8"/>
        <v>62.859499087147597</v>
      </c>
      <c r="I109" s="55">
        <f t="shared" si="9"/>
        <v>7928.8968501994586</v>
      </c>
      <c r="J109" s="55">
        <f t="shared" si="10"/>
        <v>489.58918494593752</v>
      </c>
      <c r="K109" s="108">
        <v>636</v>
      </c>
      <c r="L109" s="101">
        <f t="shared" si="11"/>
        <v>11.231064620061627</v>
      </c>
      <c r="M109" s="101"/>
      <c r="N109" s="101"/>
      <c r="O109" s="101"/>
      <c r="P109" s="101"/>
      <c r="Q109" s="101"/>
      <c r="R109" s="101"/>
      <c r="S109" s="43">
        <v>15860</v>
      </c>
      <c r="T109" s="102">
        <v>979.2</v>
      </c>
    </row>
    <row r="110" spans="1:20" x14ac:dyDescent="0.25">
      <c r="A110" s="100" t="str">
        <f t="shared" si="6"/>
        <v>CIRF  323.9*8</v>
      </c>
      <c r="B110" s="44">
        <f t="shared" si="7"/>
        <v>62.324548690094204</v>
      </c>
      <c r="C110" s="43">
        <v>323.89999999999998</v>
      </c>
      <c r="D110" s="43">
        <v>8</v>
      </c>
      <c r="E110" s="43"/>
      <c r="F110" s="43"/>
      <c r="G110" s="43"/>
      <c r="H110" s="44">
        <f t="shared" si="8"/>
        <v>79.394329541521273</v>
      </c>
      <c r="I110" s="55">
        <f t="shared" si="9"/>
        <v>9910.0806001313485</v>
      </c>
      <c r="J110" s="55">
        <f t="shared" si="10"/>
        <v>611.92223526590601</v>
      </c>
      <c r="K110" s="108">
        <v>799</v>
      </c>
      <c r="L110" s="101">
        <f t="shared" si="11"/>
        <v>11.172332455669229</v>
      </c>
      <c r="M110" s="101"/>
      <c r="N110" s="101"/>
      <c r="O110" s="101"/>
      <c r="P110" s="101"/>
      <c r="Q110" s="101"/>
      <c r="R110" s="101"/>
      <c r="S110" s="43">
        <v>19820</v>
      </c>
      <c r="T110" s="102">
        <v>1224</v>
      </c>
    </row>
    <row r="111" spans="1:20" x14ac:dyDescent="0.25">
      <c r="A111" s="100" t="str">
        <f t="shared" si="6"/>
        <v>CIRF  323.9*10</v>
      </c>
      <c r="B111" s="44">
        <f t="shared" si="7"/>
        <v>77.41245581600414</v>
      </c>
      <c r="C111" s="43">
        <v>323.89999999999998</v>
      </c>
      <c r="D111" s="43">
        <v>10</v>
      </c>
      <c r="E111" s="43"/>
      <c r="F111" s="43"/>
      <c r="G111" s="43"/>
      <c r="H111" s="44">
        <f t="shared" si="8"/>
        <v>98.614593396183608</v>
      </c>
      <c r="I111" s="55">
        <f t="shared" si="9"/>
        <v>12158.342374387992</v>
      </c>
      <c r="J111" s="55">
        <f t="shared" si="10"/>
        <v>750.74667331818409</v>
      </c>
      <c r="K111" s="108">
        <v>986</v>
      </c>
      <c r="L111" s="101">
        <f t="shared" si="11"/>
        <v>11.1036711271543</v>
      </c>
      <c r="M111" s="101"/>
      <c r="N111" s="101"/>
      <c r="O111" s="101"/>
      <c r="P111" s="101"/>
      <c r="Q111" s="101"/>
      <c r="R111" s="101"/>
      <c r="S111" s="43">
        <v>24320</v>
      </c>
      <c r="T111" s="102">
        <v>1501</v>
      </c>
    </row>
    <row r="112" spans="1:20" x14ac:dyDescent="0.25">
      <c r="A112" s="100" t="str">
        <f t="shared" si="6"/>
        <v>CIRF  323.9*12</v>
      </c>
      <c r="B112" s="44">
        <f t="shared" si="7"/>
        <v>92.303070923268706</v>
      </c>
      <c r="C112" s="43">
        <v>323.89999999999998</v>
      </c>
      <c r="D112" s="43">
        <v>12</v>
      </c>
      <c r="E112" s="43"/>
      <c r="F112" s="43"/>
      <c r="G112" s="43"/>
      <c r="H112" s="44">
        <f t="shared" si="8"/>
        <v>117.58352983855886</v>
      </c>
      <c r="I112" s="55">
        <f t="shared" si="9"/>
        <v>14319.5589005935</v>
      </c>
      <c r="J112" s="55">
        <f t="shared" si="10"/>
        <v>884.19628901472674</v>
      </c>
      <c r="K112" s="108">
        <v>1168</v>
      </c>
      <c r="L112" s="101">
        <f t="shared" si="11"/>
        <v>11.035488774857233</v>
      </c>
      <c r="M112" s="101"/>
      <c r="N112" s="101"/>
      <c r="O112" s="101"/>
      <c r="P112" s="101"/>
      <c r="Q112" s="101"/>
      <c r="R112" s="101"/>
      <c r="S112" s="43">
        <v>28640</v>
      </c>
      <c r="T112" s="102">
        <v>1768</v>
      </c>
    </row>
    <row r="113" spans="1:20" x14ac:dyDescent="0.25">
      <c r="A113" s="103" t="str">
        <f t="shared" si="6"/>
        <v>CIRF  323.9*12.5</v>
      </c>
      <c r="B113" s="50">
        <f t="shared" si="7"/>
        <v>95.99489782217141</v>
      </c>
      <c r="C113" s="49">
        <v>323.89999999999998</v>
      </c>
      <c r="D113" s="49">
        <v>12.5</v>
      </c>
      <c r="E113" s="49"/>
      <c r="F113" s="49"/>
      <c r="G113" s="49"/>
      <c r="H113" s="50">
        <f t="shared" si="8"/>
        <v>122.28649404098269</v>
      </c>
      <c r="I113" s="56">
        <f t="shared" si="9"/>
        <v>14846.529625485296</v>
      </c>
      <c r="J113" s="56">
        <f t="shared" si="10"/>
        <v>916.73538903891915</v>
      </c>
      <c r="K113" s="109">
        <v>1213</v>
      </c>
      <c r="L113" s="104">
        <f t="shared" si="11"/>
        <v>11.018519070183617</v>
      </c>
      <c r="M113" s="104"/>
      <c r="N113" s="104"/>
      <c r="O113" s="104"/>
      <c r="P113" s="104"/>
      <c r="Q113" s="104"/>
      <c r="R113" s="104"/>
      <c r="S113" s="49">
        <v>29690</v>
      </c>
      <c r="T113" s="105">
        <v>1833</v>
      </c>
    </row>
    <row r="114" spans="1:20" x14ac:dyDescent="0.25">
      <c r="A114" s="17" t="str">
        <f t="shared" si="6"/>
        <v>CIRF  355.6*5</v>
      </c>
      <c r="B114" s="33">
        <f t="shared" si="7"/>
        <v>43.231613585681828</v>
      </c>
      <c r="C114" s="17">
        <v>355.6</v>
      </c>
      <c r="D114" s="17">
        <v>5</v>
      </c>
      <c r="E114" s="17"/>
      <c r="F114" s="17"/>
      <c r="G114" s="17"/>
      <c r="H114" s="33">
        <f t="shared" si="8"/>
        <v>55.072119217429076</v>
      </c>
      <c r="I114" s="57">
        <f t="shared" si="9"/>
        <v>8463.576903937168</v>
      </c>
      <c r="J114" s="57">
        <f t="shared" si="10"/>
        <v>476.0166987591208</v>
      </c>
      <c r="K114" s="106">
        <v>615</v>
      </c>
      <c r="L114" s="96">
        <f t="shared" si="11"/>
        <v>12.396842339886394</v>
      </c>
      <c r="M114" s="96"/>
      <c r="N114" s="96"/>
      <c r="O114" s="96"/>
      <c r="P114" s="96"/>
      <c r="Q114" s="96"/>
      <c r="R114" s="96"/>
      <c r="S114" s="17">
        <v>16930</v>
      </c>
      <c r="T114">
        <v>952</v>
      </c>
    </row>
    <row r="115" spans="1:20" x14ac:dyDescent="0.25">
      <c r="A115" s="17" t="str">
        <f t="shared" si="6"/>
        <v>CIRF  355.6*6</v>
      </c>
      <c r="B115" s="33">
        <f t="shared" si="7"/>
        <v>51.729967288834075</v>
      </c>
      <c r="C115" s="17">
        <v>355.6</v>
      </c>
      <c r="D115" s="17">
        <v>6</v>
      </c>
      <c r="E115" s="17"/>
      <c r="F115" s="17"/>
      <c r="G115" s="17"/>
      <c r="H115" s="33">
        <f t="shared" si="8"/>
        <v>65.898047501699452</v>
      </c>
      <c r="I115" s="57">
        <f t="shared" si="9"/>
        <v>10070.552798819212</v>
      </c>
      <c r="J115" s="57">
        <f t="shared" si="10"/>
        <v>566.39779520917944</v>
      </c>
      <c r="K115" s="106">
        <v>733</v>
      </c>
      <c r="L115" s="96">
        <f t="shared" si="11"/>
        <v>12.362046756099899</v>
      </c>
      <c r="M115" s="96"/>
      <c r="N115" s="96"/>
      <c r="O115" s="96"/>
      <c r="P115" s="96"/>
      <c r="Q115" s="96"/>
      <c r="R115" s="96"/>
      <c r="S115" s="17">
        <v>20140</v>
      </c>
      <c r="T115">
        <v>1133</v>
      </c>
    </row>
    <row r="116" spans="1:20" x14ac:dyDescent="0.25">
      <c r="A116" s="17" t="str">
        <f t="shared" si="6"/>
        <v>CIRF  355.6*6.3</v>
      </c>
      <c r="B116" s="33">
        <f t="shared" si="7"/>
        <v>54.269855413870921</v>
      </c>
      <c r="C116" s="17">
        <v>355.6</v>
      </c>
      <c r="D116" s="17">
        <v>6.3</v>
      </c>
      <c r="E116" s="17"/>
      <c r="F116" s="17"/>
      <c r="G116" s="17"/>
      <c r="H116" s="33">
        <f t="shared" si="8"/>
        <v>69.133573775631746</v>
      </c>
      <c r="I116" s="57">
        <f t="shared" si="9"/>
        <v>10547.206404198918</v>
      </c>
      <c r="J116" s="57">
        <f t="shared" si="10"/>
        <v>593.20620946000656</v>
      </c>
      <c r="K116" s="106">
        <v>769</v>
      </c>
      <c r="L116" s="96">
        <f t="shared" si="11"/>
        <v>12.351628435149756</v>
      </c>
      <c r="M116" s="96"/>
      <c r="N116" s="96"/>
      <c r="O116" s="96"/>
      <c r="P116" s="96"/>
      <c r="Q116" s="96"/>
      <c r="R116" s="96"/>
      <c r="S116" s="17">
        <v>21090</v>
      </c>
      <c r="T116">
        <v>1186</v>
      </c>
    </row>
    <row r="117" spans="1:20" x14ac:dyDescent="0.25">
      <c r="A117" s="17" t="str">
        <f t="shared" si="6"/>
        <v>CIRF  355.6*8</v>
      </c>
      <c r="B117" s="33">
        <f t="shared" si="7"/>
        <v>68.578705681154588</v>
      </c>
      <c r="C117" s="17">
        <v>355.6</v>
      </c>
      <c r="D117" s="17">
        <v>8</v>
      </c>
      <c r="E117" s="17"/>
      <c r="F117" s="17"/>
      <c r="G117" s="17"/>
      <c r="H117" s="33">
        <f t="shared" si="8"/>
        <v>87.361408511024948</v>
      </c>
      <c r="I117" s="57">
        <f t="shared" si="9"/>
        <v>13201.374635199711</v>
      </c>
      <c r="J117" s="57">
        <f t="shared" si="10"/>
        <v>742.48451266590041</v>
      </c>
      <c r="K117" s="106">
        <v>967</v>
      </c>
      <c r="L117" s="96">
        <f t="shared" si="11"/>
        <v>12.292770232945871</v>
      </c>
      <c r="M117" s="96"/>
      <c r="N117" s="96"/>
      <c r="O117" s="96"/>
      <c r="P117" s="96"/>
      <c r="Q117" s="96"/>
      <c r="R117" s="96"/>
      <c r="S117" s="17">
        <v>26400</v>
      </c>
      <c r="T117">
        <v>1485</v>
      </c>
    </row>
    <row r="118" spans="1:20" x14ac:dyDescent="0.25">
      <c r="A118" s="17" t="str">
        <f t="shared" si="6"/>
        <v>CIRF  355.6*10</v>
      </c>
      <c r="B118" s="33">
        <f t="shared" si="7"/>
        <v>85.230152054829659</v>
      </c>
      <c r="C118" s="17">
        <v>355.6</v>
      </c>
      <c r="D118" s="17">
        <v>10</v>
      </c>
      <c r="E118" s="17"/>
      <c r="F118" s="17"/>
      <c r="G118" s="17"/>
      <c r="H118" s="33">
        <f t="shared" si="8"/>
        <v>108.57344210806325</v>
      </c>
      <c r="I118" s="57">
        <f t="shared" si="9"/>
        <v>16223.499728243667</v>
      </c>
      <c r="J118" s="57">
        <f t="shared" si="10"/>
        <v>912.45780248839515</v>
      </c>
      <c r="K118" s="106">
        <v>1195</v>
      </c>
      <c r="L118" s="96">
        <f t="shared" si="11"/>
        <v>12.223919175125465</v>
      </c>
      <c r="M118" s="96"/>
      <c r="N118" s="96"/>
      <c r="O118" s="96"/>
      <c r="P118" s="96"/>
      <c r="Q118" s="96"/>
      <c r="R118" s="96"/>
      <c r="S118" s="17">
        <v>32450</v>
      </c>
      <c r="T118">
        <v>1825</v>
      </c>
    </row>
    <row r="119" spans="1:20" x14ac:dyDescent="0.25">
      <c r="A119" s="17" t="str">
        <f t="shared" si="6"/>
        <v>CIRF  355.6*12</v>
      </c>
      <c r="B119" s="33">
        <f t="shared" si="7"/>
        <v>101.68430640985927</v>
      </c>
      <c r="C119" s="17">
        <v>355.6</v>
      </c>
      <c r="D119" s="17">
        <v>12</v>
      </c>
      <c r="E119" s="17"/>
      <c r="F119" s="17"/>
      <c r="G119" s="17"/>
      <c r="H119" s="33">
        <f t="shared" si="8"/>
        <v>129.53414829281436</v>
      </c>
      <c r="I119" s="57">
        <f t="shared" si="9"/>
        <v>19139.473521982738</v>
      </c>
      <c r="J119" s="57">
        <f t="shared" si="10"/>
        <v>1076.4608280080279</v>
      </c>
      <c r="K119" s="106">
        <v>1417</v>
      </c>
      <c r="L119" s="96">
        <f t="shared" si="11"/>
        <v>12.155500812389427</v>
      </c>
      <c r="M119" s="96"/>
      <c r="N119" s="96"/>
      <c r="O119" s="96"/>
      <c r="P119" s="96"/>
      <c r="Q119" s="96"/>
      <c r="R119" s="96"/>
      <c r="S119" s="17">
        <v>38280</v>
      </c>
      <c r="T119">
        <v>2153</v>
      </c>
    </row>
    <row r="120" spans="1:20" x14ac:dyDescent="0.25">
      <c r="A120" s="17" t="str">
        <f t="shared" si="6"/>
        <v>CIRF  355.6*12.5</v>
      </c>
      <c r="B120" s="33">
        <f t="shared" si="7"/>
        <v>105.76701812070333</v>
      </c>
      <c r="C120" s="17">
        <v>355.6</v>
      </c>
      <c r="D120" s="17">
        <v>12.5</v>
      </c>
      <c r="E120" s="17"/>
      <c r="F120" s="17"/>
      <c r="G120" s="17"/>
      <c r="H120" s="33">
        <f t="shared" si="8"/>
        <v>134.73505493083226</v>
      </c>
      <c r="I120" s="57">
        <f t="shared" si="9"/>
        <v>19852.176252511541</v>
      </c>
      <c r="J120" s="57">
        <f t="shared" si="10"/>
        <v>1116.5453460355197</v>
      </c>
      <c r="K120" s="106">
        <v>1472</v>
      </c>
      <c r="L120" s="96">
        <f t="shared" si="11"/>
        <v>12.138464688748739</v>
      </c>
      <c r="M120" s="96"/>
      <c r="N120" s="96"/>
      <c r="O120" s="96"/>
      <c r="P120" s="96"/>
      <c r="Q120" s="96"/>
      <c r="R120" s="96"/>
      <c r="S120" s="17">
        <v>39700</v>
      </c>
      <c r="T120">
        <v>2233</v>
      </c>
    </row>
    <row r="121" spans="1:20" x14ac:dyDescent="0.25">
      <c r="A121" s="17" t="str">
        <f t="shared" si="6"/>
        <v>CIRF  355.6*16</v>
      </c>
      <c r="B121" s="33">
        <f t="shared" si="7"/>
        <v>134.00073906398211</v>
      </c>
      <c r="C121" s="17">
        <v>355.6</v>
      </c>
      <c r="D121" s="17">
        <v>16</v>
      </c>
      <c r="E121" s="17"/>
      <c r="F121" s="17"/>
      <c r="G121" s="17"/>
      <c r="H121" s="33">
        <f t="shared" si="8"/>
        <v>170.70157842545493</v>
      </c>
      <c r="I121" s="57">
        <f t="shared" si="9"/>
        <v>24662.998191225426</v>
      </c>
      <c r="J121" s="57">
        <f t="shared" si="10"/>
        <v>1387.1202582241522</v>
      </c>
      <c r="K121" s="106">
        <v>1847</v>
      </c>
      <c r="L121" s="96">
        <f t="shared" si="11"/>
        <v>12.01999168052957</v>
      </c>
      <c r="M121" s="96"/>
      <c r="N121" s="96"/>
      <c r="O121" s="96"/>
      <c r="P121" s="96"/>
      <c r="Q121" s="96"/>
      <c r="R121" s="96"/>
      <c r="S121" s="17">
        <v>49330</v>
      </c>
      <c r="T121">
        <v>2774</v>
      </c>
    </row>
    <row r="122" spans="1:20" x14ac:dyDescent="0.25">
      <c r="A122" s="17" t="str">
        <f t="shared" si="6"/>
        <v>CIRF  355.6*20</v>
      </c>
      <c r="B122" s="33">
        <f t="shared" si="7"/>
        <v>165.52800364352333</v>
      </c>
      <c r="C122" s="17">
        <v>355.6</v>
      </c>
      <c r="D122" s="17">
        <v>20</v>
      </c>
      <c r="E122" s="17"/>
      <c r="F122" s="17"/>
      <c r="G122" s="17"/>
      <c r="H122" s="33">
        <f t="shared" si="8"/>
        <v>210.8636989089469</v>
      </c>
      <c r="I122" s="57">
        <f t="shared" si="9"/>
        <v>29791.709009391445</v>
      </c>
      <c r="J122" s="57">
        <f t="shared" si="10"/>
        <v>1675.5741850051431</v>
      </c>
      <c r="K122" s="106">
        <v>2255</v>
      </c>
      <c r="L122" s="96">
        <f t="shared" si="11"/>
        <v>11.886303041736738</v>
      </c>
      <c r="M122" s="96"/>
      <c r="N122" s="96"/>
      <c r="O122" s="96"/>
      <c r="P122" s="96"/>
      <c r="Q122" s="96"/>
      <c r="R122" s="96"/>
      <c r="S122" s="17">
        <v>59580</v>
      </c>
      <c r="T122">
        <v>3351</v>
      </c>
    </row>
    <row r="123" spans="1:20" x14ac:dyDescent="0.25">
      <c r="A123" s="97" t="str">
        <f t="shared" si="6"/>
        <v>CIRF  406.4*6</v>
      </c>
      <c r="B123" s="38">
        <f t="shared" si="7"/>
        <v>59.246793199225365</v>
      </c>
      <c r="C123" s="37">
        <v>406.4</v>
      </c>
      <c r="D123" s="37">
        <v>6</v>
      </c>
      <c r="E123" s="37"/>
      <c r="F123" s="37"/>
      <c r="G123" s="37"/>
      <c r="H123" s="38">
        <f t="shared" si="8"/>
        <v>75.473621909841228</v>
      </c>
      <c r="I123" s="54">
        <f t="shared" si="9"/>
        <v>15128.325238442518</v>
      </c>
      <c r="J123" s="54">
        <f t="shared" si="10"/>
        <v>744.50419480524204</v>
      </c>
      <c r="K123" s="107">
        <v>962</v>
      </c>
      <c r="L123" s="98">
        <f t="shared" si="11"/>
        <v>14.157867070996257</v>
      </c>
      <c r="M123" s="98"/>
      <c r="N123" s="98"/>
      <c r="O123" s="98"/>
      <c r="P123" s="98"/>
      <c r="Q123" s="98"/>
      <c r="R123" s="98"/>
      <c r="S123" s="37">
        <v>30260</v>
      </c>
      <c r="T123" s="99">
        <v>1489</v>
      </c>
    </row>
    <row r="124" spans="1:20" x14ac:dyDescent="0.25">
      <c r="A124" s="100" t="str">
        <f t="shared" si="6"/>
        <v>CIRF  406.4*6.3</v>
      </c>
      <c r="B124" s="44">
        <f t="shared" si="7"/>
        <v>62.16252261978174</v>
      </c>
      <c r="C124" s="43">
        <v>406.4</v>
      </c>
      <c r="D124" s="43">
        <v>6.3</v>
      </c>
      <c r="E124" s="43"/>
      <c r="F124" s="43"/>
      <c r="G124" s="43"/>
      <c r="H124" s="44">
        <f t="shared" si="8"/>
        <v>79.187926904180557</v>
      </c>
      <c r="I124" s="55">
        <f t="shared" si="9"/>
        <v>15849.433874399147</v>
      </c>
      <c r="J124" s="55">
        <f t="shared" si="10"/>
        <v>779.991824527517</v>
      </c>
      <c r="K124" s="108">
        <v>1009</v>
      </c>
      <c r="L124" s="101">
        <f t="shared" si="11"/>
        <v>14.147424677304345</v>
      </c>
      <c r="M124" s="101"/>
      <c r="N124" s="101"/>
      <c r="O124" s="101"/>
      <c r="P124" s="101"/>
      <c r="Q124" s="101"/>
      <c r="R124" s="101"/>
      <c r="S124" s="43">
        <v>31700</v>
      </c>
      <c r="T124" s="102">
        <v>1560</v>
      </c>
    </row>
    <row r="125" spans="1:20" x14ac:dyDescent="0.25">
      <c r="A125" s="100" t="str">
        <f t="shared" si="6"/>
        <v>CIRF  406.4*8</v>
      </c>
      <c r="B125" s="44">
        <f t="shared" si="7"/>
        <v>78.601140228343013</v>
      </c>
      <c r="C125" s="43">
        <v>406.4</v>
      </c>
      <c r="D125" s="43">
        <v>8</v>
      </c>
      <c r="E125" s="43"/>
      <c r="F125" s="43"/>
      <c r="G125" s="43"/>
      <c r="H125" s="44">
        <f t="shared" si="8"/>
        <v>100.12884105521402</v>
      </c>
      <c r="I125" s="55">
        <f t="shared" si="9"/>
        <v>19873.892784930253</v>
      </c>
      <c r="J125" s="55">
        <f t="shared" si="10"/>
        <v>978.04590477018962</v>
      </c>
      <c r="K125" s="108">
        <v>1270</v>
      </c>
      <c r="L125" s="101">
        <f t="shared" si="11"/>
        <v>14.08840658129939</v>
      </c>
      <c r="M125" s="101"/>
      <c r="N125" s="101"/>
      <c r="O125" s="101"/>
      <c r="P125" s="101"/>
      <c r="Q125" s="101"/>
      <c r="R125" s="101"/>
      <c r="S125" s="43">
        <v>39750</v>
      </c>
      <c r="T125" s="102">
        <v>1956</v>
      </c>
    </row>
    <row r="126" spans="1:20" x14ac:dyDescent="0.25">
      <c r="A126" s="100" t="str">
        <f t="shared" si="6"/>
        <v>CIRF  406.4*10</v>
      </c>
      <c r="B126" s="44">
        <f t="shared" si="7"/>
        <v>97.758195238815034</v>
      </c>
      <c r="C126" s="43">
        <v>406.4</v>
      </c>
      <c r="D126" s="43">
        <v>10</v>
      </c>
      <c r="E126" s="43"/>
      <c r="F126" s="43"/>
      <c r="G126" s="43"/>
      <c r="H126" s="44">
        <f t="shared" si="8"/>
        <v>124.5327327882994</v>
      </c>
      <c r="I126" s="55">
        <f t="shared" si="9"/>
        <v>24475.812741491711</v>
      </c>
      <c r="J126" s="55">
        <f t="shared" si="10"/>
        <v>1204.5183435773479</v>
      </c>
      <c r="K126" s="108">
        <v>1572</v>
      </c>
      <c r="L126" s="101">
        <f t="shared" si="11"/>
        <v>14.019315247186647</v>
      </c>
      <c r="M126" s="101"/>
      <c r="N126" s="101"/>
      <c r="O126" s="101"/>
      <c r="P126" s="101"/>
      <c r="Q126" s="101"/>
      <c r="R126" s="101"/>
      <c r="S126" s="43">
        <v>48950</v>
      </c>
      <c r="T126" s="102">
        <v>2409</v>
      </c>
    </row>
    <row r="127" spans="1:20" x14ac:dyDescent="0.25">
      <c r="A127" s="100" t="str">
        <f t="shared" si="6"/>
        <v>CIRF  406.4*12</v>
      </c>
      <c r="B127" s="44">
        <f t="shared" si="7"/>
        <v>116.7179582306418</v>
      </c>
      <c r="C127" s="43">
        <v>406.4</v>
      </c>
      <c r="D127" s="43">
        <v>12</v>
      </c>
      <c r="E127" s="43"/>
      <c r="F127" s="43"/>
      <c r="G127" s="43"/>
      <c r="H127" s="44">
        <f t="shared" si="8"/>
        <v>148.68529710909783</v>
      </c>
      <c r="I127" s="55">
        <f t="shared" si="9"/>
        <v>28937.013575134933</v>
      </c>
      <c r="J127" s="55">
        <f t="shared" si="10"/>
        <v>1424.0656286975852</v>
      </c>
      <c r="K127" s="108">
        <v>1867</v>
      </c>
      <c r="L127" s="101">
        <f t="shared" si="11"/>
        <v>13.950598553467159</v>
      </c>
      <c r="M127" s="101"/>
      <c r="N127" s="101"/>
      <c r="O127" s="101"/>
      <c r="P127" s="101"/>
      <c r="Q127" s="101"/>
      <c r="R127" s="101"/>
      <c r="S127" s="43">
        <v>57870</v>
      </c>
      <c r="T127" s="102">
        <v>2848</v>
      </c>
    </row>
    <row r="128" spans="1:20" x14ac:dyDescent="0.25">
      <c r="A128" s="100" t="str">
        <f t="shared" si="6"/>
        <v>CIRF  406.4*12.5</v>
      </c>
      <c r="B128" s="44">
        <f t="shared" si="7"/>
        <v>121.42707210068505</v>
      </c>
      <c r="C128" s="43">
        <v>406.4</v>
      </c>
      <c r="D128" s="43">
        <v>12.5</v>
      </c>
      <c r="E128" s="43"/>
      <c r="F128" s="43"/>
      <c r="G128" s="43"/>
      <c r="H128" s="44">
        <f t="shared" si="8"/>
        <v>154.68416828112746</v>
      </c>
      <c r="I128" s="55">
        <f t="shared" si="9"/>
        <v>30030.666728705204</v>
      </c>
      <c r="J128" s="55">
        <f t="shared" si="10"/>
        <v>1477.8871421606891</v>
      </c>
      <c r="K128" s="108">
        <v>1940</v>
      </c>
      <c r="L128" s="101">
        <f t="shared" si="11"/>
        <v>13.933478567823617</v>
      </c>
      <c r="M128" s="101"/>
      <c r="N128" s="101"/>
      <c r="O128" s="101"/>
      <c r="P128" s="101"/>
      <c r="Q128" s="101"/>
      <c r="R128" s="101"/>
      <c r="S128" s="43">
        <v>60060</v>
      </c>
      <c r="T128" s="102">
        <v>2956</v>
      </c>
    </row>
    <row r="129" spans="1:20" x14ac:dyDescent="0.25">
      <c r="A129" s="100" t="str">
        <f t="shared" si="6"/>
        <v>CIRF  406.4*16</v>
      </c>
      <c r="B129" s="44">
        <f t="shared" si="7"/>
        <v>154.04560815835885</v>
      </c>
      <c r="C129" s="43">
        <v>406.4</v>
      </c>
      <c r="D129" s="43">
        <v>16</v>
      </c>
      <c r="E129" s="43"/>
      <c r="F129" s="43"/>
      <c r="G129" s="43"/>
      <c r="H129" s="44">
        <f t="shared" si="8"/>
        <v>196.23644351383291</v>
      </c>
      <c r="I129" s="55">
        <f t="shared" si="9"/>
        <v>37448.820945250998</v>
      </c>
      <c r="J129" s="55">
        <f t="shared" si="10"/>
        <v>1842.953786675738</v>
      </c>
      <c r="K129" s="108">
        <v>2440</v>
      </c>
      <c r="L129" s="101">
        <f t="shared" si="11"/>
        <v>13.814311419683573</v>
      </c>
      <c r="M129" s="101"/>
      <c r="N129" s="101"/>
      <c r="O129" s="101"/>
      <c r="P129" s="101"/>
      <c r="Q129" s="101"/>
      <c r="R129" s="101"/>
      <c r="S129" s="43">
        <v>74900</v>
      </c>
      <c r="T129" s="102">
        <v>3686</v>
      </c>
    </row>
    <row r="130" spans="1:20" x14ac:dyDescent="0.25">
      <c r="A130" s="100" t="str">
        <f t="shared" si="6"/>
        <v>CIRF  406.4*20</v>
      </c>
      <c r="B130" s="44">
        <f t="shared" si="7"/>
        <v>190.58409001149408</v>
      </c>
      <c r="C130" s="43">
        <v>406.4</v>
      </c>
      <c r="D130" s="43">
        <v>20</v>
      </c>
      <c r="E130" s="43"/>
      <c r="F130" s="43"/>
      <c r="G130" s="43"/>
      <c r="H130" s="44">
        <f t="shared" si="8"/>
        <v>242.7822802694192</v>
      </c>
      <c r="I130" s="55">
        <f t="shared" si="9"/>
        <v>45432.139445552748</v>
      </c>
      <c r="J130" s="55">
        <f t="shared" si="10"/>
        <v>2235.833634131533</v>
      </c>
      <c r="K130" s="108">
        <v>2989</v>
      </c>
      <c r="L130" s="101">
        <f t="shared" si="11"/>
        <v>13.67959063714993</v>
      </c>
      <c r="M130" s="101"/>
      <c r="N130" s="101"/>
      <c r="O130" s="101"/>
      <c r="P130" s="101"/>
      <c r="Q130" s="101"/>
      <c r="R130" s="101"/>
      <c r="S130" s="43">
        <v>90860</v>
      </c>
      <c r="T130" s="102">
        <v>4472</v>
      </c>
    </row>
    <row r="131" spans="1:20" x14ac:dyDescent="0.25">
      <c r="A131" s="103" t="str">
        <f t="shared" si="6"/>
        <v>CIRF  406.4*25</v>
      </c>
      <c r="B131" s="50">
        <f t="shared" si="7"/>
        <v>235.14742472303274</v>
      </c>
      <c r="C131" s="49">
        <v>406.4</v>
      </c>
      <c r="D131" s="49">
        <v>25</v>
      </c>
      <c r="E131" s="49"/>
      <c r="F131" s="49"/>
      <c r="G131" s="49"/>
      <c r="H131" s="50">
        <f t="shared" si="8"/>
        <v>299.55085951978691</v>
      </c>
      <c r="I131" s="56">
        <f t="shared" si="9"/>
        <v>54702.090795088508</v>
      </c>
      <c r="J131" s="56">
        <f t="shared" si="10"/>
        <v>2692.0320273173479</v>
      </c>
      <c r="K131" s="109">
        <v>3642</v>
      </c>
      <c r="L131" s="104">
        <f t="shared" si="11"/>
        <v>13.513463656664786</v>
      </c>
      <c r="M131" s="104"/>
      <c r="N131" s="104"/>
      <c r="O131" s="104"/>
      <c r="P131" s="104"/>
      <c r="Q131" s="104"/>
      <c r="R131" s="104"/>
      <c r="S131" s="49">
        <v>109400</v>
      </c>
      <c r="T131" s="105">
        <v>5384</v>
      </c>
    </row>
    <row r="132" spans="1:20" x14ac:dyDescent="0.25">
      <c r="A132" s="17" t="str">
        <f t="shared" ref="A132:A195" si="12">$B$3&amp;"  "&amp;C132&amp;"*"&amp;D132</f>
        <v>CIRF  457*6</v>
      </c>
      <c r="B132" s="33">
        <f t="shared" ref="B132:B195" si="13">H132*0.785</f>
        <v>66.734025306819746</v>
      </c>
      <c r="C132" s="17">
        <v>457</v>
      </c>
      <c r="D132" s="17">
        <v>6</v>
      </c>
      <c r="E132" s="17"/>
      <c r="F132" s="17"/>
      <c r="G132" s="17"/>
      <c r="H132" s="33">
        <f t="shared" ref="H132:H195" si="14">(C132^2-(C132-2*D132)^2)*PI()*0.01/4</f>
        <v>85.011497206139794</v>
      </c>
      <c r="I132" s="57">
        <f t="shared" ref="I132:I195" si="15">(C132^4-(C132-2*D132)^4)*PI()*0.0001/64</f>
        <v>21618.104946406831</v>
      </c>
      <c r="J132" s="57">
        <f t="shared" ref="J132:J195" si="16">I132/(C132*0.5*0.1)</f>
        <v>946.08774382524416</v>
      </c>
      <c r="K132" s="106">
        <v>1220</v>
      </c>
      <c r="L132" s="96">
        <f t="shared" ref="L132:L195" si="17">SQRT(I132/H132)</f>
        <v>15.946668931159261</v>
      </c>
      <c r="M132" s="96"/>
      <c r="N132" s="96"/>
      <c r="O132" s="96"/>
      <c r="P132" s="96"/>
      <c r="Q132" s="96"/>
      <c r="R132" s="96"/>
      <c r="S132" s="17">
        <v>43240</v>
      </c>
      <c r="T132">
        <v>1892</v>
      </c>
    </row>
    <row r="133" spans="1:20" x14ac:dyDescent="0.25">
      <c r="A133" s="17" t="str">
        <f t="shared" si="12"/>
        <v>CIRF  457*6.3</v>
      </c>
      <c r="B133" s="33">
        <f t="shared" si="13"/>
        <v>70.024116332755852</v>
      </c>
      <c r="C133" s="17">
        <v>457</v>
      </c>
      <c r="D133" s="17">
        <v>6.3</v>
      </c>
      <c r="E133" s="17"/>
      <c r="F133" s="17"/>
      <c r="G133" s="17"/>
      <c r="H133" s="33">
        <f t="shared" si="14"/>
        <v>89.202695965294069</v>
      </c>
      <c r="I133" s="57">
        <f t="shared" si="15"/>
        <v>22654.15974469257</v>
      </c>
      <c r="J133" s="57">
        <f t="shared" si="16"/>
        <v>991.42931048982791</v>
      </c>
      <c r="K133" s="106">
        <v>1280</v>
      </c>
      <c r="L133" s="96">
        <f t="shared" si="17"/>
        <v>15.936207986845547</v>
      </c>
      <c r="M133" s="96"/>
      <c r="N133" s="96"/>
      <c r="O133" s="96"/>
      <c r="P133" s="96"/>
      <c r="Q133" s="96"/>
      <c r="R133" s="96"/>
      <c r="S133" s="17">
        <v>45310</v>
      </c>
      <c r="T133">
        <v>1983</v>
      </c>
    </row>
    <row r="134" spans="1:20" x14ac:dyDescent="0.25">
      <c r="A134" s="17" t="str">
        <f t="shared" si="12"/>
        <v>CIRF  457*8</v>
      </c>
      <c r="B134" s="33">
        <f t="shared" si="13"/>
        <v>88.584116371802125</v>
      </c>
      <c r="C134" s="17">
        <v>457</v>
      </c>
      <c r="D134" s="17">
        <v>8</v>
      </c>
      <c r="E134" s="17"/>
      <c r="F134" s="17"/>
      <c r="G134" s="17"/>
      <c r="H134" s="33">
        <f t="shared" si="14"/>
        <v>112.84600811694538</v>
      </c>
      <c r="I134" s="57">
        <f t="shared" si="15"/>
        <v>28446.362783629735</v>
      </c>
      <c r="J134" s="57">
        <f t="shared" si="16"/>
        <v>1244.9174084739489</v>
      </c>
      <c r="K134" s="106">
        <v>1613</v>
      </c>
      <c r="L134" s="96">
        <f t="shared" si="17"/>
        <v>15.877066794594018</v>
      </c>
      <c r="M134" s="96"/>
      <c r="N134" s="96"/>
      <c r="O134" s="96"/>
      <c r="P134" s="96"/>
      <c r="Q134" s="96"/>
      <c r="R134" s="96"/>
      <c r="S134" s="17">
        <v>56890</v>
      </c>
      <c r="T134">
        <v>2490</v>
      </c>
    </row>
    <row r="135" spans="1:20" x14ac:dyDescent="0.25">
      <c r="A135" s="17" t="str">
        <f t="shared" si="12"/>
        <v>CIRF  457*10</v>
      </c>
      <c r="B135" s="33">
        <f t="shared" si="13"/>
        <v>110.23691541813906</v>
      </c>
      <c r="C135" s="17">
        <v>457</v>
      </c>
      <c r="D135" s="17">
        <v>10</v>
      </c>
      <c r="E135" s="17"/>
      <c r="F135" s="17"/>
      <c r="G135" s="17"/>
      <c r="H135" s="33">
        <f t="shared" si="14"/>
        <v>140.42919161546376</v>
      </c>
      <c r="I135" s="57">
        <f t="shared" si="15"/>
        <v>35091.324083319683</v>
      </c>
      <c r="J135" s="57">
        <f t="shared" si="16"/>
        <v>1535.7253428148656</v>
      </c>
      <c r="K135" s="106">
        <v>1998</v>
      </c>
      <c r="L135" s="96">
        <f t="shared" si="17"/>
        <v>15.807790800741261</v>
      </c>
      <c r="M135" s="96"/>
      <c r="N135" s="96"/>
      <c r="O135" s="96"/>
      <c r="P135" s="96"/>
      <c r="Q135" s="96"/>
      <c r="R135" s="96"/>
      <c r="S135" s="17">
        <v>70180</v>
      </c>
      <c r="T135">
        <v>3071</v>
      </c>
    </row>
    <row r="136" spans="1:20" x14ac:dyDescent="0.25">
      <c r="A136" s="17" t="str">
        <f t="shared" si="12"/>
        <v>CIRF  457*12</v>
      </c>
      <c r="B136" s="33">
        <f t="shared" si="13"/>
        <v>131.69242244583054</v>
      </c>
      <c r="C136" s="17">
        <v>457</v>
      </c>
      <c r="D136" s="17">
        <v>12</v>
      </c>
      <c r="E136" s="17"/>
      <c r="F136" s="17"/>
      <c r="G136" s="17"/>
      <c r="H136" s="33">
        <f t="shared" si="14"/>
        <v>167.76104770169496</v>
      </c>
      <c r="I136" s="57">
        <f t="shared" si="15"/>
        <v>41556.298827496481</v>
      </c>
      <c r="J136" s="57">
        <f t="shared" si="16"/>
        <v>1818.6564038291676</v>
      </c>
      <c r="K136" s="106">
        <v>2377</v>
      </c>
      <c r="L136" s="96">
        <f t="shared" si="17"/>
        <v>15.738845256244181</v>
      </c>
      <c r="M136" s="96"/>
      <c r="N136" s="96"/>
      <c r="O136" s="96"/>
      <c r="P136" s="96"/>
      <c r="Q136" s="96"/>
      <c r="R136" s="96"/>
      <c r="S136" s="17">
        <v>83110</v>
      </c>
      <c r="T136">
        <v>3637</v>
      </c>
    </row>
    <row r="137" spans="1:20" x14ac:dyDescent="0.25">
      <c r="A137" s="17" t="str">
        <f t="shared" si="12"/>
        <v>CIRF  457*12.5</v>
      </c>
      <c r="B137" s="33">
        <f t="shared" si="13"/>
        <v>137.02547232484008</v>
      </c>
      <c r="C137" s="17">
        <v>457</v>
      </c>
      <c r="D137" s="17">
        <v>12.5</v>
      </c>
      <c r="E137" s="17"/>
      <c r="F137" s="17"/>
      <c r="G137" s="17"/>
      <c r="H137" s="33">
        <f t="shared" si="14"/>
        <v>174.55474181508291</v>
      </c>
      <c r="I137" s="57">
        <f t="shared" si="15"/>
        <v>43144.804631147672</v>
      </c>
      <c r="J137" s="57">
        <f t="shared" si="16"/>
        <v>1888.1752573806421</v>
      </c>
      <c r="K137" s="106">
        <v>2470</v>
      </c>
      <c r="L137" s="96">
        <f t="shared" si="17"/>
        <v>15.721661012755616</v>
      </c>
      <c r="M137" s="96"/>
      <c r="N137" s="96"/>
      <c r="O137" s="96"/>
      <c r="P137" s="96"/>
      <c r="Q137" s="96"/>
      <c r="R137" s="96"/>
      <c r="S137" s="17">
        <v>86290</v>
      </c>
      <c r="T137">
        <v>3776</v>
      </c>
    </row>
    <row r="138" spans="1:20" x14ac:dyDescent="0.25">
      <c r="A138" s="17" t="str">
        <f t="shared" si="12"/>
        <v>CIRF  457*16</v>
      </c>
      <c r="B138" s="33">
        <f t="shared" si="13"/>
        <v>174.01156044527721</v>
      </c>
      <c r="C138" s="17">
        <v>457</v>
      </c>
      <c r="D138" s="17">
        <v>16</v>
      </c>
      <c r="E138" s="17"/>
      <c r="F138" s="17"/>
      <c r="G138" s="17"/>
      <c r="H138" s="33">
        <f t="shared" si="14"/>
        <v>221.6707776372958</v>
      </c>
      <c r="I138" s="57">
        <f t="shared" si="15"/>
        <v>53959.377780942596</v>
      </c>
      <c r="J138" s="57">
        <f t="shared" si="16"/>
        <v>2361.4607343957373</v>
      </c>
      <c r="K138" s="106">
        <v>3113</v>
      </c>
      <c r="L138" s="96">
        <f t="shared" si="17"/>
        <v>15.60196301751802</v>
      </c>
      <c r="M138" s="96"/>
      <c r="N138" s="96"/>
      <c r="O138" s="96"/>
      <c r="P138" s="96"/>
      <c r="Q138" s="96"/>
      <c r="R138" s="96"/>
      <c r="S138" s="17">
        <v>107900</v>
      </c>
      <c r="T138">
        <v>4723</v>
      </c>
    </row>
    <row r="139" spans="1:20" x14ac:dyDescent="0.25">
      <c r="A139" s="17" t="str">
        <f t="shared" si="12"/>
        <v>CIRF  457*20</v>
      </c>
      <c r="B139" s="33">
        <f t="shared" si="13"/>
        <v>215.54153037014211</v>
      </c>
      <c r="C139" s="17">
        <v>457</v>
      </c>
      <c r="D139" s="17">
        <v>20</v>
      </c>
      <c r="E139" s="17"/>
      <c r="F139" s="17"/>
      <c r="G139" s="17"/>
      <c r="H139" s="33">
        <f t="shared" si="14"/>
        <v>274.57519792374791</v>
      </c>
      <c r="I139" s="57">
        <f t="shared" si="15"/>
        <v>65681.476314337153</v>
      </c>
      <c r="J139" s="57">
        <f t="shared" si="16"/>
        <v>2874.4628583954986</v>
      </c>
      <c r="K139" s="106">
        <v>3822</v>
      </c>
      <c r="L139" s="96">
        <f t="shared" si="17"/>
        <v>15.466455637928169</v>
      </c>
      <c r="M139" s="96"/>
      <c r="N139" s="96"/>
      <c r="O139" s="96"/>
      <c r="P139" s="96"/>
      <c r="Q139" s="96"/>
      <c r="R139" s="96"/>
      <c r="S139" s="17">
        <v>131400</v>
      </c>
      <c r="T139">
        <v>5749</v>
      </c>
    </row>
    <row r="140" spans="1:20" x14ac:dyDescent="0.25">
      <c r="A140" s="17" t="str">
        <f t="shared" si="12"/>
        <v>CIRF  457*25</v>
      </c>
      <c r="B140" s="33">
        <f t="shared" si="13"/>
        <v>266.34422517134271</v>
      </c>
      <c r="C140" s="17">
        <v>457</v>
      </c>
      <c r="D140" s="17">
        <v>25</v>
      </c>
      <c r="E140" s="17"/>
      <c r="F140" s="17"/>
      <c r="G140" s="17"/>
      <c r="H140" s="33">
        <f t="shared" si="14"/>
        <v>339.2920065876977</v>
      </c>
      <c r="I140" s="57">
        <f t="shared" si="15"/>
        <v>79415.111176924751</v>
      </c>
      <c r="J140" s="57">
        <f t="shared" si="16"/>
        <v>3475.4972068676038</v>
      </c>
      <c r="K140" s="106">
        <v>4671</v>
      </c>
      <c r="L140" s="96">
        <f t="shared" si="17"/>
        <v>15.299060428666852</v>
      </c>
      <c r="M140" s="96"/>
      <c r="N140" s="96"/>
      <c r="O140" s="96"/>
      <c r="P140" s="96"/>
      <c r="Q140" s="96"/>
      <c r="R140" s="96"/>
      <c r="S140" s="17">
        <v>158800</v>
      </c>
      <c r="T140">
        <v>6951</v>
      </c>
    </row>
    <row r="141" spans="1:20" x14ac:dyDescent="0.25">
      <c r="A141" s="17" t="str">
        <f t="shared" si="12"/>
        <v>CIRF  457*30</v>
      </c>
      <c r="B141" s="33">
        <f t="shared" si="13"/>
        <v>315.91384485600923</v>
      </c>
      <c r="C141" s="17">
        <v>457</v>
      </c>
      <c r="D141" s="17">
        <v>30</v>
      </c>
      <c r="E141" s="17"/>
      <c r="F141" s="17"/>
      <c r="G141" s="17"/>
      <c r="H141" s="33">
        <f t="shared" si="14"/>
        <v>402.43801892485254</v>
      </c>
      <c r="I141" s="57">
        <f t="shared" si="15"/>
        <v>92172.894711977249</v>
      </c>
      <c r="J141" s="57">
        <f t="shared" si="16"/>
        <v>4033.8247138720894</v>
      </c>
      <c r="K141" s="106">
        <v>5479</v>
      </c>
      <c r="L141" s="96">
        <f t="shared" si="17"/>
        <v>15.133943636739234</v>
      </c>
      <c r="M141" s="96"/>
      <c r="N141" s="96"/>
      <c r="O141" s="96"/>
      <c r="P141" s="96"/>
      <c r="Q141" s="96"/>
      <c r="R141" s="96"/>
      <c r="S141" s="17">
        <v>184300</v>
      </c>
      <c r="T141">
        <v>8068</v>
      </c>
    </row>
    <row r="142" spans="1:20" x14ac:dyDescent="0.25">
      <c r="A142" s="97" t="str">
        <f t="shared" si="12"/>
        <v>CIRF  508*6</v>
      </c>
      <c r="B142" s="38">
        <f t="shared" si="13"/>
        <v>74.280445020007789</v>
      </c>
      <c r="C142" s="37">
        <v>508</v>
      </c>
      <c r="D142" s="37">
        <v>6</v>
      </c>
      <c r="E142" s="37"/>
      <c r="F142" s="37"/>
      <c r="G142" s="37"/>
      <c r="H142" s="38">
        <f t="shared" si="14"/>
        <v>94.624770726124567</v>
      </c>
      <c r="I142" s="54">
        <f t="shared" si="15"/>
        <v>29811.534017265549</v>
      </c>
      <c r="J142" s="54">
        <f t="shared" si="16"/>
        <v>1173.6824416246277</v>
      </c>
      <c r="K142" s="107">
        <v>1512</v>
      </c>
      <c r="L142" s="98">
        <f t="shared" si="17"/>
        <v>17.749647883831386</v>
      </c>
      <c r="M142" s="98"/>
      <c r="N142" s="98"/>
      <c r="O142" s="98"/>
      <c r="P142" s="98"/>
      <c r="Q142" s="98"/>
      <c r="R142" s="98"/>
      <c r="S142" s="37">
        <v>59620</v>
      </c>
      <c r="T142" s="99">
        <v>2347</v>
      </c>
    </row>
    <row r="143" spans="1:20" x14ac:dyDescent="0.25">
      <c r="A143" s="100" t="str">
        <f t="shared" si="12"/>
        <v>CIRF  508*6.3</v>
      </c>
      <c r="B143" s="44">
        <f t="shared" si="13"/>
        <v>77.947857031603348</v>
      </c>
      <c r="C143" s="43">
        <v>508</v>
      </c>
      <c r="D143" s="43">
        <v>6.3</v>
      </c>
      <c r="E143" s="43"/>
      <c r="F143" s="43"/>
      <c r="G143" s="43"/>
      <c r="H143" s="44">
        <f t="shared" si="14"/>
        <v>99.296633161278152</v>
      </c>
      <c r="I143" s="55">
        <f t="shared" si="15"/>
        <v>31246.488271667135</v>
      </c>
      <c r="J143" s="55">
        <f t="shared" si="16"/>
        <v>1230.1767036089423</v>
      </c>
      <c r="K143" s="108">
        <v>1586</v>
      </c>
      <c r="L143" s="101">
        <f t="shared" si="17"/>
        <v>17.739172049450332</v>
      </c>
      <c r="M143" s="101"/>
      <c r="N143" s="101"/>
      <c r="O143" s="101"/>
      <c r="P143" s="101"/>
      <c r="Q143" s="101"/>
      <c r="R143" s="101"/>
      <c r="S143" s="43">
        <v>62490</v>
      </c>
      <c r="T143" s="102">
        <v>2460</v>
      </c>
    </row>
    <row r="144" spans="1:20" x14ac:dyDescent="0.25">
      <c r="A144" s="100" t="str">
        <f t="shared" si="12"/>
        <v>CIRF  508*8</v>
      </c>
      <c r="B144" s="44">
        <f t="shared" si="13"/>
        <v>98.646009322719507</v>
      </c>
      <c r="C144" s="43">
        <v>508</v>
      </c>
      <c r="D144" s="43">
        <v>8</v>
      </c>
      <c r="E144" s="43"/>
      <c r="F144" s="43"/>
      <c r="G144" s="43"/>
      <c r="H144" s="44">
        <f t="shared" si="14"/>
        <v>125.66370614359172</v>
      </c>
      <c r="I144" s="55">
        <f t="shared" si="15"/>
        <v>39279.961266363905</v>
      </c>
      <c r="J144" s="55">
        <f t="shared" si="16"/>
        <v>1546.4551679670828</v>
      </c>
      <c r="K144" s="108">
        <v>2000</v>
      </c>
      <c r="L144" s="101">
        <f t="shared" si="17"/>
        <v>17.679932126566552</v>
      </c>
      <c r="M144" s="101"/>
      <c r="N144" s="101"/>
      <c r="O144" s="101"/>
      <c r="P144" s="101"/>
      <c r="Q144" s="101"/>
      <c r="R144" s="101"/>
      <c r="S144" s="43">
        <v>78560</v>
      </c>
      <c r="T144" s="102">
        <v>3093</v>
      </c>
    </row>
    <row r="145" spans="1:20" x14ac:dyDescent="0.25">
      <c r="A145" s="100" t="str">
        <f t="shared" si="12"/>
        <v>CIRF  508*10</v>
      </c>
      <c r="B145" s="44">
        <f t="shared" si="13"/>
        <v>122.81428160678578</v>
      </c>
      <c r="C145" s="43">
        <v>508</v>
      </c>
      <c r="D145" s="43">
        <v>10</v>
      </c>
      <c r="E145" s="43"/>
      <c r="F145" s="43"/>
      <c r="G145" s="43"/>
      <c r="H145" s="44">
        <f t="shared" si="14"/>
        <v>156.4513141487717</v>
      </c>
      <c r="I145" s="55">
        <f t="shared" si="15"/>
        <v>48520.246056958567</v>
      </c>
      <c r="J145" s="55">
        <f t="shared" si="16"/>
        <v>1910.2459077542742</v>
      </c>
      <c r="K145" s="108">
        <v>2480</v>
      </c>
      <c r="L145" s="101">
        <f t="shared" si="17"/>
        <v>17.610508226624241</v>
      </c>
      <c r="M145" s="101"/>
      <c r="N145" s="101"/>
      <c r="O145" s="101"/>
      <c r="P145" s="101"/>
      <c r="Q145" s="101"/>
      <c r="R145" s="101"/>
      <c r="S145" s="43">
        <v>97040</v>
      </c>
      <c r="T145" s="102">
        <v>3820</v>
      </c>
    </row>
    <row r="146" spans="1:20" x14ac:dyDescent="0.25">
      <c r="A146" s="100" t="str">
        <f t="shared" si="12"/>
        <v>CIRF  508*12</v>
      </c>
      <c r="B146" s="44">
        <f t="shared" si="13"/>
        <v>146.78526187220663</v>
      </c>
      <c r="C146" s="43">
        <v>508</v>
      </c>
      <c r="D146" s="43">
        <v>12</v>
      </c>
      <c r="E146" s="43"/>
      <c r="F146" s="43"/>
      <c r="G146" s="43"/>
      <c r="H146" s="44">
        <f t="shared" si="14"/>
        <v>186.98759474166448</v>
      </c>
      <c r="I146" s="55">
        <f t="shared" si="15"/>
        <v>57536.082902010166</v>
      </c>
      <c r="J146" s="55">
        <f t="shared" si="16"/>
        <v>2265.2001142523686</v>
      </c>
      <c r="K146" s="108">
        <v>2953</v>
      </c>
      <c r="L146" s="101">
        <f t="shared" si="17"/>
        <v>17.541379649275026</v>
      </c>
      <c r="M146" s="101"/>
      <c r="N146" s="101"/>
      <c r="O146" s="101"/>
      <c r="P146" s="101"/>
      <c r="Q146" s="101"/>
      <c r="R146" s="101"/>
      <c r="S146" s="43">
        <v>115100</v>
      </c>
      <c r="T146" s="102">
        <v>4530</v>
      </c>
    </row>
    <row r="147" spans="1:20" x14ac:dyDescent="0.25">
      <c r="A147" s="100" t="str">
        <f t="shared" si="12"/>
        <v>CIRF  508*12.5</v>
      </c>
      <c r="B147" s="44">
        <f t="shared" si="13"/>
        <v>152.74718006064847</v>
      </c>
      <c r="C147" s="43">
        <v>508</v>
      </c>
      <c r="D147" s="43">
        <v>12.5</v>
      </c>
      <c r="E147" s="43"/>
      <c r="F147" s="43"/>
      <c r="G147" s="43"/>
      <c r="H147" s="44">
        <f t="shared" si="14"/>
        <v>194.58239498171781</v>
      </c>
      <c r="I147" s="55">
        <f t="shared" si="15"/>
        <v>59755.402200907498</v>
      </c>
      <c r="J147" s="55">
        <f t="shared" si="16"/>
        <v>2352.5748897995077</v>
      </c>
      <c r="K147" s="108">
        <v>3070</v>
      </c>
      <c r="L147" s="101">
        <f t="shared" si="17"/>
        <v>17.52414405898331</v>
      </c>
      <c r="M147" s="101"/>
      <c r="N147" s="101"/>
      <c r="O147" s="101"/>
      <c r="P147" s="101"/>
      <c r="Q147" s="101"/>
      <c r="R147" s="101"/>
      <c r="S147" s="43">
        <v>119500</v>
      </c>
      <c r="T147" s="102">
        <v>4705</v>
      </c>
    </row>
    <row r="148" spans="1:20" x14ac:dyDescent="0.25">
      <c r="A148" s="100" t="str">
        <f t="shared" si="12"/>
        <v>CIRF  508*16</v>
      </c>
      <c r="B148" s="44">
        <f t="shared" si="13"/>
        <v>194.13534634711198</v>
      </c>
      <c r="C148" s="43">
        <v>508</v>
      </c>
      <c r="D148" s="43">
        <v>16</v>
      </c>
      <c r="E148" s="43"/>
      <c r="F148" s="43"/>
      <c r="G148" s="43"/>
      <c r="H148" s="44">
        <f t="shared" si="14"/>
        <v>247.30617369058851</v>
      </c>
      <c r="I148" s="55">
        <f t="shared" si="15"/>
        <v>74909.040010879267</v>
      </c>
      <c r="J148" s="55">
        <f t="shared" si="16"/>
        <v>2949.1748035779237</v>
      </c>
      <c r="K148" s="108">
        <v>3874</v>
      </c>
      <c r="L148" s="101">
        <f t="shared" si="17"/>
        <v>17.40402252354323</v>
      </c>
      <c r="M148" s="101"/>
      <c r="N148" s="101"/>
      <c r="O148" s="101"/>
      <c r="P148" s="101"/>
      <c r="Q148" s="101"/>
      <c r="R148" s="101"/>
      <c r="S148" s="43">
        <v>149800</v>
      </c>
      <c r="T148" s="102">
        <v>5898</v>
      </c>
    </row>
    <row r="149" spans="1:20" x14ac:dyDescent="0.25">
      <c r="A149" s="100" t="str">
        <f t="shared" si="12"/>
        <v>CIRF  508*20</v>
      </c>
      <c r="B149" s="44">
        <f t="shared" si="13"/>
        <v>240.69626274743561</v>
      </c>
      <c r="C149" s="43">
        <v>508</v>
      </c>
      <c r="D149" s="43">
        <v>20</v>
      </c>
      <c r="E149" s="43"/>
      <c r="F149" s="43"/>
      <c r="G149" s="43"/>
      <c r="H149" s="44">
        <f t="shared" si="14"/>
        <v>306.61944299036384</v>
      </c>
      <c r="I149" s="55">
        <f t="shared" si="15"/>
        <v>91427.785510866684</v>
      </c>
      <c r="J149" s="55">
        <f t="shared" si="16"/>
        <v>3599.5191146010502</v>
      </c>
      <c r="K149" s="108">
        <v>4766</v>
      </c>
      <c r="L149" s="101">
        <f t="shared" si="17"/>
        <v>17.267889274604467</v>
      </c>
      <c r="M149" s="101"/>
      <c r="N149" s="101"/>
      <c r="O149" s="101"/>
      <c r="P149" s="101"/>
      <c r="Q149" s="101"/>
      <c r="R149" s="101"/>
      <c r="S149" s="43">
        <v>182900</v>
      </c>
      <c r="T149" s="102">
        <v>7199</v>
      </c>
    </row>
    <row r="150" spans="1:20" x14ac:dyDescent="0.25">
      <c r="A150" s="100" t="str">
        <f t="shared" si="12"/>
        <v>CIRF  508*25</v>
      </c>
      <c r="B150" s="44">
        <f t="shared" si="13"/>
        <v>297.7876406429595</v>
      </c>
      <c r="C150" s="43">
        <v>508</v>
      </c>
      <c r="D150" s="43">
        <v>25</v>
      </c>
      <c r="E150" s="43"/>
      <c r="F150" s="43"/>
      <c r="G150" s="43"/>
      <c r="H150" s="44">
        <f t="shared" si="14"/>
        <v>379.34731292096751</v>
      </c>
      <c r="I150" s="55">
        <f t="shared" si="15"/>
        <v>110918.30919324401</v>
      </c>
      <c r="J150" s="55">
        <f t="shared" si="16"/>
        <v>4366.8625666631497</v>
      </c>
      <c r="K150" s="108">
        <v>5837</v>
      </c>
      <c r="L150" s="101">
        <f t="shared" si="17"/>
        <v>17.099488296437414</v>
      </c>
      <c r="M150" s="101"/>
      <c r="N150" s="101"/>
      <c r="O150" s="101"/>
      <c r="P150" s="101"/>
      <c r="Q150" s="101"/>
      <c r="R150" s="101"/>
      <c r="S150" s="43">
        <v>221800</v>
      </c>
      <c r="T150" s="102">
        <v>8734</v>
      </c>
    </row>
    <row r="151" spans="1:20" x14ac:dyDescent="0.25">
      <c r="A151" s="103" t="str">
        <f t="shared" si="12"/>
        <v>CIRF  508*30</v>
      </c>
      <c r="B151" s="50">
        <f t="shared" si="13"/>
        <v>353.64594342194943</v>
      </c>
      <c r="C151" s="49">
        <v>508</v>
      </c>
      <c r="D151" s="49">
        <v>30</v>
      </c>
      <c r="E151" s="49"/>
      <c r="F151" s="49"/>
      <c r="G151" s="49"/>
      <c r="H151" s="50">
        <f t="shared" si="14"/>
        <v>450.50438652477635</v>
      </c>
      <c r="I151" s="56">
        <f t="shared" si="15"/>
        <v>129173.12274824914</v>
      </c>
      <c r="J151" s="56">
        <f t="shared" si="16"/>
        <v>5085.5560137105958</v>
      </c>
      <c r="K151" s="109">
        <v>6864</v>
      </c>
      <c r="L151" s="104">
        <f t="shared" si="17"/>
        <v>16.933103672983286</v>
      </c>
      <c r="M151" s="104"/>
      <c r="N151" s="104"/>
      <c r="O151" s="104"/>
      <c r="P151" s="104"/>
      <c r="Q151" s="104"/>
      <c r="R151" s="104"/>
      <c r="S151" s="49">
        <v>258300</v>
      </c>
      <c r="T151" s="105">
        <v>10170</v>
      </c>
    </row>
    <row r="152" spans="1:20" x14ac:dyDescent="0.25">
      <c r="A152" s="17" t="str">
        <f t="shared" si="12"/>
        <v>CIRF  610*6</v>
      </c>
      <c r="B152" s="33">
        <f t="shared" si="13"/>
        <v>89.373284446383877</v>
      </c>
      <c r="C152" s="17">
        <v>610</v>
      </c>
      <c r="D152" s="17">
        <v>6</v>
      </c>
      <c r="E152" s="17"/>
      <c r="F152" s="17"/>
      <c r="G152" s="17"/>
      <c r="H152" s="33">
        <f t="shared" si="14"/>
        <v>113.85131776609411</v>
      </c>
      <c r="I152" s="57">
        <f t="shared" si="15"/>
        <v>51923.601236993709</v>
      </c>
      <c r="J152" s="57">
        <f t="shared" si="16"/>
        <v>1702.4131553112691</v>
      </c>
      <c r="K152" s="106">
        <v>2189</v>
      </c>
      <c r="L152" s="96">
        <f t="shared" si="17"/>
        <v>21.355678401774082</v>
      </c>
      <c r="M152" s="96"/>
      <c r="N152" s="96"/>
      <c r="O152" s="96"/>
      <c r="P152" s="96"/>
      <c r="Q152" s="96"/>
      <c r="R152" s="96"/>
      <c r="S152" s="17">
        <v>103800</v>
      </c>
      <c r="T152">
        <v>3405</v>
      </c>
    </row>
    <row r="153" spans="1:20" x14ac:dyDescent="0.25">
      <c r="A153" s="17" t="str">
        <f t="shared" si="12"/>
        <v>CIRF  610*6.3</v>
      </c>
      <c r="B153" s="33">
        <f t="shared" si="13"/>
        <v>93.795338429298383</v>
      </c>
      <c r="C153" s="17">
        <v>610</v>
      </c>
      <c r="D153" s="17">
        <v>6.3</v>
      </c>
      <c r="E153" s="17"/>
      <c r="F153" s="17"/>
      <c r="G153" s="17"/>
      <c r="H153" s="33">
        <f t="shared" si="14"/>
        <v>119.48450755324635</v>
      </c>
      <c r="I153" s="57">
        <f t="shared" si="15"/>
        <v>54439.140019647872</v>
      </c>
      <c r="J153" s="57">
        <f t="shared" si="16"/>
        <v>1784.8898367097663</v>
      </c>
      <c r="K153" s="106">
        <v>2296</v>
      </c>
      <c r="L153" s="96">
        <f t="shared" si="17"/>
        <v>21.345180369348022</v>
      </c>
      <c r="M153" s="96"/>
      <c r="N153" s="96"/>
      <c r="O153" s="96"/>
      <c r="P153" s="96"/>
      <c r="Q153" s="96"/>
      <c r="R153" s="96"/>
      <c r="S153" s="17">
        <v>108900</v>
      </c>
      <c r="T153">
        <v>3570</v>
      </c>
    </row>
    <row r="154" spans="1:20" x14ac:dyDescent="0.25">
      <c r="A154" s="17" t="str">
        <f t="shared" si="12"/>
        <v>CIRF  610*8</v>
      </c>
      <c r="B154" s="33">
        <f t="shared" si="13"/>
        <v>118.76979522455429</v>
      </c>
      <c r="C154" s="17">
        <v>610</v>
      </c>
      <c r="D154" s="17">
        <v>8</v>
      </c>
      <c r="E154" s="17"/>
      <c r="F154" s="17"/>
      <c r="G154" s="17"/>
      <c r="H154" s="33">
        <f t="shared" si="14"/>
        <v>151.29910219688443</v>
      </c>
      <c r="I154" s="57">
        <f t="shared" si="15"/>
        <v>68551.353718875383</v>
      </c>
      <c r="J154" s="57">
        <f t="shared" si="16"/>
        <v>2247.58536783198</v>
      </c>
      <c r="K154" s="106">
        <v>2899</v>
      </c>
      <c r="L154" s="96">
        <f t="shared" si="17"/>
        <v>21.285793384320915</v>
      </c>
      <c r="M154" s="96"/>
      <c r="N154" s="96"/>
      <c r="O154" s="96"/>
      <c r="P154" s="96"/>
      <c r="Q154" s="96"/>
      <c r="R154" s="96"/>
      <c r="S154" s="17">
        <v>137100</v>
      </c>
      <c r="T154">
        <v>4495</v>
      </c>
    </row>
    <row r="155" spans="1:20" x14ac:dyDescent="0.25">
      <c r="A155" s="17" t="str">
        <f t="shared" si="12"/>
        <v>CIRF  610*10</v>
      </c>
      <c r="B155" s="33">
        <f t="shared" si="13"/>
        <v>147.96901398407928</v>
      </c>
      <c r="C155" s="17">
        <v>610</v>
      </c>
      <c r="D155" s="17">
        <v>10</v>
      </c>
      <c r="E155" s="17"/>
      <c r="F155" s="17"/>
      <c r="G155" s="17"/>
      <c r="H155" s="33">
        <f t="shared" si="14"/>
        <v>188.4955592153876</v>
      </c>
      <c r="I155" s="57">
        <f t="shared" si="15"/>
        <v>84846.563591826343</v>
      </c>
      <c r="J155" s="57">
        <f t="shared" si="16"/>
        <v>2781.8545439943064</v>
      </c>
      <c r="K155" s="106">
        <v>3600</v>
      </c>
      <c r="L155" s="96">
        <f t="shared" si="17"/>
        <v>21.216149509277127</v>
      </c>
      <c r="M155" s="96"/>
      <c r="N155" s="96"/>
      <c r="O155" s="96"/>
      <c r="P155" s="96"/>
      <c r="Q155" s="96"/>
      <c r="R155" s="96"/>
      <c r="S155" s="17">
        <v>169700</v>
      </c>
      <c r="T155">
        <v>5564</v>
      </c>
    </row>
    <row r="156" spans="1:20" x14ac:dyDescent="0.25">
      <c r="A156" s="17" t="str">
        <f t="shared" si="12"/>
        <v>CIRF  610*12</v>
      </c>
      <c r="B156" s="33">
        <f t="shared" si="13"/>
        <v>176.97094072495878</v>
      </c>
      <c r="C156" s="17">
        <v>610</v>
      </c>
      <c r="D156" s="17">
        <v>12</v>
      </c>
      <c r="E156" s="17"/>
      <c r="F156" s="17"/>
      <c r="G156" s="17"/>
      <c r="H156" s="33">
        <f t="shared" si="14"/>
        <v>225.44068882160354</v>
      </c>
      <c r="I156" s="57">
        <f t="shared" si="15"/>
        <v>100813.69443068879</v>
      </c>
      <c r="J156" s="57">
        <f t="shared" si="16"/>
        <v>3305.3670305143864</v>
      </c>
      <c r="K156" s="106">
        <v>4292</v>
      </c>
      <c r="L156" s="96">
        <f t="shared" si="17"/>
        <v>21.146749159149735</v>
      </c>
      <c r="M156" s="96"/>
      <c r="N156" s="96"/>
      <c r="O156" s="96"/>
      <c r="P156" s="96"/>
      <c r="Q156" s="96"/>
      <c r="R156" s="96"/>
      <c r="S156" s="17">
        <v>201600</v>
      </c>
      <c r="T156">
        <v>6611</v>
      </c>
    </row>
    <row r="157" spans="1:20" x14ac:dyDescent="0.25">
      <c r="A157" s="17" t="str">
        <f t="shared" si="12"/>
        <v>CIRF  610*12.5</v>
      </c>
      <c r="B157" s="33">
        <f t="shared" si="13"/>
        <v>184.19059553226535</v>
      </c>
      <c r="C157" s="17">
        <v>610</v>
      </c>
      <c r="D157" s="17">
        <v>12.5</v>
      </c>
      <c r="E157" s="17"/>
      <c r="F157" s="17"/>
      <c r="G157" s="17"/>
      <c r="H157" s="33">
        <f t="shared" si="14"/>
        <v>234.63770131498768</v>
      </c>
      <c r="I157" s="57">
        <f t="shared" si="15"/>
        <v>104754.73499489286</v>
      </c>
      <c r="J157" s="57">
        <f t="shared" si="16"/>
        <v>3434.5814752423889</v>
      </c>
      <c r="K157" s="106">
        <v>4463</v>
      </c>
      <c r="L157" s="96">
        <f t="shared" si="17"/>
        <v>21.12943740377391</v>
      </c>
      <c r="M157" s="96"/>
      <c r="N157" s="96"/>
      <c r="O157" s="96"/>
      <c r="P157" s="96"/>
      <c r="Q157" s="96"/>
      <c r="R157" s="96"/>
      <c r="S157" s="17">
        <v>209500</v>
      </c>
      <c r="T157">
        <v>6869</v>
      </c>
    </row>
    <row r="158" spans="1:20" x14ac:dyDescent="0.25">
      <c r="A158" s="17" t="str">
        <f t="shared" si="12"/>
        <v>CIRF  610*16</v>
      </c>
      <c r="B158" s="33">
        <f t="shared" si="13"/>
        <v>234.38291815078156</v>
      </c>
      <c r="C158" s="17">
        <v>610</v>
      </c>
      <c r="D158" s="17">
        <v>16</v>
      </c>
      <c r="E158" s="17"/>
      <c r="F158" s="17"/>
      <c r="G158" s="17"/>
      <c r="H158" s="33">
        <f t="shared" si="14"/>
        <v>298.57696579717395</v>
      </c>
      <c r="I158" s="57">
        <f t="shared" si="15"/>
        <v>131781.4225090697</v>
      </c>
      <c r="J158" s="57">
        <f t="shared" si="16"/>
        <v>4320.7023773465471</v>
      </c>
      <c r="K158" s="106">
        <v>5647</v>
      </c>
      <c r="L158" s="96">
        <f t="shared" si="17"/>
        <v>21.008688678734806</v>
      </c>
      <c r="M158" s="96"/>
      <c r="N158" s="96"/>
      <c r="O158" s="96"/>
      <c r="P158" s="96"/>
      <c r="Q158" s="96"/>
      <c r="R158" s="96"/>
      <c r="S158" s="17">
        <v>263600</v>
      </c>
      <c r="T158">
        <v>8641</v>
      </c>
    </row>
    <row r="159" spans="1:20" x14ac:dyDescent="0.25">
      <c r="A159" s="17" t="str">
        <f t="shared" si="12"/>
        <v>CIRF  610*20</v>
      </c>
      <c r="B159" s="33">
        <f t="shared" si="13"/>
        <v>291.00572750202252</v>
      </c>
      <c r="C159" s="17">
        <v>610</v>
      </c>
      <c r="D159" s="17">
        <v>20</v>
      </c>
      <c r="E159" s="17"/>
      <c r="F159" s="17"/>
      <c r="G159" s="17"/>
      <c r="H159" s="33">
        <f t="shared" si="14"/>
        <v>370.70793312359558</v>
      </c>
      <c r="I159" s="57">
        <f t="shared" si="15"/>
        <v>161489.64336696634</v>
      </c>
      <c r="J159" s="57">
        <f t="shared" si="16"/>
        <v>5294.742405474306</v>
      </c>
      <c r="K159" s="106">
        <v>6965</v>
      </c>
      <c r="L159" s="96">
        <f t="shared" si="17"/>
        <v>20.871631464741803</v>
      </c>
      <c r="M159" s="96"/>
      <c r="N159" s="96"/>
      <c r="O159" s="96"/>
      <c r="P159" s="96"/>
      <c r="Q159" s="96"/>
      <c r="R159" s="96"/>
      <c r="S159" s="17">
        <v>323000</v>
      </c>
      <c r="T159">
        <v>10590</v>
      </c>
    </row>
    <row r="160" spans="1:20" x14ac:dyDescent="0.25">
      <c r="A160" s="17" t="str">
        <f t="shared" si="12"/>
        <v>CIRF  610*25</v>
      </c>
      <c r="B160" s="33">
        <f t="shared" si="13"/>
        <v>360.67447158619325</v>
      </c>
      <c r="C160" s="17">
        <v>610</v>
      </c>
      <c r="D160" s="17">
        <v>25</v>
      </c>
      <c r="E160" s="17"/>
      <c r="F160" s="17"/>
      <c r="G160" s="17"/>
      <c r="H160" s="33">
        <f t="shared" si="14"/>
        <v>459.4579255875073</v>
      </c>
      <c r="I160" s="57">
        <f t="shared" si="15"/>
        <v>196906.43723459606</v>
      </c>
      <c r="J160" s="57">
        <f t="shared" si="16"/>
        <v>6455.948761790035</v>
      </c>
      <c r="K160" s="106">
        <v>8561</v>
      </c>
      <c r="L160" s="96">
        <f t="shared" si="17"/>
        <v>20.701751133660164</v>
      </c>
      <c r="M160" s="96"/>
      <c r="N160" s="96"/>
      <c r="O160" s="96"/>
      <c r="P160" s="96"/>
      <c r="Q160" s="96"/>
      <c r="R160" s="96"/>
      <c r="S160" s="17">
        <v>393800</v>
      </c>
      <c r="T160">
        <v>12910</v>
      </c>
    </row>
    <row r="161" spans="1:20" x14ac:dyDescent="0.25">
      <c r="A161" s="17" t="str">
        <f t="shared" si="12"/>
        <v>CIRF  610*30</v>
      </c>
      <c r="B161" s="33">
        <f t="shared" si="13"/>
        <v>429.11014055382981</v>
      </c>
      <c r="C161" s="17">
        <v>610</v>
      </c>
      <c r="D161" s="17">
        <v>30</v>
      </c>
      <c r="E161" s="17"/>
      <c r="F161" s="17"/>
      <c r="G161" s="17"/>
      <c r="H161" s="33">
        <f t="shared" si="14"/>
        <v>546.63712172462397</v>
      </c>
      <c r="I161" s="57">
        <f t="shared" si="15"/>
        <v>230475.8764471446</v>
      </c>
      <c r="J161" s="57">
        <f t="shared" si="16"/>
        <v>7556.5861130211342</v>
      </c>
      <c r="K161" s="106">
        <v>10101</v>
      </c>
      <c r="L161" s="96">
        <f t="shared" si="17"/>
        <v>20.533509198381072</v>
      </c>
      <c r="M161" s="96"/>
      <c r="N161" s="96"/>
      <c r="O161" s="96"/>
      <c r="P161" s="96"/>
      <c r="Q161" s="96"/>
      <c r="R161" s="96"/>
      <c r="S161" s="17">
        <v>461000</v>
      </c>
      <c r="T161">
        <v>15110</v>
      </c>
    </row>
    <row r="162" spans="1:20" x14ac:dyDescent="0.25">
      <c r="A162" s="97" t="str">
        <f t="shared" si="12"/>
        <v>CIRF  711*6</v>
      </c>
      <c r="B162" s="38">
        <f t="shared" si="13"/>
        <v>104.31815485877588</v>
      </c>
      <c r="C162" s="37">
        <v>711</v>
      </c>
      <c r="D162" s="37">
        <v>6</v>
      </c>
      <c r="E162" s="37"/>
      <c r="F162" s="37"/>
      <c r="G162" s="37"/>
      <c r="H162" s="38">
        <f t="shared" si="14"/>
        <v>132.88936924684825</v>
      </c>
      <c r="I162" s="54">
        <f t="shared" si="15"/>
        <v>82567.653459009554</v>
      </c>
      <c r="J162" s="54">
        <f t="shared" si="16"/>
        <v>2322.5781563715764</v>
      </c>
      <c r="K162" s="107">
        <v>2982</v>
      </c>
      <c r="L162" s="98">
        <f t="shared" si="17"/>
        <v>24.926416709988622</v>
      </c>
      <c r="M162" s="98"/>
      <c r="N162" s="98"/>
      <c r="O162" s="98"/>
      <c r="P162" s="98"/>
      <c r="Q162" s="98"/>
      <c r="R162" s="98"/>
      <c r="S162" s="37">
        <v>165100</v>
      </c>
      <c r="T162" s="99">
        <v>4645</v>
      </c>
    </row>
    <row r="163" spans="1:20" x14ac:dyDescent="0.25">
      <c r="A163" s="100" t="str">
        <f t="shared" si="12"/>
        <v>CIRF  711*6.3</v>
      </c>
      <c r="B163" s="44">
        <f t="shared" si="13"/>
        <v>109.48745236231007</v>
      </c>
      <c r="C163" s="43">
        <v>711</v>
      </c>
      <c r="D163" s="43">
        <v>6.3</v>
      </c>
      <c r="E163" s="43"/>
      <c r="F163" s="43"/>
      <c r="G163" s="43"/>
      <c r="H163" s="44">
        <f t="shared" si="14"/>
        <v>139.4744616080383</v>
      </c>
      <c r="I163" s="55">
        <f t="shared" si="15"/>
        <v>86586.056096947257</v>
      </c>
      <c r="J163" s="55">
        <f t="shared" si="16"/>
        <v>2435.613392319191</v>
      </c>
      <c r="K163" s="108">
        <v>3129</v>
      </c>
      <c r="L163" s="101">
        <f t="shared" si="17"/>
        <v>24.915903054073716</v>
      </c>
      <c r="M163" s="101"/>
      <c r="N163" s="101"/>
      <c r="O163" s="101"/>
      <c r="P163" s="101"/>
      <c r="Q163" s="101"/>
      <c r="R163" s="101"/>
      <c r="S163" s="43">
        <v>173200</v>
      </c>
      <c r="T163" s="102">
        <v>4871</v>
      </c>
    </row>
    <row r="164" spans="1:20" x14ac:dyDescent="0.25">
      <c r="A164" s="100" t="str">
        <f t="shared" si="12"/>
        <v>CIRF  711*8</v>
      </c>
      <c r="B164" s="44">
        <f t="shared" si="13"/>
        <v>138.69628910774361</v>
      </c>
      <c r="C164" s="43">
        <v>711</v>
      </c>
      <c r="D164" s="43">
        <v>8</v>
      </c>
      <c r="E164" s="43"/>
      <c r="F164" s="43"/>
      <c r="G164" s="43"/>
      <c r="H164" s="44">
        <f t="shared" si="14"/>
        <v>176.68317083788995</v>
      </c>
      <c r="I164" s="55">
        <f t="shared" si="15"/>
        <v>109162.15112444549</v>
      </c>
      <c r="J164" s="55">
        <f t="shared" si="16"/>
        <v>3070.6652918268769</v>
      </c>
      <c r="K164" s="108">
        <v>3954</v>
      </c>
      <c r="L164" s="101">
        <f t="shared" si="17"/>
        <v>24.85641265347838</v>
      </c>
      <c r="M164" s="101"/>
      <c r="N164" s="101"/>
      <c r="O164" s="101"/>
      <c r="P164" s="101"/>
      <c r="Q164" s="101"/>
      <c r="R164" s="101"/>
      <c r="S164" s="43">
        <v>218300</v>
      </c>
      <c r="T164" s="102">
        <v>6141</v>
      </c>
    </row>
    <row r="165" spans="1:20" x14ac:dyDescent="0.25">
      <c r="A165" s="100" t="str">
        <f t="shared" si="12"/>
        <v>CIRF  711*10</v>
      </c>
      <c r="B165" s="44">
        <f t="shared" si="13"/>
        <v>172.87713133806591</v>
      </c>
      <c r="C165" s="43">
        <v>711</v>
      </c>
      <c r="D165" s="43">
        <v>10</v>
      </c>
      <c r="E165" s="43"/>
      <c r="F165" s="43"/>
      <c r="G165" s="43"/>
      <c r="H165" s="44">
        <f t="shared" si="14"/>
        <v>220.22564501664448</v>
      </c>
      <c r="I165" s="55">
        <f t="shared" si="15"/>
        <v>135301.40593915724</v>
      </c>
      <c r="J165" s="55">
        <f t="shared" si="16"/>
        <v>3805.9467212139866</v>
      </c>
      <c r="K165" s="108">
        <v>4914</v>
      </c>
      <c r="L165" s="101">
        <f t="shared" si="17"/>
        <v>24.786614331126387</v>
      </c>
      <c r="M165" s="101"/>
      <c r="N165" s="101"/>
      <c r="O165" s="101"/>
      <c r="P165" s="101"/>
      <c r="Q165" s="101"/>
      <c r="R165" s="101"/>
      <c r="S165" s="43">
        <v>270600</v>
      </c>
      <c r="T165" s="102">
        <v>7612</v>
      </c>
    </row>
    <row r="166" spans="1:20" x14ac:dyDescent="0.25">
      <c r="A166" s="100" t="str">
        <f t="shared" si="12"/>
        <v>CIRF  711*12</v>
      </c>
      <c r="B166" s="44">
        <f t="shared" si="13"/>
        <v>206.86068154974279</v>
      </c>
      <c r="C166" s="43">
        <v>711</v>
      </c>
      <c r="D166" s="43">
        <v>12</v>
      </c>
      <c r="E166" s="43"/>
      <c r="F166" s="43"/>
      <c r="G166" s="43"/>
      <c r="H166" s="44">
        <f t="shared" si="14"/>
        <v>263.51679178311184</v>
      </c>
      <c r="I166" s="55">
        <f t="shared" si="15"/>
        <v>160990.64300004626</v>
      </c>
      <c r="J166" s="55">
        <f t="shared" si="16"/>
        <v>4528.5694233486984</v>
      </c>
      <c r="K166" s="108">
        <v>5864</v>
      </c>
      <c r="L166" s="101">
        <f t="shared" si="17"/>
        <v>24.717023485848777</v>
      </c>
      <c r="M166" s="101"/>
      <c r="N166" s="101"/>
      <c r="O166" s="101"/>
      <c r="P166" s="101"/>
      <c r="Q166" s="101"/>
      <c r="R166" s="101"/>
      <c r="S166" s="43">
        <v>322000</v>
      </c>
      <c r="T166" s="102">
        <v>9057</v>
      </c>
    </row>
    <row r="167" spans="1:20" x14ac:dyDescent="0.25">
      <c r="A167" s="100" t="str">
        <f t="shared" si="12"/>
        <v>CIRF  711*12.5</v>
      </c>
      <c r="B167" s="44">
        <f t="shared" si="13"/>
        <v>215.32574222474869</v>
      </c>
      <c r="C167" s="43">
        <v>711</v>
      </c>
      <c r="D167" s="43">
        <v>12.5</v>
      </c>
      <c r="E167" s="43"/>
      <c r="F167" s="43"/>
      <c r="G167" s="43"/>
      <c r="H167" s="44">
        <f t="shared" si="14"/>
        <v>274.30030856655884</v>
      </c>
      <c r="I167" s="55">
        <f t="shared" si="15"/>
        <v>167343.2464356648</v>
      </c>
      <c r="J167" s="55">
        <f t="shared" si="16"/>
        <v>4707.2643160524549</v>
      </c>
      <c r="K167" s="108">
        <v>6099</v>
      </c>
      <c r="L167" s="101">
        <f t="shared" si="17"/>
        <v>24.699658398447536</v>
      </c>
      <c r="M167" s="101"/>
      <c r="N167" s="101"/>
      <c r="O167" s="101"/>
      <c r="P167" s="101"/>
      <c r="Q167" s="101"/>
      <c r="R167" s="101"/>
      <c r="S167" s="43">
        <v>334700</v>
      </c>
      <c r="T167" s="102">
        <v>9415</v>
      </c>
    </row>
    <row r="168" spans="1:20" x14ac:dyDescent="0.25">
      <c r="A168" s="100" t="str">
        <f t="shared" si="12"/>
        <v>CIRF  711*16</v>
      </c>
      <c r="B168" s="44">
        <f t="shared" si="13"/>
        <v>274.23590591716021</v>
      </c>
      <c r="C168" s="43">
        <v>711</v>
      </c>
      <c r="D168" s="43">
        <v>16</v>
      </c>
      <c r="E168" s="43"/>
      <c r="F168" s="43"/>
      <c r="G168" s="43"/>
      <c r="H168" s="44">
        <f t="shared" si="14"/>
        <v>349.34510307918498</v>
      </c>
      <c r="I168" s="55">
        <f t="shared" si="15"/>
        <v>211039.81345151452</v>
      </c>
      <c r="J168" s="55">
        <f t="shared" si="16"/>
        <v>5936.4223193112375</v>
      </c>
      <c r="K168" s="108">
        <v>7730</v>
      </c>
      <c r="L168" s="101">
        <f t="shared" si="17"/>
        <v>24.57847127060591</v>
      </c>
      <c r="M168" s="101"/>
      <c r="N168" s="101"/>
      <c r="O168" s="101"/>
      <c r="P168" s="101"/>
      <c r="Q168" s="101"/>
      <c r="R168" s="101"/>
      <c r="S168" s="43">
        <v>422100</v>
      </c>
      <c r="T168" s="102">
        <v>11870</v>
      </c>
    </row>
    <row r="169" spans="1:20" x14ac:dyDescent="0.25">
      <c r="A169" s="100" t="str">
        <f t="shared" si="12"/>
        <v>CIRF  711*20</v>
      </c>
      <c r="B169" s="44">
        <f t="shared" si="13"/>
        <v>340.82196220999589</v>
      </c>
      <c r="C169" s="43">
        <v>711</v>
      </c>
      <c r="D169" s="43">
        <v>20</v>
      </c>
      <c r="E169" s="43"/>
      <c r="F169" s="43"/>
      <c r="G169" s="43"/>
      <c r="H169" s="44">
        <f t="shared" si="14"/>
        <v>434.16810472610939</v>
      </c>
      <c r="I169" s="55">
        <f t="shared" si="15"/>
        <v>259350.86006827236</v>
      </c>
      <c r="J169" s="55">
        <f t="shared" si="16"/>
        <v>7295.3828429893765</v>
      </c>
      <c r="K169" s="108">
        <v>9552</v>
      </c>
      <c r="L169" s="101">
        <f t="shared" si="17"/>
        <v>24.440770241545174</v>
      </c>
      <c r="M169" s="101"/>
      <c r="N169" s="101"/>
      <c r="O169" s="101"/>
      <c r="P169" s="101"/>
      <c r="Q169" s="101"/>
      <c r="R169" s="101"/>
      <c r="S169" s="43">
        <v>518700</v>
      </c>
      <c r="T169" s="102">
        <v>14590</v>
      </c>
    </row>
    <row r="170" spans="1:20" x14ac:dyDescent="0.25">
      <c r="A170" s="100" t="str">
        <f t="shared" si="12"/>
        <v>CIRF  711*25</v>
      </c>
      <c r="B170" s="44">
        <f t="shared" si="13"/>
        <v>422.94476497115994</v>
      </c>
      <c r="C170" s="43">
        <v>711</v>
      </c>
      <c r="D170" s="43">
        <v>25</v>
      </c>
      <c r="E170" s="43"/>
      <c r="F170" s="43"/>
      <c r="G170" s="43"/>
      <c r="H170" s="44">
        <f t="shared" si="14"/>
        <v>538.78314009064957</v>
      </c>
      <c r="I170" s="55">
        <f t="shared" si="15"/>
        <v>317357.41257081996</v>
      </c>
      <c r="J170" s="55">
        <f t="shared" si="16"/>
        <v>8927.0720835673674</v>
      </c>
      <c r="K170" s="108">
        <v>11770</v>
      </c>
      <c r="L170" s="101">
        <f t="shared" si="17"/>
        <v>24.269862999201294</v>
      </c>
      <c r="M170" s="101"/>
      <c r="N170" s="101"/>
      <c r="O170" s="101"/>
      <c r="P170" s="101"/>
      <c r="Q170" s="101"/>
      <c r="R170" s="101"/>
      <c r="S170" s="43">
        <v>634700</v>
      </c>
      <c r="T170" s="102">
        <v>17850</v>
      </c>
    </row>
    <row r="171" spans="1:20" x14ac:dyDescent="0.25">
      <c r="A171" s="103" t="str">
        <f t="shared" si="12"/>
        <v>CIRF  711*30</v>
      </c>
      <c r="B171" s="50">
        <f t="shared" si="13"/>
        <v>503.83449261578994</v>
      </c>
      <c r="C171" s="49">
        <v>711</v>
      </c>
      <c r="D171" s="49">
        <v>30</v>
      </c>
      <c r="E171" s="49"/>
      <c r="F171" s="49"/>
      <c r="G171" s="49"/>
      <c r="H171" s="50">
        <f t="shared" si="14"/>
        <v>641.8273791283948</v>
      </c>
      <c r="I171" s="56">
        <f t="shared" si="15"/>
        <v>372790.18976647378</v>
      </c>
      <c r="J171" s="56">
        <f t="shared" si="16"/>
        <v>10486.362581335407</v>
      </c>
      <c r="K171" s="109">
        <v>13922</v>
      </c>
      <c r="L171" s="104">
        <f t="shared" si="17"/>
        <v>24.100337134571376</v>
      </c>
      <c r="M171" s="104"/>
      <c r="N171" s="104"/>
      <c r="O171" s="104"/>
      <c r="P171" s="104"/>
      <c r="Q171" s="104"/>
      <c r="R171" s="104"/>
      <c r="S171" s="49">
        <v>745600</v>
      </c>
      <c r="T171" s="105">
        <v>20970</v>
      </c>
    </row>
    <row r="172" spans="1:20" x14ac:dyDescent="0.25">
      <c r="A172" s="17" t="str">
        <f t="shared" si="12"/>
        <v>CIRF  762*6</v>
      </c>
      <c r="B172" s="33">
        <f t="shared" si="13"/>
        <v>111.86457457196393</v>
      </c>
      <c r="C172" s="17">
        <v>762</v>
      </c>
      <c r="D172" s="17">
        <v>6</v>
      </c>
      <c r="E172" s="17"/>
      <c r="F172" s="17"/>
      <c r="G172" s="17"/>
      <c r="H172" s="33">
        <f t="shared" si="14"/>
        <v>142.50264276683302</v>
      </c>
      <c r="I172" s="57">
        <f t="shared" si="15"/>
        <v>101813.15066440534</v>
      </c>
      <c r="J172" s="57">
        <f t="shared" si="16"/>
        <v>2672.2611722941033</v>
      </c>
      <c r="K172" s="106">
        <v>3429</v>
      </c>
      <c r="L172" s="96">
        <f t="shared" si="17"/>
        <v>26.72947810938328</v>
      </c>
      <c r="M172" s="96"/>
      <c r="N172" s="96"/>
      <c r="O172" s="96"/>
      <c r="P172" s="96"/>
      <c r="Q172" s="96"/>
      <c r="R172" s="96"/>
      <c r="S172" s="17">
        <v>203600</v>
      </c>
      <c r="T172">
        <v>5345</v>
      </c>
    </row>
    <row r="173" spans="1:20" x14ac:dyDescent="0.25">
      <c r="A173" s="17" t="str">
        <f t="shared" si="12"/>
        <v>CIRF  762*6.3</v>
      </c>
      <c r="B173" s="33">
        <f t="shared" si="13"/>
        <v>117.41119306115722</v>
      </c>
      <c r="C173" s="17">
        <v>762</v>
      </c>
      <c r="D173" s="17">
        <v>6.3</v>
      </c>
      <c r="E173" s="17"/>
      <c r="F173" s="17"/>
      <c r="G173" s="17"/>
      <c r="H173" s="33">
        <f t="shared" si="14"/>
        <v>149.56839880402194</v>
      </c>
      <c r="I173" s="57">
        <f t="shared" si="15"/>
        <v>106777.28748007804</v>
      </c>
      <c r="J173" s="57">
        <f t="shared" si="16"/>
        <v>2802.5534771674024</v>
      </c>
      <c r="K173" s="106">
        <v>3598</v>
      </c>
      <c r="L173" s="96">
        <f t="shared" si="17"/>
        <v>26.7189581570839</v>
      </c>
      <c r="M173" s="96"/>
      <c r="N173" s="96"/>
      <c r="O173" s="96"/>
      <c r="P173" s="96"/>
      <c r="Q173" s="96"/>
      <c r="R173" s="96"/>
      <c r="S173" s="17">
        <v>213600</v>
      </c>
      <c r="T173">
        <v>5605</v>
      </c>
    </row>
    <row r="174" spans="1:20" x14ac:dyDescent="0.25">
      <c r="A174" s="17" t="str">
        <f t="shared" si="12"/>
        <v>CIRF  762*8</v>
      </c>
      <c r="B174" s="33">
        <f t="shared" si="13"/>
        <v>148.75818205866102</v>
      </c>
      <c r="C174" s="17">
        <v>762</v>
      </c>
      <c r="D174" s="17">
        <v>8</v>
      </c>
      <c r="E174" s="17"/>
      <c r="F174" s="17"/>
      <c r="G174" s="17"/>
      <c r="H174" s="33">
        <f t="shared" si="14"/>
        <v>189.50086886453633</v>
      </c>
      <c r="I174" s="57">
        <f t="shared" si="15"/>
        <v>134683.0050237476</v>
      </c>
      <c r="J174" s="57">
        <f t="shared" si="16"/>
        <v>3534.9870084973122</v>
      </c>
      <c r="K174" s="106">
        <v>4548</v>
      </c>
      <c r="L174" s="96">
        <f t="shared" si="17"/>
        <v>26.659426100349574</v>
      </c>
      <c r="M174" s="96"/>
      <c r="N174" s="96"/>
      <c r="O174" s="96"/>
      <c r="P174" s="96"/>
      <c r="Q174" s="96"/>
      <c r="R174" s="96"/>
      <c r="S174" s="17">
        <v>269400</v>
      </c>
      <c r="T174">
        <v>7070</v>
      </c>
    </row>
    <row r="175" spans="1:20" x14ac:dyDescent="0.25">
      <c r="A175" s="17" t="str">
        <f t="shared" si="12"/>
        <v>CIRF  762*10</v>
      </c>
      <c r="B175" s="33">
        <f t="shared" si="13"/>
        <v>185.45449752671269</v>
      </c>
      <c r="C175" s="17">
        <v>762</v>
      </c>
      <c r="D175" s="17">
        <v>10</v>
      </c>
      <c r="E175" s="17"/>
      <c r="F175" s="17"/>
      <c r="G175" s="17"/>
      <c r="H175" s="33">
        <f t="shared" si="14"/>
        <v>236.24776754995244</v>
      </c>
      <c r="I175" s="57">
        <f t="shared" si="15"/>
        <v>167028.35289665413</v>
      </c>
      <c r="J175" s="57">
        <f t="shared" si="16"/>
        <v>4383.9462702533892</v>
      </c>
      <c r="K175" s="106">
        <v>5655</v>
      </c>
      <c r="L175" s="96">
        <f t="shared" si="17"/>
        <v>26.589565622627234</v>
      </c>
      <c r="M175" s="96"/>
      <c r="N175" s="96"/>
      <c r="O175" s="96"/>
      <c r="P175" s="96"/>
      <c r="Q175" s="96"/>
      <c r="R175" s="96"/>
      <c r="S175" s="17">
        <v>334100</v>
      </c>
      <c r="T175">
        <v>8768</v>
      </c>
    </row>
    <row r="176" spans="1:20" x14ac:dyDescent="0.25">
      <c r="A176" s="17" t="str">
        <f t="shared" si="12"/>
        <v>CIRF  762*12</v>
      </c>
      <c r="B176" s="33">
        <f t="shared" si="13"/>
        <v>221.95352097611891</v>
      </c>
      <c r="C176" s="17">
        <v>762</v>
      </c>
      <c r="D176" s="17">
        <v>12</v>
      </c>
      <c r="E176" s="17"/>
      <c r="F176" s="17"/>
      <c r="G176" s="17"/>
      <c r="H176" s="33">
        <f t="shared" si="14"/>
        <v>282.74333882308139</v>
      </c>
      <c r="I176" s="57">
        <f t="shared" si="15"/>
        <v>198854.80391096725</v>
      </c>
      <c r="J176" s="57">
        <f t="shared" si="16"/>
        <v>5219.2861918889039</v>
      </c>
      <c r="K176" s="106">
        <v>6751</v>
      </c>
      <c r="L176" s="96">
        <f t="shared" si="17"/>
        <v>26.519898189849823</v>
      </c>
      <c r="M176" s="96"/>
      <c r="N176" s="96"/>
      <c r="O176" s="96"/>
      <c r="P176" s="96"/>
      <c r="Q176" s="96"/>
      <c r="R176" s="96"/>
      <c r="S176" s="17">
        <v>397700</v>
      </c>
      <c r="T176">
        <v>10440</v>
      </c>
    </row>
    <row r="177" spans="1:20" x14ac:dyDescent="0.25">
      <c r="A177" s="17" t="str">
        <f t="shared" si="12"/>
        <v>CIRF  762*12.5</v>
      </c>
      <c r="B177" s="33">
        <f t="shared" si="13"/>
        <v>231.04744996055709</v>
      </c>
      <c r="C177" s="17">
        <v>762</v>
      </c>
      <c r="D177" s="17">
        <v>12.5</v>
      </c>
      <c r="E177" s="17"/>
      <c r="F177" s="17"/>
      <c r="G177" s="17"/>
      <c r="H177" s="33">
        <f t="shared" si="14"/>
        <v>294.32796173319372</v>
      </c>
      <c r="I177" s="57">
        <f t="shared" si="15"/>
        <v>206730.99353704107</v>
      </c>
      <c r="J177" s="57">
        <f t="shared" si="16"/>
        <v>5426.0103290561956</v>
      </c>
      <c r="K177" s="106">
        <v>7023</v>
      </c>
      <c r="L177" s="96">
        <f t="shared" si="17"/>
        <v>26.502511673424468</v>
      </c>
      <c r="M177" s="96"/>
      <c r="N177" s="96"/>
      <c r="O177" s="96"/>
      <c r="P177" s="96"/>
      <c r="Q177" s="96"/>
      <c r="R177" s="96"/>
      <c r="S177" s="17">
        <v>413500</v>
      </c>
      <c r="T177">
        <v>10850</v>
      </c>
    </row>
    <row r="178" spans="1:20" x14ac:dyDescent="0.25">
      <c r="A178" s="17" t="str">
        <f t="shared" si="12"/>
        <v>CIRF  762*16</v>
      </c>
      <c r="B178" s="33">
        <f t="shared" si="13"/>
        <v>294.35969181899497</v>
      </c>
      <c r="C178" s="17">
        <v>762</v>
      </c>
      <c r="D178" s="17">
        <v>16</v>
      </c>
      <c r="E178" s="17"/>
      <c r="F178" s="17"/>
      <c r="G178" s="17"/>
      <c r="H178" s="33">
        <f t="shared" si="14"/>
        <v>374.98049913247769</v>
      </c>
      <c r="I178" s="57">
        <f t="shared" si="15"/>
        <v>260973.30307873484</v>
      </c>
      <c r="J178" s="57">
        <f t="shared" si="16"/>
        <v>6849.6929941925155</v>
      </c>
      <c r="K178" s="106">
        <v>8906</v>
      </c>
      <c r="L178" s="96">
        <f t="shared" si="17"/>
        <v>26.381148572418148</v>
      </c>
      <c r="M178" s="96"/>
      <c r="N178" s="96"/>
      <c r="O178" s="96"/>
      <c r="P178" s="96"/>
      <c r="Q178" s="96"/>
      <c r="R178" s="96"/>
      <c r="S178" s="17">
        <v>521900</v>
      </c>
      <c r="T178">
        <v>13700</v>
      </c>
    </row>
    <row r="179" spans="1:20" x14ac:dyDescent="0.25">
      <c r="A179" s="17" t="str">
        <f t="shared" si="12"/>
        <v>CIRF  762*20</v>
      </c>
      <c r="B179" s="33">
        <f t="shared" si="13"/>
        <v>365.97669458728939</v>
      </c>
      <c r="C179" s="17">
        <v>762</v>
      </c>
      <c r="D179" s="17">
        <v>20</v>
      </c>
      <c r="E179" s="17"/>
      <c r="F179" s="17"/>
      <c r="G179" s="17"/>
      <c r="H179" s="33">
        <f t="shared" si="14"/>
        <v>466.21234979272532</v>
      </c>
      <c r="I179" s="57">
        <f t="shared" si="15"/>
        <v>321082.77636399888</v>
      </c>
      <c r="J179" s="57">
        <f t="shared" si="16"/>
        <v>8427.3694583726738</v>
      </c>
      <c r="K179" s="106">
        <v>11014</v>
      </c>
      <c r="L179" s="96">
        <f t="shared" si="17"/>
        <v>26.243189592730531</v>
      </c>
      <c r="M179" s="96"/>
      <c r="N179" s="96"/>
      <c r="O179" s="96"/>
      <c r="P179" s="96"/>
      <c r="Q179" s="96"/>
      <c r="R179" s="96"/>
      <c r="S179" s="17">
        <v>642200</v>
      </c>
      <c r="T179">
        <v>16850</v>
      </c>
    </row>
    <row r="180" spans="1:20" x14ac:dyDescent="0.25">
      <c r="A180" s="17" t="str">
        <f t="shared" si="12"/>
        <v>CIRF  762*25</v>
      </c>
      <c r="B180" s="33">
        <f t="shared" si="13"/>
        <v>454.38818044277679</v>
      </c>
      <c r="C180" s="17">
        <v>762</v>
      </c>
      <c r="D180" s="17">
        <v>25</v>
      </c>
      <c r="E180" s="17"/>
      <c r="F180" s="17"/>
      <c r="G180" s="17"/>
      <c r="H180" s="33">
        <f t="shared" si="14"/>
        <v>578.83844642391944</v>
      </c>
      <c r="I180" s="57">
        <f t="shared" si="15"/>
        <v>393461.09266831103</v>
      </c>
      <c r="J180" s="57">
        <f t="shared" si="16"/>
        <v>10327.062799693202</v>
      </c>
      <c r="K180" s="106">
        <v>13584</v>
      </c>
      <c r="L180" s="96">
        <f t="shared" si="17"/>
        <v>26.071871816193021</v>
      </c>
      <c r="M180" s="96"/>
      <c r="N180" s="96"/>
      <c r="O180" s="96"/>
      <c r="P180" s="96"/>
      <c r="Q180" s="96"/>
      <c r="R180" s="96"/>
      <c r="S180" s="17">
        <v>786900</v>
      </c>
      <c r="T180">
        <v>20650</v>
      </c>
    </row>
    <row r="181" spans="1:20" x14ac:dyDescent="0.25">
      <c r="A181" s="17" t="str">
        <f t="shared" si="12"/>
        <v>CIRF  762*30</v>
      </c>
      <c r="B181" s="33">
        <f t="shared" si="13"/>
        <v>541.56659118173013</v>
      </c>
      <c r="C181" s="17">
        <v>762</v>
      </c>
      <c r="D181" s="17">
        <v>30</v>
      </c>
      <c r="E181" s="17"/>
      <c r="F181" s="17"/>
      <c r="G181" s="17"/>
      <c r="H181" s="33">
        <f t="shared" si="14"/>
        <v>689.89374672831855</v>
      </c>
      <c r="I181" s="57">
        <f t="shared" si="15"/>
        <v>462853.16414876265</v>
      </c>
      <c r="J181" s="57">
        <f t="shared" si="16"/>
        <v>12148.377011778546</v>
      </c>
      <c r="K181" s="106">
        <v>16084</v>
      </c>
      <c r="L181" s="96">
        <f t="shared" si="17"/>
        <v>25.901833911906703</v>
      </c>
      <c r="M181" s="96"/>
      <c r="N181" s="96"/>
      <c r="O181" s="96"/>
      <c r="P181" s="96"/>
      <c r="Q181" s="96"/>
      <c r="R181" s="96"/>
      <c r="S181" s="17">
        <v>925700</v>
      </c>
      <c r="T181">
        <v>24300</v>
      </c>
    </row>
    <row r="182" spans="1:20" x14ac:dyDescent="0.25">
      <c r="A182" s="97" t="str">
        <f t="shared" si="12"/>
        <v>CIRF  813*8</v>
      </c>
      <c r="B182" s="38">
        <f t="shared" si="13"/>
        <v>158.8200750095784</v>
      </c>
      <c r="C182" s="37">
        <v>813</v>
      </c>
      <c r="D182" s="37">
        <v>8</v>
      </c>
      <c r="E182" s="37"/>
      <c r="F182" s="37"/>
      <c r="G182" s="37"/>
      <c r="H182" s="38">
        <f t="shared" si="14"/>
        <v>202.31856689118268</v>
      </c>
      <c r="I182" s="54">
        <f t="shared" si="15"/>
        <v>163900.54712242461</v>
      </c>
      <c r="J182" s="54">
        <f t="shared" si="16"/>
        <v>4031.9937791494363</v>
      </c>
      <c r="K182" s="107">
        <v>5184</v>
      </c>
      <c r="L182" s="98">
        <f t="shared" si="17"/>
        <v>28.462453337686824</v>
      </c>
      <c r="M182" s="98"/>
      <c r="N182" s="98"/>
      <c r="O182" s="98"/>
      <c r="P182" s="98"/>
      <c r="Q182" s="98"/>
      <c r="R182" s="98"/>
      <c r="S182" s="37">
        <v>327800</v>
      </c>
      <c r="T182" s="99">
        <v>8064</v>
      </c>
    </row>
    <row r="183" spans="1:20" x14ac:dyDescent="0.25">
      <c r="A183" s="100" t="str">
        <f t="shared" si="12"/>
        <v>CIRF  813*10</v>
      </c>
      <c r="B183" s="44">
        <f t="shared" si="13"/>
        <v>198.03186371535944</v>
      </c>
      <c r="C183" s="43">
        <v>813</v>
      </c>
      <c r="D183" s="43">
        <v>10</v>
      </c>
      <c r="E183" s="43"/>
      <c r="F183" s="43"/>
      <c r="G183" s="43"/>
      <c r="H183" s="44">
        <f t="shared" si="14"/>
        <v>252.26989008326041</v>
      </c>
      <c r="I183" s="55">
        <f t="shared" si="15"/>
        <v>203363.90317963171</v>
      </c>
      <c r="J183" s="55">
        <f t="shared" si="16"/>
        <v>5002.8020462394015</v>
      </c>
      <c r="K183" s="108">
        <v>6448</v>
      </c>
      <c r="L183" s="101">
        <f t="shared" si="17"/>
        <v>28.392538632535132</v>
      </c>
      <c r="M183" s="101"/>
      <c r="N183" s="101"/>
      <c r="O183" s="101"/>
      <c r="P183" s="101"/>
      <c r="Q183" s="101"/>
      <c r="R183" s="101"/>
      <c r="S183" s="43">
        <v>406700</v>
      </c>
      <c r="T183" s="102">
        <v>10010</v>
      </c>
    </row>
    <row r="184" spans="1:20" x14ac:dyDescent="0.25">
      <c r="A184" s="100" t="str">
        <f t="shared" si="12"/>
        <v>CIRF  813*12</v>
      </c>
      <c r="B184" s="44">
        <f t="shared" si="13"/>
        <v>237.046360402495</v>
      </c>
      <c r="C184" s="43">
        <v>813</v>
      </c>
      <c r="D184" s="43">
        <v>12</v>
      </c>
      <c r="E184" s="43"/>
      <c r="F184" s="43"/>
      <c r="G184" s="43"/>
      <c r="H184" s="44">
        <f t="shared" si="14"/>
        <v>301.96988586305093</v>
      </c>
      <c r="I184" s="55">
        <f t="shared" si="15"/>
        <v>242234.58050397949</v>
      </c>
      <c r="J184" s="55">
        <f t="shared" si="16"/>
        <v>5959.0302707006022</v>
      </c>
      <c r="K184" s="108">
        <v>7700</v>
      </c>
      <c r="L184" s="101">
        <f t="shared" si="17"/>
        <v>28.322804416229687</v>
      </c>
      <c r="M184" s="101"/>
      <c r="N184" s="101"/>
      <c r="O184" s="101"/>
      <c r="P184" s="101"/>
      <c r="Q184" s="101"/>
      <c r="R184" s="101"/>
      <c r="S184" s="43">
        <v>484500</v>
      </c>
      <c r="T184" s="102">
        <v>11920</v>
      </c>
    </row>
    <row r="185" spans="1:20" x14ac:dyDescent="0.25">
      <c r="A185" s="100" t="str">
        <f t="shared" si="12"/>
        <v>CIRF  813*12.5</v>
      </c>
      <c r="B185" s="44">
        <f t="shared" si="13"/>
        <v>246.76915769636554</v>
      </c>
      <c r="C185" s="43">
        <v>813</v>
      </c>
      <c r="D185" s="43">
        <v>12.5</v>
      </c>
      <c r="E185" s="43"/>
      <c r="F185" s="43"/>
      <c r="G185" s="43"/>
      <c r="H185" s="44">
        <f t="shared" si="14"/>
        <v>314.35561489982871</v>
      </c>
      <c r="I185" s="55">
        <f t="shared" si="15"/>
        <v>251860.34335192759</v>
      </c>
      <c r="J185" s="55">
        <f t="shared" si="16"/>
        <v>6195.8264047214652</v>
      </c>
      <c r="K185" s="108">
        <v>8011</v>
      </c>
      <c r="L185" s="101">
        <f t="shared" si="17"/>
        <v>28.305399219936824</v>
      </c>
      <c r="M185" s="101"/>
      <c r="N185" s="101"/>
      <c r="O185" s="101"/>
      <c r="P185" s="101"/>
      <c r="Q185" s="101"/>
      <c r="R185" s="101"/>
      <c r="S185" s="43">
        <v>503700</v>
      </c>
      <c r="T185" s="102">
        <v>12390</v>
      </c>
    </row>
    <row r="186" spans="1:20" x14ac:dyDescent="0.25">
      <c r="A186" s="100" t="str">
        <f t="shared" si="12"/>
        <v>CIRF  813*16</v>
      </c>
      <c r="B186" s="44">
        <f t="shared" si="13"/>
        <v>314.4834777208298</v>
      </c>
      <c r="C186" s="43">
        <v>813</v>
      </c>
      <c r="D186" s="43">
        <v>16</v>
      </c>
      <c r="E186" s="43"/>
      <c r="F186" s="43"/>
      <c r="G186" s="43"/>
      <c r="H186" s="44">
        <f t="shared" si="14"/>
        <v>400.61589518577046</v>
      </c>
      <c r="I186" s="55">
        <f t="shared" si="15"/>
        <v>318221.72479278204</v>
      </c>
      <c r="J186" s="55">
        <f t="shared" si="16"/>
        <v>7828.3327132295699</v>
      </c>
      <c r="K186" s="108">
        <v>10165</v>
      </c>
      <c r="L186" s="101">
        <f t="shared" si="17"/>
        <v>28.183882805603631</v>
      </c>
      <c r="M186" s="101"/>
      <c r="N186" s="101"/>
      <c r="O186" s="101"/>
      <c r="P186" s="101"/>
      <c r="Q186" s="101"/>
      <c r="R186" s="101"/>
      <c r="S186" s="43">
        <v>636400</v>
      </c>
      <c r="T186" s="102">
        <v>15660</v>
      </c>
    </row>
    <row r="187" spans="1:20" x14ac:dyDescent="0.25">
      <c r="A187" s="100" t="str">
        <f t="shared" si="12"/>
        <v>CIRF  813*20</v>
      </c>
      <c r="B187" s="44">
        <f t="shared" si="13"/>
        <v>391.13142696458283</v>
      </c>
      <c r="C187" s="43">
        <v>813</v>
      </c>
      <c r="D187" s="43">
        <v>20</v>
      </c>
      <c r="E187" s="43"/>
      <c r="F187" s="43"/>
      <c r="G187" s="43"/>
      <c r="H187" s="44">
        <f t="shared" si="14"/>
        <v>498.25659485934119</v>
      </c>
      <c r="I187" s="55">
        <f t="shared" si="15"/>
        <v>391909.33007330704</v>
      </c>
      <c r="J187" s="55">
        <f t="shared" si="16"/>
        <v>9641.065930462657</v>
      </c>
      <c r="K187" s="108">
        <v>12580</v>
      </c>
      <c r="L187" s="101">
        <f t="shared" si="17"/>
        <v>28.045699313798544</v>
      </c>
      <c r="M187" s="101"/>
      <c r="N187" s="101"/>
      <c r="O187" s="101"/>
      <c r="P187" s="101"/>
      <c r="Q187" s="101"/>
      <c r="R187" s="101"/>
      <c r="S187" s="43">
        <v>783800</v>
      </c>
      <c r="T187" s="102">
        <v>19280</v>
      </c>
    </row>
    <row r="188" spans="1:20" x14ac:dyDescent="0.25">
      <c r="A188" s="100" t="str">
        <f t="shared" si="12"/>
        <v>CIRF  813*25</v>
      </c>
      <c r="B188" s="44">
        <f t="shared" si="13"/>
        <v>485.83159591439352</v>
      </c>
      <c r="C188" s="43">
        <v>813</v>
      </c>
      <c r="D188" s="43">
        <v>25</v>
      </c>
      <c r="E188" s="43"/>
      <c r="F188" s="43"/>
      <c r="G188" s="43"/>
      <c r="H188" s="44">
        <f t="shared" si="14"/>
        <v>618.89375275718919</v>
      </c>
      <c r="I188" s="55">
        <f t="shared" si="15"/>
        <v>480856.46375941671</v>
      </c>
      <c r="J188" s="55">
        <f t="shared" si="16"/>
        <v>11829.187300354653</v>
      </c>
      <c r="K188" s="108">
        <v>15529</v>
      </c>
      <c r="L188" s="101">
        <f t="shared" si="17"/>
        <v>27.874024646613197</v>
      </c>
      <c r="M188" s="101"/>
      <c r="N188" s="101"/>
      <c r="O188" s="101"/>
      <c r="P188" s="101"/>
      <c r="Q188" s="101"/>
      <c r="R188" s="101"/>
      <c r="S188" s="43">
        <v>961700</v>
      </c>
      <c r="T188" s="102">
        <v>23660</v>
      </c>
    </row>
    <row r="189" spans="1:20" x14ac:dyDescent="0.25">
      <c r="A189" s="103" t="str">
        <f t="shared" si="12"/>
        <v>CIRF  813*30</v>
      </c>
      <c r="B189" s="50">
        <f t="shared" si="13"/>
        <v>579.29868974767032</v>
      </c>
      <c r="C189" s="49">
        <v>813</v>
      </c>
      <c r="D189" s="49">
        <v>30</v>
      </c>
      <c r="E189" s="49"/>
      <c r="F189" s="49"/>
      <c r="G189" s="49"/>
      <c r="H189" s="50">
        <f t="shared" si="14"/>
        <v>737.96011432824241</v>
      </c>
      <c r="I189" s="56">
        <f t="shared" si="15"/>
        <v>566374.24079535401</v>
      </c>
      <c r="J189" s="56">
        <f t="shared" si="16"/>
        <v>13932.945653022236</v>
      </c>
      <c r="K189" s="109">
        <v>18402</v>
      </c>
      <c r="L189" s="104">
        <f t="shared" si="17"/>
        <v>27.70354219229014</v>
      </c>
      <c r="M189" s="104"/>
      <c r="N189" s="104"/>
      <c r="O189" s="104"/>
      <c r="P189" s="104"/>
      <c r="Q189" s="104"/>
      <c r="R189" s="104"/>
      <c r="S189" s="49">
        <v>1133000</v>
      </c>
      <c r="T189" s="105">
        <v>27870</v>
      </c>
    </row>
    <row r="190" spans="1:20" x14ac:dyDescent="0.25">
      <c r="A190" s="17" t="str">
        <f t="shared" si="12"/>
        <v>CIRF  914*8</v>
      </c>
      <c r="B190" s="33">
        <f t="shared" si="13"/>
        <v>178.74656889276775</v>
      </c>
      <c r="C190" s="17">
        <v>914</v>
      </c>
      <c r="D190" s="17">
        <v>8</v>
      </c>
      <c r="E190" s="17"/>
      <c r="F190" s="17"/>
      <c r="G190" s="17"/>
      <c r="H190" s="33">
        <f t="shared" si="14"/>
        <v>227.70263553218822</v>
      </c>
      <c r="I190" s="57">
        <f t="shared" si="15"/>
        <v>233651.36688546665</v>
      </c>
      <c r="J190" s="57">
        <f t="shared" si="16"/>
        <v>5112.7213760495979</v>
      </c>
      <c r="K190" s="106">
        <v>6567</v>
      </c>
      <c r="L190" s="96">
        <f t="shared" si="17"/>
        <v>32.0331859171079</v>
      </c>
      <c r="M190" s="96"/>
      <c r="N190" s="96"/>
      <c r="O190" s="96"/>
      <c r="P190" s="96"/>
      <c r="Q190" s="96"/>
      <c r="R190" s="96"/>
      <c r="S190" s="17">
        <v>467300</v>
      </c>
      <c r="T190">
        <v>10230</v>
      </c>
    </row>
    <row r="191" spans="1:20" x14ac:dyDescent="0.25">
      <c r="A191" s="17" t="str">
        <f t="shared" si="12"/>
        <v>CIRF  914*10</v>
      </c>
      <c r="B191" s="33">
        <f t="shared" si="13"/>
        <v>222.93998106934609</v>
      </c>
      <c r="C191" s="17">
        <v>914</v>
      </c>
      <c r="D191" s="17">
        <v>10</v>
      </c>
      <c r="E191" s="17"/>
      <c r="F191" s="17"/>
      <c r="G191" s="17"/>
      <c r="H191" s="33">
        <f t="shared" si="14"/>
        <v>283.99997588451731</v>
      </c>
      <c r="I191" s="57">
        <f t="shared" si="15"/>
        <v>290147.15536253771</v>
      </c>
      <c r="J191" s="57">
        <f t="shared" si="16"/>
        <v>6348.9530713903214</v>
      </c>
      <c r="K191" s="106">
        <v>8172</v>
      </c>
      <c r="L191" s="96">
        <f t="shared" si="17"/>
        <v>31.963181944230772</v>
      </c>
      <c r="M191" s="96"/>
      <c r="N191" s="96"/>
      <c r="O191" s="96"/>
      <c r="P191" s="96"/>
      <c r="Q191" s="96"/>
      <c r="R191" s="96"/>
      <c r="S191" s="17">
        <v>580300</v>
      </c>
      <c r="T191">
        <v>12700</v>
      </c>
    </row>
    <row r="192" spans="1:20" x14ac:dyDescent="0.25">
      <c r="A192" s="17" t="str">
        <f t="shared" si="12"/>
        <v>CIRF  914*12</v>
      </c>
      <c r="B192" s="33">
        <f t="shared" si="13"/>
        <v>266.93610122727898</v>
      </c>
      <c r="C192" s="17">
        <v>914</v>
      </c>
      <c r="D192" s="17">
        <v>12</v>
      </c>
      <c r="E192" s="17"/>
      <c r="F192" s="17"/>
      <c r="G192" s="17"/>
      <c r="H192" s="33">
        <f t="shared" si="14"/>
        <v>340.04598882455917</v>
      </c>
      <c r="I192" s="57">
        <f t="shared" si="15"/>
        <v>345889.6791425093</v>
      </c>
      <c r="J192" s="57">
        <f t="shared" si="16"/>
        <v>7568.7019506019533</v>
      </c>
      <c r="K192" s="106">
        <v>9764</v>
      </c>
      <c r="L192" s="96">
        <f t="shared" si="17"/>
        <v>31.893337862318521</v>
      </c>
      <c r="M192" s="96"/>
      <c r="N192" s="96"/>
      <c r="O192" s="96"/>
      <c r="P192" s="96"/>
      <c r="Q192" s="96"/>
      <c r="R192" s="96"/>
      <c r="S192" s="17">
        <v>691800</v>
      </c>
      <c r="T192">
        <v>15140</v>
      </c>
    </row>
    <row r="193" spans="1:20" x14ac:dyDescent="0.25">
      <c r="A193" s="17" t="str">
        <f t="shared" si="12"/>
        <v>CIRF  914*12.5</v>
      </c>
      <c r="B193" s="33">
        <f t="shared" si="13"/>
        <v>277.90430438884886</v>
      </c>
      <c r="C193" s="17">
        <v>914</v>
      </c>
      <c r="D193" s="17">
        <v>12.5</v>
      </c>
      <c r="E193" s="17"/>
      <c r="F193" s="17"/>
      <c r="G193" s="17"/>
      <c r="H193" s="33">
        <f t="shared" si="14"/>
        <v>354.01822215139981</v>
      </c>
      <c r="I193" s="57">
        <f t="shared" si="15"/>
        <v>359708.40128831705</v>
      </c>
      <c r="J193" s="57">
        <f t="shared" si="16"/>
        <v>7871.0809909916197</v>
      </c>
      <c r="K193" s="106">
        <v>10159</v>
      </c>
      <c r="L193" s="96">
        <f t="shared" si="17"/>
        <v>31.875901948023369</v>
      </c>
      <c r="M193" s="96"/>
      <c r="N193" s="96"/>
      <c r="O193" s="96"/>
      <c r="P193" s="96"/>
      <c r="Q193" s="96"/>
      <c r="R193" s="96"/>
      <c r="S193" s="17">
        <v>719400</v>
      </c>
      <c r="T193">
        <v>15740</v>
      </c>
    </row>
    <row r="194" spans="1:20" x14ac:dyDescent="0.25">
      <c r="A194" s="17" t="str">
        <f t="shared" si="12"/>
        <v>CIRF  914*16</v>
      </c>
      <c r="B194" s="33">
        <f t="shared" si="13"/>
        <v>354.3364654872085</v>
      </c>
      <c r="C194" s="17">
        <v>914</v>
      </c>
      <c r="D194" s="17">
        <v>16</v>
      </c>
      <c r="E194" s="17"/>
      <c r="F194" s="17"/>
      <c r="G194" s="17"/>
      <c r="H194" s="33">
        <f t="shared" si="14"/>
        <v>451.38403246778154</v>
      </c>
      <c r="I194" s="57">
        <f t="shared" si="15"/>
        <v>455141.80453807575</v>
      </c>
      <c r="J194" s="57">
        <f t="shared" si="16"/>
        <v>9959.3392677915908</v>
      </c>
      <c r="K194" s="106">
        <v>12904</v>
      </c>
      <c r="L194" s="96">
        <f t="shared" si="17"/>
        <v>31.754133589188037</v>
      </c>
      <c r="M194" s="96"/>
      <c r="N194" s="96"/>
      <c r="O194" s="96"/>
      <c r="P194" s="96"/>
      <c r="Q194" s="96"/>
      <c r="R194" s="96"/>
      <c r="S194" s="17">
        <v>910300</v>
      </c>
      <c r="T194">
        <v>19920</v>
      </c>
    </row>
    <row r="195" spans="1:20" x14ac:dyDescent="0.25">
      <c r="A195" s="17" t="str">
        <f t="shared" si="12"/>
        <v>CIRF  914*20</v>
      </c>
      <c r="B195" s="33">
        <f t="shared" si="13"/>
        <v>440.94766167255625</v>
      </c>
      <c r="C195" s="17">
        <v>914</v>
      </c>
      <c r="D195" s="17">
        <v>20</v>
      </c>
      <c r="E195" s="17"/>
      <c r="F195" s="17"/>
      <c r="G195" s="17"/>
      <c r="H195" s="33">
        <f t="shared" si="14"/>
        <v>561.71676646185506</v>
      </c>
      <c r="I195" s="57">
        <f t="shared" si="15"/>
        <v>561461.18533311493</v>
      </c>
      <c r="J195" s="57">
        <f t="shared" si="16"/>
        <v>12285.802742518925</v>
      </c>
      <c r="K195" s="106">
        <v>15987</v>
      </c>
      <c r="L195" s="96">
        <f t="shared" si="17"/>
        <v>31.615581601482521</v>
      </c>
      <c r="M195" s="96"/>
      <c r="N195" s="96"/>
      <c r="O195" s="96"/>
      <c r="P195" s="96"/>
      <c r="Q195" s="96"/>
      <c r="R195" s="96"/>
      <c r="S195" s="17">
        <v>1123000</v>
      </c>
      <c r="T195">
        <v>24570</v>
      </c>
    </row>
    <row r="196" spans="1:20" x14ac:dyDescent="0.25">
      <c r="A196" s="17" t="str">
        <f t="shared" ref="A196:A224" si="18">$B$3&amp;"  "&amp;C196&amp;"*"&amp;D196</f>
        <v>CIRF  914*25</v>
      </c>
      <c r="B196" s="33">
        <f t="shared" ref="B196:B224" si="19">H196*0.785</f>
        <v>548.10188929936032</v>
      </c>
      <c r="C196" s="17">
        <v>914</v>
      </c>
      <c r="D196" s="17">
        <v>25</v>
      </c>
      <c r="E196" s="17"/>
      <c r="F196" s="17"/>
      <c r="G196" s="17"/>
      <c r="H196" s="33">
        <f t="shared" ref="H196:H224" si="20">(C196^2-(C196-2*D196)^2)*PI()*0.01/4</f>
        <v>698.21896726033162</v>
      </c>
      <c r="I196" s="57">
        <f t="shared" ref="I196:I224" si="21">(C196^4-(C196-2*D196)^4)*PI()*0.0001/64</f>
        <v>690316.87409836275</v>
      </c>
      <c r="J196" s="57">
        <f t="shared" ref="J196:J224" si="22">I196/(C196*0.5*0.1)</f>
        <v>15105.402059045136</v>
      </c>
      <c r="K196" s="106">
        <v>19763</v>
      </c>
      <c r="L196" s="96">
        <f t="shared" ref="L196:L224" si="23">SQRT(I196/H196)</f>
        <v>31.443322025511232</v>
      </c>
      <c r="M196" s="96"/>
      <c r="N196" s="96"/>
      <c r="O196" s="96"/>
      <c r="P196" s="96"/>
      <c r="Q196" s="96"/>
      <c r="R196" s="96"/>
      <c r="S196" s="17">
        <v>1381000</v>
      </c>
      <c r="T196">
        <v>30210</v>
      </c>
    </row>
    <row r="197" spans="1:20" x14ac:dyDescent="0.25">
      <c r="A197" s="17" t="str">
        <f t="shared" si="18"/>
        <v>CIRF  914*30</v>
      </c>
      <c r="B197" s="33">
        <f t="shared" si="19"/>
        <v>654.02304180963029</v>
      </c>
      <c r="C197" s="17">
        <v>914</v>
      </c>
      <c r="D197" s="17">
        <v>30</v>
      </c>
      <c r="E197" s="17"/>
      <c r="F197" s="17"/>
      <c r="G197" s="17"/>
      <c r="H197" s="33">
        <f t="shared" si="20"/>
        <v>833.15037173201313</v>
      </c>
      <c r="I197" s="57">
        <f t="shared" si="21"/>
        <v>814775.24028346362</v>
      </c>
      <c r="J197" s="57">
        <f t="shared" si="22"/>
        <v>17828.779874911674</v>
      </c>
      <c r="K197" s="106">
        <v>23453</v>
      </c>
      <c r="L197" s="96">
        <f t="shared" si="23"/>
        <v>31.272112176826177</v>
      </c>
      <c r="M197" s="96"/>
      <c r="N197" s="96"/>
      <c r="O197" s="96"/>
      <c r="P197" s="96"/>
      <c r="Q197" s="96"/>
      <c r="R197" s="96"/>
      <c r="S197" s="17">
        <v>1630000</v>
      </c>
      <c r="T197">
        <v>35660</v>
      </c>
    </row>
    <row r="198" spans="1:20" x14ac:dyDescent="0.25">
      <c r="A198" s="97" t="str">
        <f t="shared" si="18"/>
        <v>CIRF  1016*8</v>
      </c>
      <c r="B198" s="38">
        <f t="shared" si="19"/>
        <v>198.87035479460255</v>
      </c>
      <c r="C198" s="37">
        <v>1016</v>
      </c>
      <c r="D198" s="37">
        <v>8</v>
      </c>
      <c r="E198" s="37"/>
      <c r="F198" s="37"/>
      <c r="G198" s="37"/>
      <c r="H198" s="38">
        <f t="shared" si="20"/>
        <v>253.33803158548093</v>
      </c>
      <c r="I198" s="54">
        <f t="shared" si="21"/>
        <v>321779.83419861447</v>
      </c>
      <c r="J198" s="54">
        <f t="shared" si="22"/>
        <v>6334.2487046971346</v>
      </c>
      <c r="K198" s="107">
        <v>8129</v>
      </c>
      <c r="L198" s="98">
        <f t="shared" si="23"/>
        <v>35.639304145844378</v>
      </c>
      <c r="M198" s="98"/>
      <c r="N198" s="98"/>
      <c r="O198" s="98"/>
      <c r="P198" s="98"/>
      <c r="Q198" s="98"/>
      <c r="R198" s="98"/>
      <c r="S198" s="37">
        <v>643600</v>
      </c>
      <c r="T198" s="99">
        <v>12670</v>
      </c>
    </row>
    <row r="199" spans="1:20" x14ac:dyDescent="0.25">
      <c r="A199" s="100" t="str">
        <f t="shared" si="18"/>
        <v>CIRF  1016*10</v>
      </c>
      <c r="B199" s="44">
        <f t="shared" si="19"/>
        <v>248.09471344663956</v>
      </c>
      <c r="C199" s="43">
        <v>1016</v>
      </c>
      <c r="D199" s="43">
        <v>10</v>
      </c>
      <c r="E199" s="43"/>
      <c r="F199" s="43"/>
      <c r="G199" s="43"/>
      <c r="H199" s="44">
        <f t="shared" si="20"/>
        <v>316.04422095113318</v>
      </c>
      <c r="I199" s="55">
        <f t="shared" si="21"/>
        <v>399849.66702074523</v>
      </c>
      <c r="J199" s="55">
        <f t="shared" si="22"/>
        <v>7871.0564374162441</v>
      </c>
      <c r="K199" s="108">
        <v>10121</v>
      </c>
      <c r="L199" s="101">
        <f t="shared" si="23"/>
        <v>35.569228273888655</v>
      </c>
      <c r="M199" s="101"/>
      <c r="N199" s="101"/>
      <c r="O199" s="101"/>
      <c r="P199" s="101"/>
      <c r="Q199" s="101"/>
      <c r="R199" s="101"/>
      <c r="S199" s="43">
        <v>799700</v>
      </c>
      <c r="T199" s="102">
        <v>15740</v>
      </c>
    </row>
    <row r="200" spans="1:20" x14ac:dyDescent="0.25">
      <c r="A200" s="100" t="str">
        <f t="shared" si="18"/>
        <v>CIRF  1016*12</v>
      </c>
      <c r="B200" s="44">
        <f t="shared" si="19"/>
        <v>297.12178008003116</v>
      </c>
      <c r="C200" s="43">
        <v>1016</v>
      </c>
      <c r="D200" s="43">
        <v>12</v>
      </c>
      <c r="E200" s="43"/>
      <c r="F200" s="43"/>
      <c r="G200" s="43"/>
      <c r="H200" s="44">
        <f t="shared" si="20"/>
        <v>378.49908290449827</v>
      </c>
      <c r="I200" s="55">
        <f t="shared" si="21"/>
        <v>476984.54427624878</v>
      </c>
      <c r="J200" s="55">
        <f t="shared" si="22"/>
        <v>9389.4595329970216</v>
      </c>
      <c r="K200" s="108">
        <v>12097</v>
      </c>
      <c r="L200" s="101">
        <f t="shared" si="23"/>
        <v>35.499295767662773</v>
      </c>
      <c r="M200" s="101"/>
      <c r="N200" s="101"/>
      <c r="O200" s="101"/>
      <c r="P200" s="101"/>
      <c r="Q200" s="101"/>
      <c r="R200" s="101"/>
      <c r="S200" s="43">
        <v>954000</v>
      </c>
      <c r="T200" s="102">
        <v>18780</v>
      </c>
    </row>
    <row r="201" spans="1:20" x14ac:dyDescent="0.25">
      <c r="A201" s="100" t="str">
        <f t="shared" si="18"/>
        <v>CIRF  1016*12.5</v>
      </c>
      <c r="B201" s="44">
        <f t="shared" si="19"/>
        <v>309.3477198604657</v>
      </c>
      <c r="C201" s="43">
        <v>1016</v>
      </c>
      <c r="D201" s="43">
        <v>12.5</v>
      </c>
      <c r="E201" s="43"/>
      <c r="F201" s="43"/>
      <c r="G201" s="43"/>
      <c r="H201" s="44">
        <f t="shared" si="20"/>
        <v>394.07352848466968</v>
      </c>
      <c r="I201" s="55">
        <f t="shared" si="21"/>
        <v>496123.05571701512</v>
      </c>
      <c r="J201" s="55">
        <f t="shared" si="22"/>
        <v>9766.2018841932095</v>
      </c>
      <c r="K201" s="108">
        <v>12588</v>
      </c>
      <c r="L201" s="101">
        <f t="shared" si="23"/>
        <v>35.481835141379037</v>
      </c>
      <c r="M201" s="101"/>
      <c r="N201" s="101"/>
      <c r="O201" s="101"/>
      <c r="P201" s="101"/>
      <c r="Q201" s="101"/>
      <c r="R201" s="101"/>
      <c r="S201" s="43">
        <v>992200</v>
      </c>
      <c r="T201" s="102">
        <v>19530</v>
      </c>
    </row>
    <row r="202" spans="1:20" x14ac:dyDescent="0.25">
      <c r="A202" s="100" t="str">
        <f t="shared" si="18"/>
        <v>CIRF  1016*16</v>
      </c>
      <c r="B202" s="44">
        <f t="shared" si="19"/>
        <v>394.58403729087803</v>
      </c>
      <c r="C202" s="43">
        <v>1016</v>
      </c>
      <c r="D202" s="43">
        <v>16</v>
      </c>
      <c r="E202" s="43"/>
      <c r="F202" s="43"/>
      <c r="G202" s="43"/>
      <c r="H202" s="44">
        <f t="shared" si="20"/>
        <v>502.6548245743669</v>
      </c>
      <c r="I202" s="55">
        <f t="shared" si="21"/>
        <v>628479.38026182249</v>
      </c>
      <c r="J202" s="55">
        <f t="shared" si="22"/>
        <v>12371.641343736663</v>
      </c>
      <c r="K202" s="108">
        <v>16001</v>
      </c>
      <c r="L202" s="101">
        <f t="shared" si="23"/>
        <v>35.359864253133104</v>
      </c>
      <c r="M202" s="101"/>
      <c r="N202" s="101"/>
      <c r="O202" s="101"/>
      <c r="P202" s="101"/>
      <c r="Q202" s="101"/>
      <c r="R202" s="101"/>
      <c r="S202" s="43">
        <v>1257000</v>
      </c>
      <c r="T202" s="102">
        <v>24740</v>
      </c>
    </row>
    <row r="203" spans="1:20" x14ac:dyDescent="0.25">
      <c r="A203" s="100" t="str">
        <f t="shared" si="18"/>
        <v>CIRF  1016*20</v>
      </c>
      <c r="B203" s="44">
        <f t="shared" si="19"/>
        <v>491.25712642714313</v>
      </c>
      <c r="C203" s="43">
        <v>1016</v>
      </c>
      <c r="D203" s="43">
        <v>20</v>
      </c>
      <c r="E203" s="43"/>
      <c r="F203" s="43"/>
      <c r="G203" s="43"/>
      <c r="H203" s="44">
        <f t="shared" si="20"/>
        <v>625.8052565950868</v>
      </c>
      <c r="I203" s="55">
        <f t="shared" si="21"/>
        <v>776323.93691133708</v>
      </c>
      <c r="J203" s="55">
        <f t="shared" si="22"/>
        <v>15281.967262034193</v>
      </c>
      <c r="K203" s="108">
        <v>19843</v>
      </c>
      <c r="L203" s="101">
        <f t="shared" si="23"/>
        <v>35.221016453248481</v>
      </c>
      <c r="M203" s="101"/>
      <c r="N203" s="101"/>
      <c r="O203" s="101"/>
      <c r="P203" s="101"/>
      <c r="Q203" s="101"/>
      <c r="R203" s="101"/>
      <c r="S203" s="43">
        <v>1553000</v>
      </c>
      <c r="T203" s="102">
        <v>30560</v>
      </c>
    </row>
    <row r="204" spans="1:20" x14ac:dyDescent="0.25">
      <c r="A204" s="100" t="str">
        <f t="shared" si="18"/>
        <v>CIRF  1016*25</v>
      </c>
      <c r="B204" s="44">
        <f t="shared" si="19"/>
        <v>610.9887202425939</v>
      </c>
      <c r="C204" s="43">
        <v>1016</v>
      </c>
      <c r="D204" s="43">
        <v>25</v>
      </c>
      <c r="E204" s="43"/>
      <c r="F204" s="43"/>
      <c r="G204" s="43"/>
      <c r="H204" s="44">
        <f t="shared" si="20"/>
        <v>778.32957992687125</v>
      </c>
      <c r="I204" s="55">
        <f t="shared" si="21"/>
        <v>956086.43521451997</v>
      </c>
      <c r="J204" s="55">
        <f t="shared" si="22"/>
        <v>18820.599118396061</v>
      </c>
      <c r="K204" s="108">
        <v>24557</v>
      </c>
      <c r="L204" s="101">
        <f t="shared" si="23"/>
        <v>35.048288117966621</v>
      </c>
      <c r="M204" s="101"/>
      <c r="N204" s="101"/>
      <c r="O204" s="101"/>
      <c r="P204" s="101"/>
      <c r="Q204" s="101"/>
      <c r="R204" s="101"/>
      <c r="S204" s="43">
        <v>1912000</v>
      </c>
      <c r="T204" s="102">
        <v>37640</v>
      </c>
    </row>
    <row r="205" spans="1:20" x14ac:dyDescent="0.25">
      <c r="A205" s="103" t="str">
        <f t="shared" si="18"/>
        <v>CIRF  1016*30</v>
      </c>
      <c r="B205" s="50">
        <f t="shared" si="19"/>
        <v>729.48723894151078</v>
      </c>
      <c r="C205" s="49">
        <v>1016</v>
      </c>
      <c r="D205" s="49">
        <v>30</v>
      </c>
      <c r="E205" s="49"/>
      <c r="F205" s="49"/>
      <c r="G205" s="49"/>
      <c r="H205" s="50">
        <f t="shared" si="20"/>
        <v>929.28310693186086</v>
      </c>
      <c r="I205" s="56">
        <f t="shared" si="21"/>
        <v>1130352.0927787076</v>
      </c>
      <c r="J205" s="56">
        <f t="shared" si="22"/>
        <v>22251.025448399756</v>
      </c>
      <c r="K205" s="109">
        <v>29175</v>
      </c>
      <c r="L205" s="104">
        <f t="shared" si="23"/>
        <v>34.876496383667899</v>
      </c>
      <c r="M205" s="104"/>
      <c r="N205" s="104"/>
      <c r="O205" s="104"/>
      <c r="P205" s="104"/>
      <c r="Q205" s="104"/>
      <c r="R205" s="104"/>
      <c r="S205" s="49">
        <v>2261000</v>
      </c>
      <c r="T205" s="105">
        <v>44500</v>
      </c>
    </row>
    <row r="206" spans="1:20" x14ac:dyDescent="0.25">
      <c r="A206" s="17" t="str">
        <f t="shared" si="18"/>
        <v>CIRF  1067*10</v>
      </c>
      <c r="B206" s="33">
        <f t="shared" si="19"/>
        <v>260.67207963528631</v>
      </c>
      <c r="C206" s="17">
        <v>1067</v>
      </c>
      <c r="D206" s="17">
        <v>10</v>
      </c>
      <c r="E206" s="17"/>
      <c r="F206" s="17"/>
      <c r="G206" s="17"/>
      <c r="H206" s="33">
        <f t="shared" si="20"/>
        <v>332.06634348444118</v>
      </c>
      <c r="I206" s="57">
        <f t="shared" si="21"/>
        <v>463792.49603249598</v>
      </c>
      <c r="J206" s="57">
        <f t="shared" si="22"/>
        <v>8693.3926154169822</v>
      </c>
      <c r="K206" s="106">
        <v>11173</v>
      </c>
      <c r="L206" s="96">
        <f t="shared" si="23"/>
        <v>37.37226578627525</v>
      </c>
      <c r="M206" s="96"/>
      <c r="N206" s="96"/>
      <c r="O206" s="96"/>
      <c r="P206" s="96"/>
      <c r="Q206" s="96"/>
      <c r="R206" s="96"/>
      <c r="S206" s="17">
        <v>927600</v>
      </c>
      <c r="T206">
        <v>17390</v>
      </c>
    </row>
    <row r="207" spans="1:20" x14ac:dyDescent="0.25">
      <c r="A207" s="17" t="str">
        <f t="shared" si="18"/>
        <v>CIRF  1067*12</v>
      </c>
      <c r="B207" s="33">
        <f t="shared" si="19"/>
        <v>312.21461950640725</v>
      </c>
      <c r="C207" s="17">
        <v>1067</v>
      </c>
      <c r="D207" s="17">
        <v>12</v>
      </c>
      <c r="E207" s="17"/>
      <c r="F207" s="17"/>
      <c r="G207" s="17"/>
      <c r="H207" s="33">
        <f t="shared" si="20"/>
        <v>397.72562994446781</v>
      </c>
      <c r="I207" s="57">
        <f t="shared" si="21"/>
        <v>553419.80219956662</v>
      </c>
      <c r="J207" s="57">
        <f t="shared" si="22"/>
        <v>10373.379610113714</v>
      </c>
      <c r="K207" s="106">
        <v>13357</v>
      </c>
      <c r="L207" s="96">
        <f t="shared" si="23"/>
        <v>37.302295505772832</v>
      </c>
      <c r="M207" s="96"/>
      <c r="N207" s="96"/>
      <c r="O207" s="96"/>
      <c r="P207" s="96"/>
      <c r="Q207" s="96"/>
      <c r="R207" s="96"/>
      <c r="S207" s="17">
        <v>1107000</v>
      </c>
      <c r="T207">
        <v>20750</v>
      </c>
    </row>
    <row r="208" spans="1:20" x14ac:dyDescent="0.25">
      <c r="A208" s="17" t="str">
        <f t="shared" si="18"/>
        <v>CIRF  1067*12.5</v>
      </c>
      <c r="B208" s="33">
        <f t="shared" si="19"/>
        <v>325.06942759627412</v>
      </c>
      <c r="C208" s="17">
        <v>1067</v>
      </c>
      <c r="D208" s="17">
        <v>12.5</v>
      </c>
      <c r="E208" s="17"/>
      <c r="F208" s="17"/>
      <c r="G208" s="17"/>
      <c r="H208" s="33">
        <f t="shared" si="20"/>
        <v>414.10118165130461</v>
      </c>
      <c r="I208" s="57">
        <f t="shared" si="21"/>
        <v>575666.12224466202</v>
      </c>
      <c r="J208" s="57">
        <f t="shared" si="22"/>
        <v>10790.367802149241</v>
      </c>
      <c r="K208" s="106">
        <v>13900</v>
      </c>
      <c r="L208" s="96">
        <f t="shared" si="23"/>
        <v>37.284824325722653</v>
      </c>
      <c r="M208" s="96"/>
      <c r="N208" s="96"/>
      <c r="O208" s="96"/>
      <c r="P208" s="96"/>
      <c r="Q208" s="96"/>
      <c r="R208" s="96"/>
      <c r="S208" s="17">
        <v>1151000</v>
      </c>
      <c r="T208">
        <v>21580</v>
      </c>
    </row>
    <row r="209" spans="1:20" x14ac:dyDescent="0.25">
      <c r="A209" s="17" t="str">
        <f t="shared" si="18"/>
        <v>CIRF  1067*16</v>
      </c>
      <c r="B209" s="33">
        <f t="shared" si="19"/>
        <v>414.70782319271274</v>
      </c>
      <c r="C209" s="17">
        <v>1067</v>
      </c>
      <c r="D209" s="17">
        <v>16</v>
      </c>
      <c r="E209" s="17"/>
      <c r="F209" s="17"/>
      <c r="G209" s="17"/>
      <c r="H209" s="33">
        <f t="shared" si="20"/>
        <v>528.29022062765955</v>
      </c>
      <c r="I209" s="57">
        <f t="shared" si="21"/>
        <v>729606.43536501762</v>
      </c>
      <c r="J209" s="57">
        <f t="shared" si="22"/>
        <v>13675.846960918792</v>
      </c>
      <c r="K209" s="106">
        <v>17675</v>
      </c>
      <c r="L209" s="96">
        <f t="shared" si="23"/>
        <v>37.162766985250173</v>
      </c>
      <c r="M209" s="96"/>
      <c r="N209" s="96"/>
      <c r="O209" s="96"/>
      <c r="P209" s="96"/>
      <c r="Q209" s="96"/>
      <c r="R209" s="96"/>
      <c r="S209" s="17">
        <v>1459000</v>
      </c>
      <c r="T209">
        <v>27350</v>
      </c>
    </row>
    <row r="210" spans="1:20" x14ac:dyDescent="0.25">
      <c r="A210" s="17" t="str">
        <f t="shared" si="18"/>
        <v>CIRF  1067*20</v>
      </c>
      <c r="B210" s="33">
        <f t="shared" si="19"/>
        <v>516.41185880443663</v>
      </c>
      <c r="C210" s="17">
        <v>1067</v>
      </c>
      <c r="D210" s="17">
        <v>20</v>
      </c>
      <c r="E210" s="17"/>
      <c r="F210" s="17"/>
      <c r="G210" s="17"/>
      <c r="H210" s="33">
        <f t="shared" si="20"/>
        <v>657.84950166170267</v>
      </c>
      <c r="I210" s="57">
        <f t="shared" si="21"/>
        <v>901754.60520967259</v>
      </c>
      <c r="J210" s="57">
        <f t="shared" si="22"/>
        <v>16902.616779937631</v>
      </c>
      <c r="K210" s="106">
        <v>21927</v>
      </c>
      <c r="L210" s="96">
        <f t="shared" si="23"/>
        <v>37.023793025566683</v>
      </c>
      <c r="M210" s="96"/>
      <c r="N210" s="96"/>
      <c r="O210" s="96"/>
      <c r="P210" s="96"/>
      <c r="Q210" s="96"/>
      <c r="R210" s="96"/>
      <c r="S210" s="17">
        <v>1804000</v>
      </c>
      <c r="T210">
        <v>33810</v>
      </c>
    </row>
    <row r="211" spans="1:20" x14ac:dyDescent="0.25">
      <c r="A211" s="17" t="str">
        <f t="shared" si="18"/>
        <v>CIRF  1067*25</v>
      </c>
      <c r="B211" s="33">
        <f t="shared" si="19"/>
        <v>642.43213571421074</v>
      </c>
      <c r="C211" s="17">
        <v>1067</v>
      </c>
      <c r="D211" s="17">
        <v>25</v>
      </c>
      <c r="E211" s="17"/>
      <c r="F211" s="17"/>
      <c r="G211" s="17"/>
      <c r="H211" s="33">
        <f t="shared" si="20"/>
        <v>818.38488626014112</v>
      </c>
      <c r="I211" s="57">
        <f t="shared" si="21"/>
        <v>1111355.4227490856</v>
      </c>
      <c r="J211" s="57">
        <f t="shared" si="22"/>
        <v>20831.404362682017</v>
      </c>
      <c r="K211" s="106">
        <v>27149</v>
      </c>
      <c r="L211" s="96">
        <f t="shared" si="23"/>
        <v>36.850864983063829</v>
      </c>
      <c r="M211" s="96"/>
      <c r="N211" s="96"/>
      <c r="O211" s="96"/>
      <c r="P211" s="96"/>
      <c r="Q211" s="96"/>
      <c r="R211" s="96"/>
      <c r="S211" s="17">
        <v>2223000</v>
      </c>
      <c r="T211">
        <v>41660</v>
      </c>
    </row>
    <row r="212" spans="1:20" x14ac:dyDescent="0.25">
      <c r="A212" s="17" t="str">
        <f t="shared" si="18"/>
        <v>CIRF  1067*30</v>
      </c>
      <c r="B212" s="33">
        <f t="shared" si="19"/>
        <v>767.21933750745109</v>
      </c>
      <c r="C212" s="17">
        <v>1067</v>
      </c>
      <c r="D212" s="17">
        <v>30</v>
      </c>
      <c r="E212" s="17"/>
      <c r="F212" s="17"/>
      <c r="G212" s="17"/>
      <c r="H212" s="33">
        <f t="shared" si="20"/>
        <v>977.34947453178472</v>
      </c>
      <c r="I212" s="57">
        <f t="shared" si="21"/>
        <v>1314863.6770060619</v>
      </c>
      <c r="J212" s="57">
        <f t="shared" si="22"/>
        <v>24645.992071341367</v>
      </c>
      <c r="K212" s="106">
        <v>32270</v>
      </c>
      <c r="L212" s="96">
        <f t="shared" si="23"/>
        <v>36.678825635508019</v>
      </c>
      <c r="M212" s="96"/>
      <c r="N212" s="96"/>
      <c r="O212" s="96"/>
      <c r="P212" s="96"/>
      <c r="Q212" s="96"/>
      <c r="R212" s="96"/>
      <c r="S212" s="17">
        <v>2630000</v>
      </c>
      <c r="T212">
        <v>49290</v>
      </c>
    </row>
    <row r="213" spans="1:20" x14ac:dyDescent="0.25">
      <c r="A213" s="97" t="str">
        <f t="shared" si="18"/>
        <v>CIRF  1168*10</v>
      </c>
      <c r="B213" s="38">
        <f t="shared" si="19"/>
        <v>285.58019698927296</v>
      </c>
      <c r="C213" s="37">
        <v>1168</v>
      </c>
      <c r="D213" s="37">
        <v>10</v>
      </c>
      <c r="E213" s="37"/>
      <c r="F213" s="37"/>
      <c r="G213" s="37"/>
      <c r="H213" s="38">
        <f t="shared" si="20"/>
        <v>363.79642928569803</v>
      </c>
      <c r="I213" s="54">
        <f t="shared" si="21"/>
        <v>609842.86830449419</v>
      </c>
      <c r="J213" s="54">
        <f t="shared" si="22"/>
        <v>10442.514868227639</v>
      </c>
      <c r="K213" s="107">
        <v>13410</v>
      </c>
      <c r="L213" s="98">
        <f t="shared" si="23"/>
        <v>40.943009171285887</v>
      </c>
      <c r="M213" s="98"/>
      <c r="N213" s="98"/>
      <c r="O213" s="98"/>
      <c r="P213" s="98"/>
      <c r="Q213" s="98"/>
      <c r="R213" s="98"/>
      <c r="S213" s="37">
        <v>1220000</v>
      </c>
      <c r="T213" s="99">
        <v>20890</v>
      </c>
    </row>
    <row r="214" spans="1:20" x14ac:dyDescent="0.25">
      <c r="A214" s="100" t="str">
        <f t="shared" si="18"/>
        <v>CIRF  1168*12</v>
      </c>
      <c r="B214" s="44">
        <f t="shared" si="19"/>
        <v>342.10436033119129</v>
      </c>
      <c r="C214" s="43">
        <v>1168</v>
      </c>
      <c r="D214" s="43">
        <v>12</v>
      </c>
      <c r="E214" s="43"/>
      <c r="F214" s="43"/>
      <c r="G214" s="43"/>
      <c r="H214" s="44">
        <f t="shared" si="20"/>
        <v>435.80173290597611</v>
      </c>
      <c r="I214" s="55">
        <f t="shared" si="21"/>
        <v>728050.37499272369</v>
      </c>
      <c r="J214" s="55">
        <f t="shared" si="22"/>
        <v>12466.616010149377</v>
      </c>
      <c r="K214" s="108">
        <v>16037</v>
      </c>
      <c r="L214" s="101">
        <f t="shared" si="23"/>
        <v>40.872973955903916</v>
      </c>
      <c r="M214" s="101"/>
      <c r="N214" s="101"/>
      <c r="O214" s="101"/>
      <c r="P214" s="101"/>
      <c r="Q214" s="101"/>
      <c r="R214" s="101"/>
      <c r="S214" s="43">
        <v>1456000</v>
      </c>
      <c r="T214" s="102">
        <v>24930</v>
      </c>
    </row>
    <row r="215" spans="1:20" x14ac:dyDescent="0.25">
      <c r="A215" s="100" t="str">
        <f t="shared" si="18"/>
        <v>CIRF  1168*12.5</v>
      </c>
      <c r="B215" s="44">
        <f t="shared" si="19"/>
        <v>356.2045742887575</v>
      </c>
      <c r="C215" s="43">
        <v>1168</v>
      </c>
      <c r="D215" s="43">
        <v>12.5</v>
      </c>
      <c r="E215" s="43"/>
      <c r="F215" s="43"/>
      <c r="G215" s="43"/>
      <c r="H215" s="44">
        <f t="shared" si="20"/>
        <v>453.76378890287577</v>
      </c>
      <c r="I215" s="55">
        <f t="shared" si="21"/>
        <v>757409.1871253812</v>
      </c>
      <c r="J215" s="55">
        <f t="shared" si="22"/>
        <v>12969.335395982553</v>
      </c>
      <c r="K215" s="108">
        <v>16690</v>
      </c>
      <c r="L215" s="101">
        <f t="shared" si="23"/>
        <v>40.855484637928356</v>
      </c>
      <c r="M215" s="101"/>
      <c r="N215" s="101"/>
      <c r="O215" s="101"/>
      <c r="P215" s="101"/>
      <c r="Q215" s="101"/>
      <c r="R215" s="101"/>
      <c r="S215" s="43">
        <v>1515000</v>
      </c>
      <c r="T215" s="102">
        <v>25940</v>
      </c>
    </row>
    <row r="216" spans="1:20" x14ac:dyDescent="0.25">
      <c r="A216" s="100" t="str">
        <f t="shared" si="18"/>
        <v>CIRF  1168*16</v>
      </c>
      <c r="B216" s="44">
        <f t="shared" si="19"/>
        <v>454.5608109590915</v>
      </c>
      <c r="C216" s="43">
        <v>1168</v>
      </c>
      <c r="D216" s="43">
        <v>16</v>
      </c>
      <c r="E216" s="43"/>
      <c r="F216" s="43"/>
      <c r="G216" s="43"/>
      <c r="H216" s="44">
        <f t="shared" si="20"/>
        <v>579.05835790967069</v>
      </c>
      <c r="I216" s="55">
        <f t="shared" si="21"/>
        <v>960773.62744372559</v>
      </c>
      <c r="J216" s="55">
        <f t="shared" si="22"/>
        <v>16451.603209652832</v>
      </c>
      <c r="K216" s="108">
        <v>21235</v>
      </c>
      <c r="L216" s="101">
        <f t="shared" si="23"/>
        <v>40.733278777923097</v>
      </c>
      <c r="M216" s="101"/>
      <c r="N216" s="101"/>
      <c r="O216" s="101"/>
      <c r="P216" s="101"/>
      <c r="Q216" s="101"/>
      <c r="R216" s="101"/>
      <c r="S216" s="43">
        <v>1922000</v>
      </c>
      <c r="T216" s="102">
        <v>32900</v>
      </c>
    </row>
    <row r="217" spans="1:20" x14ac:dyDescent="0.25">
      <c r="A217" s="100" t="str">
        <f t="shared" si="18"/>
        <v>CIRF  1168*20</v>
      </c>
      <c r="B217" s="44">
        <f t="shared" si="19"/>
        <v>566.22809351241006</v>
      </c>
      <c r="C217" s="43">
        <v>1168</v>
      </c>
      <c r="D217" s="43">
        <v>20</v>
      </c>
      <c r="E217" s="43"/>
      <c r="F217" s="43"/>
      <c r="G217" s="43"/>
      <c r="H217" s="44">
        <f t="shared" si="20"/>
        <v>721.3096732642166</v>
      </c>
      <c r="I217" s="55">
        <f t="shared" si="21"/>
        <v>1188631.7843786371</v>
      </c>
      <c r="J217" s="55">
        <f t="shared" si="22"/>
        <v>20353.283979086249</v>
      </c>
      <c r="K217" s="108">
        <v>26361</v>
      </c>
      <c r="L217" s="101">
        <f t="shared" si="23"/>
        <v>40.594088239545421</v>
      </c>
      <c r="M217" s="101"/>
      <c r="N217" s="101"/>
      <c r="O217" s="101"/>
      <c r="P217" s="101"/>
      <c r="Q217" s="101"/>
      <c r="R217" s="101"/>
      <c r="S217" s="43">
        <v>2377000</v>
      </c>
      <c r="T217" s="102">
        <v>40710</v>
      </c>
    </row>
    <row r="218" spans="1:20" x14ac:dyDescent="0.25">
      <c r="A218" s="103" t="str">
        <f t="shared" si="18"/>
        <v>CIRF  1168*25</v>
      </c>
      <c r="B218" s="50">
        <f t="shared" si="19"/>
        <v>704.70242909917749</v>
      </c>
      <c r="C218" s="49">
        <v>1168</v>
      </c>
      <c r="D218" s="49">
        <v>25</v>
      </c>
      <c r="E218" s="49"/>
      <c r="F218" s="49"/>
      <c r="G218" s="49"/>
      <c r="H218" s="50">
        <f t="shared" si="20"/>
        <v>897.71010076328344</v>
      </c>
      <c r="I218" s="56">
        <f t="shared" si="21"/>
        <v>1466716.9153063348</v>
      </c>
      <c r="J218" s="56">
        <f t="shared" si="22"/>
        <v>25115.015673053676</v>
      </c>
      <c r="K218" s="109">
        <v>32666</v>
      </c>
      <c r="L218" s="104">
        <f t="shared" si="23"/>
        <v>40.420817656252325</v>
      </c>
      <c r="M218" s="104"/>
      <c r="N218" s="104"/>
      <c r="O218" s="104"/>
      <c r="P218" s="104"/>
      <c r="Q218" s="104"/>
      <c r="R218" s="104"/>
      <c r="S218" s="49">
        <v>2933000</v>
      </c>
      <c r="T218" s="105">
        <v>50230</v>
      </c>
    </row>
    <row r="219" spans="1:20" x14ac:dyDescent="0.25">
      <c r="A219" s="17" t="str">
        <f t="shared" si="18"/>
        <v>CIRF  1219*10</v>
      </c>
      <c r="B219" s="33">
        <f t="shared" si="19"/>
        <v>298.15756317791971</v>
      </c>
      <c r="C219" s="17">
        <v>1219</v>
      </c>
      <c r="D219" s="17">
        <v>10</v>
      </c>
      <c r="E219" s="17"/>
      <c r="F219" s="17"/>
      <c r="G219" s="17"/>
      <c r="H219" s="33">
        <f t="shared" si="20"/>
        <v>379.81855181900596</v>
      </c>
      <c r="I219" s="57">
        <f t="shared" si="21"/>
        <v>694014.42812067305</v>
      </c>
      <c r="J219" s="57">
        <f t="shared" si="22"/>
        <v>11386.619001159524</v>
      </c>
      <c r="K219" s="106">
        <v>14617</v>
      </c>
      <c r="L219" s="96">
        <f t="shared" si="23"/>
        <v>42.746067070550481</v>
      </c>
      <c r="M219" s="96"/>
      <c r="N219" s="96"/>
      <c r="O219" s="96"/>
      <c r="P219" s="96"/>
      <c r="Q219" s="96"/>
      <c r="R219" s="96"/>
      <c r="S219" s="17">
        <v>1388000</v>
      </c>
      <c r="T219">
        <v>22770</v>
      </c>
    </row>
    <row r="220" spans="1:20" x14ac:dyDescent="0.25">
      <c r="A220" s="17" t="str">
        <f t="shared" si="18"/>
        <v>CIRF  1219*12</v>
      </c>
      <c r="B220" s="33">
        <f t="shared" si="19"/>
        <v>357.19719975756732</v>
      </c>
      <c r="C220" s="17">
        <v>1219</v>
      </c>
      <c r="D220" s="17">
        <v>12</v>
      </c>
      <c r="E220" s="17"/>
      <c r="F220" s="17"/>
      <c r="G220" s="17"/>
      <c r="H220" s="33">
        <f t="shared" si="20"/>
        <v>455.0282799459456</v>
      </c>
      <c r="I220" s="57">
        <f t="shared" si="21"/>
        <v>828716.27335410402</v>
      </c>
      <c r="J220" s="57">
        <f t="shared" si="22"/>
        <v>13596.657479148547</v>
      </c>
      <c r="K220" s="106">
        <v>17483</v>
      </c>
      <c r="L220" s="96">
        <f t="shared" si="23"/>
        <v>42.676003210235145</v>
      </c>
      <c r="M220" s="96"/>
      <c r="N220" s="96"/>
      <c r="O220" s="96"/>
      <c r="P220" s="96"/>
      <c r="Q220" s="96"/>
      <c r="R220" s="96"/>
      <c r="S220" s="17">
        <v>1657000</v>
      </c>
      <c r="T220">
        <v>27190</v>
      </c>
    </row>
    <row r="221" spans="1:20" x14ac:dyDescent="0.25">
      <c r="A221" s="17" t="str">
        <f t="shared" si="18"/>
        <v>CIRF  1219*12.5</v>
      </c>
      <c r="B221" s="33">
        <f t="shared" si="19"/>
        <v>371.92628202456586</v>
      </c>
      <c r="C221" s="17">
        <v>1219</v>
      </c>
      <c r="D221" s="17">
        <v>12.5</v>
      </c>
      <c r="E221" s="17"/>
      <c r="F221" s="17"/>
      <c r="G221" s="17"/>
      <c r="H221" s="33">
        <f t="shared" si="20"/>
        <v>473.79144206951065</v>
      </c>
      <c r="I221" s="57">
        <f t="shared" si="21"/>
        <v>862181.08834703814</v>
      </c>
      <c r="J221" s="57">
        <f t="shared" si="22"/>
        <v>14145.711047531388</v>
      </c>
      <c r="K221" s="106">
        <v>18196</v>
      </c>
      <c r="L221" s="96">
        <f t="shared" si="23"/>
        <v>42.65850589272906</v>
      </c>
      <c r="M221" s="96"/>
      <c r="N221" s="96"/>
      <c r="O221" s="96"/>
      <c r="P221" s="96"/>
      <c r="Q221" s="96"/>
      <c r="R221" s="96"/>
      <c r="S221" s="17">
        <v>1724000</v>
      </c>
      <c r="T221">
        <v>28290</v>
      </c>
    </row>
    <row r="222" spans="1:20" x14ac:dyDescent="0.25">
      <c r="A222" s="17" t="str">
        <f t="shared" si="18"/>
        <v>CIRF  1219*16</v>
      </c>
      <c r="B222" s="33">
        <f t="shared" si="19"/>
        <v>474.68459686092626</v>
      </c>
      <c r="C222" s="17">
        <v>1219</v>
      </c>
      <c r="D222" s="17">
        <v>16</v>
      </c>
      <c r="E222" s="17"/>
      <c r="F222" s="17"/>
      <c r="G222" s="17"/>
      <c r="H222" s="33">
        <f t="shared" si="20"/>
        <v>604.69375396296334</v>
      </c>
      <c r="I222" s="57">
        <f t="shared" si="21"/>
        <v>1094091.305725001</v>
      </c>
      <c r="J222" s="57">
        <f t="shared" si="22"/>
        <v>17950.636681296161</v>
      </c>
      <c r="K222" s="106">
        <v>23157</v>
      </c>
      <c r="L222" s="96">
        <f t="shared" si="23"/>
        <v>42.536234553613234</v>
      </c>
      <c r="M222" s="96"/>
      <c r="N222" s="96"/>
      <c r="O222" s="96"/>
      <c r="P222" s="96"/>
      <c r="Q222" s="96"/>
      <c r="R222" s="96"/>
      <c r="S222" s="17">
        <v>2188000</v>
      </c>
      <c r="T222">
        <v>35900</v>
      </c>
    </row>
    <row r="223" spans="1:20" x14ac:dyDescent="0.25">
      <c r="A223" s="17" t="str">
        <f t="shared" si="18"/>
        <v>CIRF  1219*20</v>
      </c>
      <c r="B223" s="33">
        <f t="shared" si="19"/>
        <v>591.38282588970344</v>
      </c>
      <c r="C223" s="17">
        <v>1219</v>
      </c>
      <c r="D223" s="17">
        <v>20</v>
      </c>
      <c r="E223" s="17"/>
      <c r="F223" s="17"/>
      <c r="G223" s="17"/>
      <c r="H223" s="33">
        <f t="shared" si="20"/>
        <v>753.35391833083236</v>
      </c>
      <c r="I223" s="57">
        <f t="shared" si="21"/>
        <v>1354154.6098920691</v>
      </c>
      <c r="J223" s="57">
        <f t="shared" si="22"/>
        <v>22217.466938344038</v>
      </c>
      <c r="K223" s="106">
        <v>28755</v>
      </c>
      <c r="L223" s="96">
        <f t="shared" si="23"/>
        <v>42.396948593029663</v>
      </c>
      <c r="M223" s="96"/>
      <c r="N223" s="96"/>
      <c r="O223" s="96"/>
      <c r="P223" s="96"/>
      <c r="Q223" s="96"/>
      <c r="R223" s="96"/>
      <c r="S223" s="17">
        <v>2708000</v>
      </c>
      <c r="T223">
        <v>44430</v>
      </c>
    </row>
    <row r="224" spans="1:20" ht="15.75" thickBot="1" x14ac:dyDescent="0.3">
      <c r="A224" s="17" t="str">
        <f t="shared" si="18"/>
        <v>CIRF  1219*25</v>
      </c>
      <c r="B224" s="33">
        <f t="shared" si="19"/>
        <v>736.14584457079434</v>
      </c>
      <c r="C224" s="17">
        <v>1219</v>
      </c>
      <c r="D224" s="17">
        <v>25</v>
      </c>
      <c r="E224" s="17"/>
      <c r="F224" s="17"/>
      <c r="G224" s="17"/>
      <c r="H224" s="33">
        <f t="shared" si="20"/>
        <v>937.7654070965533</v>
      </c>
      <c r="I224" s="57">
        <f t="shared" si="21"/>
        <v>1671872.7841136716</v>
      </c>
      <c r="J224" s="57">
        <f t="shared" si="22"/>
        <v>27430.234357894529</v>
      </c>
      <c r="K224" s="106">
        <v>35646</v>
      </c>
      <c r="L224" s="96">
        <f t="shared" si="23"/>
        <v>42.223527209365159</v>
      </c>
      <c r="M224" s="96"/>
      <c r="N224" s="96"/>
      <c r="O224" s="96"/>
      <c r="P224" s="96"/>
      <c r="Q224" s="96"/>
      <c r="R224" s="96"/>
      <c r="S224" s="17">
        <v>3344000</v>
      </c>
      <c r="T224">
        <v>54860</v>
      </c>
    </row>
    <row r="225" spans="1:20" ht="16.5" thickBot="1" x14ac:dyDescent="0.3">
      <c r="A225" s="95"/>
      <c r="B225" s="28" t="s">
        <v>177</v>
      </c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30"/>
    </row>
    <row r="226" spans="1:20" x14ac:dyDescent="0.25">
      <c r="A226" s="100" t="str">
        <f>$B$225&amp;"  "&amp;C226&amp;"*"&amp;D226</f>
        <v>CIRC  21.3*2.3</v>
      </c>
      <c r="B226" s="44">
        <f t="shared" ref="B226:B289" si="24">H226*0.785</f>
        <v>1.0777076518507103</v>
      </c>
      <c r="C226" s="43">
        <v>21.3</v>
      </c>
      <c r="D226" s="43">
        <v>2.2999999999999998</v>
      </c>
      <c r="E226" s="43"/>
      <c r="F226" s="43"/>
      <c r="G226" s="43"/>
      <c r="H226" s="44">
        <f t="shared" ref="H226:H289" si="25">(C226^2-(C226-2*D226)^2)*PI()*0.01/4</f>
        <v>1.3728759896187392</v>
      </c>
      <c r="I226" s="44">
        <f t="shared" ref="I226:I289" si="26">(C226^4-(C226-2*D226)^4)*PI()*0.0001/64</f>
        <v>0.62858843279681009</v>
      </c>
      <c r="J226" s="44">
        <f t="shared" ref="J226:J289" si="27">I226/(C226*0.5*0.1)</f>
        <v>0.59022388056038499</v>
      </c>
      <c r="K226" s="45">
        <v>0.83399999999999996</v>
      </c>
      <c r="L226" s="101">
        <f t="shared" ref="L226:L289" si="28">SQRT(I226/H226)</f>
        <v>0.67665537757413863</v>
      </c>
      <c r="M226" s="101"/>
      <c r="N226" s="101"/>
      <c r="O226" s="101"/>
      <c r="P226" s="101"/>
      <c r="Q226" s="101"/>
      <c r="R226" s="101"/>
      <c r="S226" s="43">
        <v>1.2570000000000001</v>
      </c>
      <c r="T226" s="102">
        <v>1.18</v>
      </c>
    </row>
    <row r="227" spans="1:20" x14ac:dyDescent="0.25">
      <c r="A227" s="100" t="str">
        <f t="shared" ref="A227:A290" si="29">$B$225&amp;"  "&amp;C227&amp;"*"&amp;D227</f>
        <v>CIRC  21.3*2.6</v>
      </c>
      <c r="B227" s="44">
        <f t="shared" si="24"/>
        <v>1.1990422433176557</v>
      </c>
      <c r="C227" s="43">
        <v>21.3</v>
      </c>
      <c r="D227" s="43">
        <v>2.6</v>
      </c>
      <c r="E227" s="43"/>
      <c r="F227" s="43"/>
      <c r="G227" s="43"/>
      <c r="H227" s="44">
        <f t="shared" si="25"/>
        <v>1.5274423481753576</v>
      </c>
      <c r="I227" s="44">
        <f t="shared" si="26"/>
        <v>0.68057103125888285</v>
      </c>
      <c r="J227" s="44">
        <f t="shared" si="27"/>
        <v>0.63903383216796505</v>
      </c>
      <c r="K227" s="45">
        <v>0.91500000000000004</v>
      </c>
      <c r="L227" s="101">
        <f t="shared" si="28"/>
        <v>0.66750468163152232</v>
      </c>
      <c r="M227" s="101"/>
      <c r="N227" s="101"/>
      <c r="O227" s="101"/>
      <c r="P227" s="101"/>
      <c r="Q227" s="101"/>
      <c r="R227" s="101"/>
      <c r="S227" s="43">
        <v>1.361</v>
      </c>
      <c r="T227" s="102">
        <v>1.278</v>
      </c>
    </row>
    <row r="228" spans="1:20" x14ac:dyDescent="0.25">
      <c r="A228" s="103" t="str">
        <f t="shared" si="29"/>
        <v>CIRC  21.3*3.2</v>
      </c>
      <c r="B228" s="50">
        <f t="shared" si="24"/>
        <v>1.4283942149929787</v>
      </c>
      <c r="C228" s="49">
        <v>21.3</v>
      </c>
      <c r="D228" s="49">
        <v>3.2</v>
      </c>
      <c r="E228" s="49"/>
      <c r="F228" s="49"/>
      <c r="G228" s="49"/>
      <c r="H228" s="50">
        <f t="shared" si="25"/>
        <v>1.8196104649592084</v>
      </c>
      <c r="I228" s="50">
        <f t="shared" si="26"/>
        <v>0.7684442444830859</v>
      </c>
      <c r="J228" s="50">
        <f t="shared" si="27"/>
        <v>0.72154389153341392</v>
      </c>
      <c r="K228" s="50">
        <v>1.06</v>
      </c>
      <c r="L228" s="104">
        <f t="shared" si="28"/>
        <v>0.64985575322528311</v>
      </c>
      <c r="M228" s="104"/>
      <c r="N228" s="104"/>
      <c r="O228" s="104"/>
      <c r="P228" s="104"/>
      <c r="Q228" s="104"/>
      <c r="R228" s="104"/>
      <c r="S228" s="49">
        <v>1.5369999999999999</v>
      </c>
      <c r="T228" s="105">
        <v>1.4430000000000001</v>
      </c>
    </row>
    <row r="229" spans="1:20" x14ac:dyDescent="0.25">
      <c r="A229" s="17" t="str">
        <f t="shared" si="29"/>
        <v>CIRC  26.9*2.3</v>
      </c>
      <c r="B229" s="33">
        <f t="shared" si="24"/>
        <v>1.3953478018698677</v>
      </c>
      <c r="C229" s="17">
        <v>26.9</v>
      </c>
      <c r="D229" s="17">
        <v>2.2999999999999998</v>
      </c>
      <c r="E229" s="17"/>
      <c r="F229" s="17"/>
      <c r="G229" s="17"/>
      <c r="H229" s="33">
        <f t="shared" si="25"/>
        <v>1.7775131234011052</v>
      </c>
      <c r="I229" s="33">
        <f t="shared" si="26"/>
        <v>1.3563536077252558</v>
      </c>
      <c r="J229" s="33">
        <f t="shared" si="27"/>
        <v>1.0084413440336475</v>
      </c>
      <c r="K229" s="33">
        <v>1.4</v>
      </c>
      <c r="L229" s="96">
        <f t="shared" si="28"/>
        <v>0.87353448701239034</v>
      </c>
      <c r="M229" s="96"/>
      <c r="N229" s="96"/>
      <c r="O229" s="96"/>
      <c r="P229" s="96"/>
      <c r="Q229" s="96"/>
      <c r="R229" s="96"/>
      <c r="S229" s="17">
        <v>2.7130000000000001</v>
      </c>
      <c r="T229">
        <v>2.0169999999999999</v>
      </c>
    </row>
    <row r="230" spans="1:20" x14ac:dyDescent="0.25">
      <c r="A230" s="17" t="str">
        <f t="shared" si="29"/>
        <v>CIRC  26.9*2.6</v>
      </c>
      <c r="B230" s="33">
        <f t="shared" si="24"/>
        <v>1.558113717252354</v>
      </c>
      <c r="C230" s="17">
        <v>26.9</v>
      </c>
      <c r="D230" s="17">
        <v>2.6</v>
      </c>
      <c r="E230" s="17"/>
      <c r="F230" s="17"/>
      <c r="G230" s="17"/>
      <c r="H230" s="33">
        <f t="shared" si="25"/>
        <v>1.9848582385380307</v>
      </c>
      <c r="I230" s="33">
        <f t="shared" si="26"/>
        <v>1.4818207287085483</v>
      </c>
      <c r="J230" s="33">
        <f t="shared" si="27"/>
        <v>1.1017254488539392</v>
      </c>
      <c r="K230" s="33">
        <v>1.54</v>
      </c>
      <c r="L230" s="96">
        <f t="shared" si="28"/>
        <v>0.86403848293927277</v>
      </c>
      <c r="M230" s="96"/>
      <c r="N230" s="96"/>
      <c r="O230" s="96"/>
      <c r="P230" s="96"/>
      <c r="Q230" s="96"/>
      <c r="R230" s="96"/>
      <c r="S230" s="17">
        <v>2.9640000000000004</v>
      </c>
      <c r="T230">
        <v>2.2029999999999998</v>
      </c>
    </row>
    <row r="231" spans="1:20" x14ac:dyDescent="0.25">
      <c r="A231" s="17" t="str">
        <f t="shared" si="29"/>
        <v>CIRC  26.9*3.2</v>
      </c>
      <c r="B231" s="33">
        <f t="shared" si="24"/>
        <v>1.8703283367587613</v>
      </c>
      <c r="C231" s="17">
        <v>26.9</v>
      </c>
      <c r="D231" s="17">
        <v>3.2</v>
      </c>
      <c r="E231" s="17"/>
      <c r="F231" s="17"/>
      <c r="G231" s="17"/>
      <c r="H231" s="33">
        <f t="shared" si="25"/>
        <v>2.3825838684824983</v>
      </c>
      <c r="I231" s="33">
        <f t="shared" si="26"/>
        <v>1.7033389898764941</v>
      </c>
      <c r="J231" s="33">
        <f t="shared" si="27"/>
        <v>1.2664230408003674</v>
      </c>
      <c r="K231" s="33">
        <v>1.81</v>
      </c>
      <c r="L231" s="96">
        <f t="shared" si="28"/>
        <v>0.84552498484669281</v>
      </c>
      <c r="M231" s="96"/>
      <c r="N231" s="96"/>
      <c r="O231" s="96"/>
      <c r="P231" s="96"/>
      <c r="Q231" s="96"/>
      <c r="R231" s="96"/>
      <c r="S231" s="17">
        <v>3.407</v>
      </c>
      <c r="T231">
        <v>2.5329999999999999</v>
      </c>
    </row>
    <row r="232" spans="1:20" x14ac:dyDescent="0.25">
      <c r="A232" s="97" t="str">
        <f t="shared" si="29"/>
        <v>CIRC  33.7*2.6</v>
      </c>
      <c r="B232" s="38">
        <f t="shared" si="24"/>
        <v>1.9941290784587753</v>
      </c>
      <c r="C232" s="37">
        <v>33.700000000000003</v>
      </c>
      <c r="D232" s="37">
        <v>2.6</v>
      </c>
      <c r="E232" s="37"/>
      <c r="F232" s="37"/>
      <c r="G232" s="37"/>
      <c r="H232" s="38">
        <f t="shared" si="25"/>
        <v>2.5402918196927073</v>
      </c>
      <c r="I232" s="38">
        <f t="shared" si="26"/>
        <v>3.0927100295326331</v>
      </c>
      <c r="J232" s="38">
        <f t="shared" si="27"/>
        <v>1.8354362193072002</v>
      </c>
      <c r="K232" s="38">
        <v>2.52</v>
      </c>
      <c r="L232" s="98">
        <f t="shared" si="28"/>
        <v>1.1033868315328039</v>
      </c>
      <c r="M232" s="98"/>
      <c r="N232" s="98"/>
      <c r="O232" s="98"/>
      <c r="P232" s="98"/>
      <c r="Q232" s="98"/>
      <c r="R232" s="98"/>
      <c r="S232" s="37">
        <v>6.1850000000000005</v>
      </c>
      <c r="T232" s="99">
        <v>3.6709999999999998</v>
      </c>
    </row>
    <row r="233" spans="1:20" x14ac:dyDescent="0.25">
      <c r="A233" s="100" t="str">
        <f t="shared" si="29"/>
        <v>CIRC  33.7*3.2</v>
      </c>
      <c r="B233" s="44">
        <f t="shared" si="24"/>
        <v>2.406962627474357</v>
      </c>
      <c r="C233" s="43">
        <v>33.700000000000003</v>
      </c>
      <c r="D233" s="43">
        <v>3.2</v>
      </c>
      <c r="E233" s="43"/>
      <c r="F233" s="43"/>
      <c r="G233" s="43"/>
      <c r="H233" s="44">
        <f t="shared" si="25"/>
        <v>3.0661944299036392</v>
      </c>
      <c r="I233" s="44">
        <f t="shared" si="26"/>
        <v>3.6046564992250918</v>
      </c>
      <c r="J233" s="44">
        <f t="shared" si="27"/>
        <v>2.1392620173442678</v>
      </c>
      <c r="K233" s="44">
        <v>2.99</v>
      </c>
      <c r="L233" s="101">
        <f t="shared" si="28"/>
        <v>1.0842566578075505</v>
      </c>
      <c r="M233" s="101"/>
      <c r="N233" s="101"/>
      <c r="O233" s="101"/>
      <c r="P233" s="101"/>
      <c r="Q233" s="101"/>
      <c r="R233" s="101"/>
      <c r="S233" s="43">
        <v>7.2090000000000005</v>
      </c>
      <c r="T233" s="102">
        <v>4.2789999999999999</v>
      </c>
    </row>
    <row r="234" spans="1:20" x14ac:dyDescent="0.25">
      <c r="A234" s="103" t="str">
        <f t="shared" si="29"/>
        <v>CIRC  33.7*4</v>
      </c>
      <c r="B234" s="50">
        <f t="shared" si="24"/>
        <v>2.9297864768847703</v>
      </c>
      <c r="C234" s="49">
        <v>33.700000000000003</v>
      </c>
      <c r="D234" s="49">
        <v>4</v>
      </c>
      <c r="E234" s="49"/>
      <c r="F234" s="49"/>
      <c r="G234" s="49"/>
      <c r="H234" s="50">
        <f t="shared" si="25"/>
        <v>3.7322120724646757</v>
      </c>
      <c r="I234" s="50">
        <f t="shared" si="26"/>
        <v>4.1898279251997517</v>
      </c>
      <c r="J234" s="50">
        <f t="shared" si="27"/>
        <v>2.4865447627298227</v>
      </c>
      <c r="K234" s="50">
        <v>3.55</v>
      </c>
      <c r="L234" s="104">
        <f t="shared" si="28"/>
        <v>1.05953409572321</v>
      </c>
      <c r="M234" s="104"/>
      <c r="N234" s="104"/>
      <c r="O234" s="104"/>
      <c r="P234" s="104"/>
      <c r="Q234" s="104"/>
      <c r="R234" s="104"/>
      <c r="S234" s="49">
        <v>8.3800000000000008</v>
      </c>
      <c r="T234" s="105">
        <v>4.9729999999999999</v>
      </c>
    </row>
    <row r="235" spans="1:20" x14ac:dyDescent="0.25">
      <c r="A235" s="17" t="str">
        <f t="shared" si="29"/>
        <v>CIRC  42.4*2.6</v>
      </c>
      <c r="B235" s="33">
        <f t="shared" si="24"/>
        <v>2.5519722611787556</v>
      </c>
      <c r="C235" s="17">
        <v>42.4</v>
      </c>
      <c r="D235" s="17">
        <v>2.6</v>
      </c>
      <c r="E235" s="17"/>
      <c r="F235" s="17"/>
      <c r="G235" s="17"/>
      <c r="H235" s="33">
        <f t="shared" si="25"/>
        <v>3.2509200779347203</v>
      </c>
      <c r="I235" s="33">
        <f t="shared" si="26"/>
        <v>6.4644545749731908</v>
      </c>
      <c r="J235" s="33">
        <f t="shared" si="27"/>
        <v>3.0492710259307501</v>
      </c>
      <c r="K235" s="33">
        <v>4.12</v>
      </c>
      <c r="L235" s="96">
        <f t="shared" si="28"/>
        <v>1.410141836837699</v>
      </c>
      <c r="M235" s="96"/>
      <c r="N235" s="96"/>
      <c r="O235" s="96"/>
      <c r="P235" s="96"/>
      <c r="Q235" s="96"/>
      <c r="R235" s="96"/>
      <c r="S235" s="17">
        <v>12.930000000000001</v>
      </c>
      <c r="T235">
        <v>6.0990000000000002</v>
      </c>
    </row>
    <row r="236" spans="1:20" x14ac:dyDescent="0.25">
      <c r="A236" s="17" t="str">
        <f t="shared" si="29"/>
        <v>CIRC  42.4*3.2</v>
      </c>
      <c r="B236" s="33">
        <f t="shared" si="24"/>
        <v>3.0935388523604836</v>
      </c>
      <c r="C236" s="17">
        <v>42.4</v>
      </c>
      <c r="D236" s="17">
        <v>3.2</v>
      </c>
      <c r="E236" s="17"/>
      <c r="F236" s="17"/>
      <c r="G236" s="17"/>
      <c r="H236" s="33">
        <f t="shared" si="25"/>
        <v>3.9408138246630364</v>
      </c>
      <c r="I236" s="33">
        <f t="shared" si="26"/>
        <v>7.6199576113684468</v>
      </c>
      <c r="J236" s="33">
        <f t="shared" si="27"/>
        <v>3.594319628003984</v>
      </c>
      <c r="K236" s="33">
        <v>4.93</v>
      </c>
      <c r="L236" s="96">
        <f t="shared" si="28"/>
        <v>1.3905394636614956</v>
      </c>
      <c r="M236" s="96"/>
      <c r="N236" s="96"/>
      <c r="O236" s="96"/>
      <c r="P236" s="96"/>
      <c r="Q236" s="96"/>
      <c r="R236" s="96"/>
      <c r="S236" s="17">
        <v>15.240000000000002</v>
      </c>
      <c r="T236">
        <v>7.1890000000000001</v>
      </c>
    </row>
    <row r="237" spans="1:20" x14ac:dyDescent="0.25">
      <c r="A237" s="17" t="str">
        <f t="shared" si="29"/>
        <v>CIRC  42.4*4</v>
      </c>
      <c r="B237" s="33">
        <f t="shared" si="24"/>
        <v>3.7880067579924299</v>
      </c>
      <c r="C237" s="17">
        <v>42.4</v>
      </c>
      <c r="D237" s="17">
        <v>4</v>
      </c>
      <c r="E237" s="17"/>
      <c r="F237" s="17"/>
      <c r="G237" s="17"/>
      <c r="H237" s="33">
        <f t="shared" si="25"/>
        <v>4.8254863159139232</v>
      </c>
      <c r="I237" s="33">
        <f t="shared" si="26"/>
        <v>8.9908461038108207</v>
      </c>
      <c r="J237" s="33">
        <f t="shared" si="27"/>
        <v>4.2409651433069904</v>
      </c>
      <c r="K237" s="33">
        <v>5.92</v>
      </c>
      <c r="L237" s="96">
        <f t="shared" si="28"/>
        <v>1.3649908424601243</v>
      </c>
      <c r="M237" s="96"/>
      <c r="N237" s="96"/>
      <c r="O237" s="96"/>
      <c r="P237" s="96"/>
      <c r="Q237" s="96"/>
      <c r="R237" s="96"/>
      <c r="S237" s="17">
        <v>17.98</v>
      </c>
      <c r="T237">
        <v>8.4819999999999993</v>
      </c>
    </row>
    <row r="238" spans="1:20" x14ac:dyDescent="0.25">
      <c r="A238" s="97" t="str">
        <f t="shared" si="29"/>
        <v>CIRC  48.3*2.6</v>
      </c>
      <c r="B238" s="38">
        <f t="shared" si="24"/>
        <v>2.9302797069313855</v>
      </c>
      <c r="C238" s="37">
        <v>48.3</v>
      </c>
      <c r="D238" s="37">
        <v>2.6</v>
      </c>
      <c r="E238" s="37"/>
      <c r="F238" s="37"/>
      <c r="G238" s="37"/>
      <c r="H238" s="38">
        <f t="shared" si="25"/>
        <v>3.7328403909953956</v>
      </c>
      <c r="I238" s="38">
        <f t="shared" si="26"/>
        <v>9.7765422865413765</v>
      </c>
      <c r="J238" s="38">
        <f t="shared" si="27"/>
        <v>4.0482576755864912</v>
      </c>
      <c r="K238" s="38">
        <v>5.44</v>
      </c>
      <c r="L238" s="98">
        <f t="shared" si="28"/>
        <v>1.6183517849960805</v>
      </c>
      <c r="M238" s="98"/>
      <c r="N238" s="98"/>
      <c r="O238" s="98"/>
      <c r="P238" s="98"/>
      <c r="Q238" s="98"/>
      <c r="R238" s="98"/>
      <c r="S238" s="37">
        <v>19.55</v>
      </c>
      <c r="T238" s="99">
        <v>8.0969999999999995</v>
      </c>
    </row>
    <row r="239" spans="1:20" x14ac:dyDescent="0.25">
      <c r="A239" s="100" t="str">
        <f t="shared" si="29"/>
        <v>CIRC  48.3*3.2</v>
      </c>
      <c r="B239" s="44">
        <f t="shared" si="24"/>
        <v>3.5591480163637197</v>
      </c>
      <c r="C239" s="43">
        <v>48.3</v>
      </c>
      <c r="D239" s="43">
        <v>3.2</v>
      </c>
      <c r="E239" s="43"/>
      <c r="F239" s="43"/>
      <c r="G239" s="43"/>
      <c r="H239" s="44">
        <f t="shared" si="25"/>
        <v>4.5339465176607892</v>
      </c>
      <c r="I239" s="44">
        <f t="shared" si="26"/>
        <v>11.585650210910085</v>
      </c>
      <c r="J239" s="44">
        <f t="shared" si="27"/>
        <v>4.7973706877474473</v>
      </c>
      <c r="K239" s="44">
        <v>6.52</v>
      </c>
      <c r="L239" s="101">
        <f t="shared" si="28"/>
        <v>1.5985344850831338</v>
      </c>
      <c r="M239" s="101"/>
      <c r="N239" s="101"/>
      <c r="O239" s="101"/>
      <c r="P239" s="101"/>
      <c r="Q239" s="101"/>
      <c r="R239" s="101"/>
      <c r="S239" s="43">
        <v>23.17</v>
      </c>
      <c r="T239" s="102">
        <v>9.5950000000000006</v>
      </c>
    </row>
    <row r="240" spans="1:20" x14ac:dyDescent="0.25">
      <c r="A240" s="100" t="str">
        <f t="shared" si="29"/>
        <v>CIRC  48.3*4</v>
      </c>
      <c r="B240" s="44">
        <f t="shared" si="24"/>
        <v>4.3700182129964746</v>
      </c>
      <c r="C240" s="43">
        <v>48.3</v>
      </c>
      <c r="D240" s="43">
        <v>4</v>
      </c>
      <c r="E240" s="43"/>
      <c r="F240" s="43"/>
      <c r="G240" s="43"/>
      <c r="H240" s="44">
        <f t="shared" si="25"/>
        <v>5.5669021821611144</v>
      </c>
      <c r="I240" s="44">
        <f t="shared" si="26"/>
        <v>13.767575372979927</v>
      </c>
      <c r="J240" s="44">
        <f t="shared" si="27"/>
        <v>5.7008593676935515</v>
      </c>
      <c r="K240" s="44">
        <v>7.87</v>
      </c>
      <c r="L240" s="101">
        <f t="shared" si="28"/>
        <v>1.5726132709601555</v>
      </c>
      <c r="M240" s="101"/>
      <c r="N240" s="101"/>
      <c r="O240" s="101"/>
      <c r="P240" s="101"/>
      <c r="Q240" s="101"/>
      <c r="R240" s="101"/>
      <c r="S240" s="43">
        <v>27.54</v>
      </c>
      <c r="T240" s="102">
        <v>11.4</v>
      </c>
    </row>
    <row r="241" spans="1:20" x14ac:dyDescent="0.25">
      <c r="A241" s="103" t="str">
        <f t="shared" si="29"/>
        <v>CIRC  48.3*5</v>
      </c>
      <c r="B241" s="50">
        <f t="shared" si="24"/>
        <v>5.3392152545921938</v>
      </c>
      <c r="C241" s="49">
        <v>48.3</v>
      </c>
      <c r="D241" s="49">
        <v>5</v>
      </c>
      <c r="E241" s="49"/>
      <c r="F241" s="49"/>
      <c r="G241" s="49"/>
      <c r="H241" s="50">
        <f t="shared" si="25"/>
        <v>6.8015480950219027</v>
      </c>
      <c r="I241" s="50">
        <f t="shared" si="26"/>
        <v>16.15274151281395</v>
      </c>
      <c r="J241" s="50">
        <f t="shared" si="27"/>
        <v>6.6885058024074331</v>
      </c>
      <c r="K241" s="50">
        <v>9.42</v>
      </c>
      <c r="L241" s="104">
        <f t="shared" si="28"/>
        <v>1.5410588892057304</v>
      </c>
      <c r="M241" s="104"/>
      <c r="N241" s="104"/>
      <c r="O241" s="104"/>
      <c r="P241" s="104"/>
      <c r="Q241" s="104"/>
      <c r="R241" s="104"/>
      <c r="S241" s="49">
        <v>32.31</v>
      </c>
      <c r="T241" s="105">
        <v>13.38</v>
      </c>
    </row>
    <row r="242" spans="1:20" x14ac:dyDescent="0.25">
      <c r="A242" s="17" t="str">
        <f t="shared" si="29"/>
        <v>CIRC  60.3*2.6</v>
      </c>
      <c r="B242" s="33">
        <f t="shared" si="24"/>
        <v>3.6997185796485974</v>
      </c>
      <c r="C242" s="17">
        <v>60.3</v>
      </c>
      <c r="D242" s="17">
        <v>2.6</v>
      </c>
      <c r="E242" s="17"/>
      <c r="F242" s="17"/>
      <c r="G242" s="17"/>
      <c r="H242" s="33">
        <f t="shared" si="25"/>
        <v>4.7130172989154104</v>
      </c>
      <c r="I242" s="33">
        <f t="shared" si="26"/>
        <v>19.653576700058448</v>
      </c>
      <c r="J242" s="33">
        <f t="shared" si="27"/>
        <v>6.5185992371669812</v>
      </c>
      <c r="K242" s="33">
        <v>8.66</v>
      </c>
      <c r="L242" s="96">
        <f t="shared" si="28"/>
        <v>2.0420730887997132</v>
      </c>
      <c r="M242" s="96"/>
      <c r="N242" s="96"/>
      <c r="O242" s="96"/>
      <c r="P242" s="96"/>
      <c r="Q242" s="96"/>
      <c r="R242" s="96"/>
      <c r="S242" s="17">
        <v>39.31</v>
      </c>
      <c r="T242">
        <v>13.04</v>
      </c>
    </row>
    <row r="243" spans="1:20" x14ac:dyDescent="0.25">
      <c r="A243" s="17" t="str">
        <f t="shared" si="29"/>
        <v>CIRC  60.3*3.2</v>
      </c>
      <c r="B243" s="33">
        <f t="shared" si="24"/>
        <v>4.5061497058618256</v>
      </c>
      <c r="C243" s="17">
        <v>60.3</v>
      </c>
      <c r="D243" s="17">
        <v>3.2</v>
      </c>
      <c r="E243" s="17"/>
      <c r="F243" s="17"/>
      <c r="G243" s="17"/>
      <c r="H243" s="33">
        <f t="shared" si="25"/>
        <v>5.7403180966392675</v>
      </c>
      <c r="I243" s="33">
        <f t="shared" si="26"/>
        <v>23.468214228466522</v>
      </c>
      <c r="J243" s="33">
        <f t="shared" si="27"/>
        <v>7.7838189812492606</v>
      </c>
      <c r="K243" s="33">
        <v>10.4</v>
      </c>
      <c r="L243" s="96">
        <f t="shared" si="28"/>
        <v>2.021957591048833</v>
      </c>
      <c r="M243" s="96"/>
      <c r="N243" s="96"/>
      <c r="O243" s="96"/>
      <c r="P243" s="96"/>
      <c r="Q243" s="96"/>
      <c r="R243" s="96"/>
      <c r="S243" s="17">
        <v>46.94</v>
      </c>
      <c r="T243">
        <v>15.57</v>
      </c>
    </row>
    <row r="244" spans="1:20" x14ac:dyDescent="0.25">
      <c r="A244" s="17" t="str">
        <f t="shared" si="29"/>
        <v>CIRC  60.3*4</v>
      </c>
      <c r="B244" s="33">
        <f t="shared" si="24"/>
        <v>5.5537703248691104</v>
      </c>
      <c r="C244" s="17">
        <v>60.3</v>
      </c>
      <c r="D244" s="17">
        <v>4</v>
      </c>
      <c r="E244" s="17"/>
      <c r="F244" s="17"/>
      <c r="G244" s="17"/>
      <c r="H244" s="33">
        <f t="shared" si="25"/>
        <v>7.0748666558842164</v>
      </c>
      <c r="I244" s="33">
        <f t="shared" si="26"/>
        <v>28.172914946229728</v>
      </c>
      <c r="J244" s="33">
        <f t="shared" si="27"/>
        <v>9.3442503967594455</v>
      </c>
      <c r="K244" s="33">
        <v>12.7</v>
      </c>
      <c r="L244" s="96">
        <f t="shared" si="28"/>
        <v>1.9955231143737722</v>
      </c>
      <c r="M244" s="96"/>
      <c r="N244" s="96"/>
      <c r="O244" s="96"/>
      <c r="P244" s="96"/>
      <c r="Q244" s="96"/>
      <c r="R244" s="96"/>
      <c r="S244" s="17">
        <v>56.35</v>
      </c>
      <c r="T244">
        <v>18.690000000000001</v>
      </c>
    </row>
    <row r="245" spans="1:20" x14ac:dyDescent="0.25">
      <c r="A245" s="17" t="str">
        <f t="shared" si="29"/>
        <v>CIRC  60.3*5</v>
      </c>
      <c r="B245" s="33">
        <f t="shared" si="24"/>
        <v>6.8189053944329858</v>
      </c>
      <c r="C245" s="17">
        <v>60.3</v>
      </c>
      <c r="D245" s="17">
        <v>5</v>
      </c>
      <c r="E245" s="17"/>
      <c r="F245" s="17"/>
      <c r="G245" s="17"/>
      <c r="H245" s="33">
        <f t="shared" si="25"/>
        <v>8.6865036871757777</v>
      </c>
      <c r="I245" s="33">
        <f t="shared" si="26"/>
        <v>33.47659081611846</v>
      </c>
      <c r="J245" s="33">
        <f t="shared" si="27"/>
        <v>11.103346871017731</v>
      </c>
      <c r="K245" s="33">
        <v>15.3</v>
      </c>
      <c r="L245" s="96">
        <f t="shared" si="28"/>
        <v>1.963125696434133</v>
      </c>
      <c r="M245" s="96"/>
      <c r="N245" s="96"/>
      <c r="O245" s="96"/>
      <c r="P245" s="96"/>
      <c r="Q245" s="96"/>
      <c r="R245" s="96"/>
      <c r="S245" s="17">
        <v>66.95</v>
      </c>
      <c r="T245">
        <v>22.21</v>
      </c>
    </row>
    <row r="246" spans="1:20" x14ac:dyDescent="0.25">
      <c r="A246" s="97" t="str">
        <f t="shared" si="29"/>
        <v>CIRC  76.1*2.6</v>
      </c>
      <c r="B246" s="38">
        <f t="shared" si="24"/>
        <v>4.7128130953929288</v>
      </c>
      <c r="C246" s="37">
        <v>76.099999999999994</v>
      </c>
      <c r="D246" s="37">
        <v>2.6</v>
      </c>
      <c r="E246" s="37"/>
      <c r="F246" s="37"/>
      <c r="G246" s="37"/>
      <c r="H246" s="38">
        <f t="shared" si="25"/>
        <v>6.0035835610100996</v>
      </c>
      <c r="I246" s="38">
        <f t="shared" si="26"/>
        <v>40.591804396674029</v>
      </c>
      <c r="J246" s="38">
        <f t="shared" si="27"/>
        <v>10.66801692422445</v>
      </c>
      <c r="K246" s="59">
        <v>14.1</v>
      </c>
      <c r="L246" s="98">
        <f t="shared" si="28"/>
        <v>2.6002427771267813</v>
      </c>
      <c r="M246" s="98"/>
      <c r="N246" s="98"/>
      <c r="O246" s="98"/>
      <c r="P246" s="98"/>
      <c r="Q246" s="98"/>
      <c r="R246" s="98"/>
      <c r="S246" s="37">
        <v>81.180000000000007</v>
      </c>
      <c r="T246" s="99">
        <v>21.34</v>
      </c>
    </row>
    <row r="247" spans="1:20" x14ac:dyDescent="0.25">
      <c r="A247" s="100" t="str">
        <f t="shared" si="29"/>
        <v>CIRC  76.1*3.2</v>
      </c>
      <c r="B247" s="44">
        <f t="shared" si="24"/>
        <v>5.7530352637010065</v>
      </c>
      <c r="C247" s="43">
        <v>76.099999999999994</v>
      </c>
      <c r="D247" s="43">
        <v>3.2</v>
      </c>
      <c r="E247" s="43"/>
      <c r="F247" s="43"/>
      <c r="G247" s="43"/>
      <c r="H247" s="44">
        <f t="shared" si="25"/>
        <v>7.3287073422942752</v>
      </c>
      <c r="I247" s="44">
        <f t="shared" si="26"/>
        <v>48.778501937684013</v>
      </c>
      <c r="J247" s="44">
        <f t="shared" si="27"/>
        <v>12.819580009903815</v>
      </c>
      <c r="K247" s="60">
        <v>17</v>
      </c>
      <c r="L247" s="101">
        <f t="shared" si="28"/>
        <v>2.5798861408984699</v>
      </c>
      <c r="M247" s="101"/>
      <c r="N247" s="101"/>
      <c r="O247" s="101"/>
      <c r="P247" s="101"/>
      <c r="Q247" s="101"/>
      <c r="R247" s="101"/>
      <c r="S247" s="43">
        <v>97.56</v>
      </c>
      <c r="T247" s="102">
        <v>25.64</v>
      </c>
    </row>
    <row r="248" spans="1:20" x14ac:dyDescent="0.25">
      <c r="A248" s="100" t="str">
        <f t="shared" si="29"/>
        <v>CIRC  76.1*4</v>
      </c>
      <c r="B248" s="44">
        <f t="shared" si="24"/>
        <v>7.1123772721680734</v>
      </c>
      <c r="C248" s="43">
        <v>76.099999999999994</v>
      </c>
      <c r="D248" s="43">
        <v>4</v>
      </c>
      <c r="E248" s="43"/>
      <c r="F248" s="43"/>
      <c r="G248" s="43"/>
      <c r="H248" s="44">
        <f t="shared" si="25"/>
        <v>9.0603532129529594</v>
      </c>
      <c r="I248" s="44">
        <f t="shared" si="26"/>
        <v>59.055495496442546</v>
      </c>
      <c r="J248" s="44">
        <f t="shared" si="27"/>
        <v>15.520498159380434</v>
      </c>
      <c r="K248" s="60">
        <v>20.8</v>
      </c>
      <c r="L248" s="101">
        <f t="shared" si="28"/>
        <v>2.5530398547613782</v>
      </c>
      <c r="M248" s="101"/>
      <c r="N248" s="101"/>
      <c r="O248" s="101"/>
      <c r="P248" s="101"/>
      <c r="Q248" s="101"/>
      <c r="R248" s="101"/>
      <c r="S248" s="43">
        <v>118.10000000000001</v>
      </c>
      <c r="T248" s="102">
        <v>31.04</v>
      </c>
    </row>
    <row r="249" spans="1:20" x14ac:dyDescent="0.25">
      <c r="A249" s="103" t="str">
        <f t="shared" si="29"/>
        <v>CIRC  76.1*5</v>
      </c>
      <c r="B249" s="50">
        <f t="shared" si="24"/>
        <v>8.7671640785566964</v>
      </c>
      <c r="C249" s="49">
        <v>76.099999999999994</v>
      </c>
      <c r="D249" s="49">
        <v>5</v>
      </c>
      <c r="E249" s="49"/>
      <c r="F249" s="49"/>
      <c r="G249" s="49"/>
      <c r="H249" s="50">
        <f t="shared" si="25"/>
        <v>11.168361883511714</v>
      </c>
      <c r="I249" s="50">
        <f t="shared" si="26"/>
        <v>70.922029655293812</v>
      </c>
      <c r="J249" s="50">
        <f t="shared" si="27"/>
        <v>18.639166795083788</v>
      </c>
      <c r="K249" s="61">
        <v>25.3</v>
      </c>
      <c r="L249" s="104">
        <f t="shared" si="28"/>
        <v>2.5199727181062892</v>
      </c>
      <c r="M249" s="104"/>
      <c r="N249" s="104"/>
      <c r="O249" s="104"/>
      <c r="P249" s="104"/>
      <c r="Q249" s="104"/>
      <c r="R249" s="104"/>
      <c r="S249" s="49">
        <v>141.80000000000001</v>
      </c>
      <c r="T249" s="105">
        <v>37.28</v>
      </c>
    </row>
    <row r="250" spans="1:20" x14ac:dyDescent="0.25">
      <c r="A250" s="17" t="str">
        <f t="shared" si="29"/>
        <v>CIRC  88.9*3.2</v>
      </c>
      <c r="B250" s="33">
        <f t="shared" si="24"/>
        <v>6.7631703991656558</v>
      </c>
      <c r="C250" s="17">
        <v>88.9</v>
      </c>
      <c r="D250" s="17">
        <v>3.2</v>
      </c>
      <c r="E250" s="17"/>
      <c r="F250" s="17"/>
      <c r="G250" s="17"/>
      <c r="H250" s="33">
        <f t="shared" si="25"/>
        <v>8.6155036932046567</v>
      </c>
      <c r="I250" s="33">
        <f t="shared" si="26"/>
        <v>79.205879346903856</v>
      </c>
      <c r="J250" s="33">
        <f t="shared" si="27"/>
        <v>17.8190954661201</v>
      </c>
      <c r="K250" s="58">
        <v>23.5</v>
      </c>
      <c r="L250" s="96">
        <f t="shared" si="28"/>
        <v>3.0320640659458369</v>
      </c>
      <c r="M250" s="96"/>
      <c r="N250" s="96"/>
      <c r="O250" s="96"/>
      <c r="P250" s="96"/>
      <c r="Q250" s="96"/>
      <c r="R250" s="96"/>
      <c r="S250" s="17">
        <v>158.4</v>
      </c>
      <c r="T250">
        <v>35.64</v>
      </c>
    </row>
    <row r="251" spans="1:20" x14ac:dyDescent="0.25">
      <c r="A251" s="17" t="str">
        <f t="shared" si="29"/>
        <v>CIRC  88.9*4</v>
      </c>
      <c r="B251" s="33">
        <f t="shared" si="24"/>
        <v>8.3750461914988819</v>
      </c>
      <c r="C251" s="17">
        <v>88.9</v>
      </c>
      <c r="D251" s="17">
        <v>4</v>
      </c>
      <c r="E251" s="17"/>
      <c r="F251" s="17"/>
      <c r="G251" s="17"/>
      <c r="H251" s="33">
        <f t="shared" si="25"/>
        <v>10.668848651590933</v>
      </c>
      <c r="I251" s="33">
        <f t="shared" si="26"/>
        <v>96.339836684474321</v>
      </c>
      <c r="J251" s="33">
        <f t="shared" si="27"/>
        <v>21.673754034752378</v>
      </c>
      <c r="K251" s="58">
        <v>28.9</v>
      </c>
      <c r="L251" s="96">
        <f t="shared" si="28"/>
        <v>3.0049979201323924</v>
      </c>
      <c r="M251" s="96"/>
      <c r="N251" s="96"/>
      <c r="O251" s="96"/>
      <c r="P251" s="96"/>
      <c r="Q251" s="96"/>
      <c r="R251" s="96"/>
      <c r="S251" s="17">
        <v>192.70000000000002</v>
      </c>
      <c r="T251">
        <v>43.35</v>
      </c>
    </row>
    <row r="252" spans="1:20" x14ac:dyDescent="0.25">
      <c r="A252" s="17" t="str">
        <f t="shared" si="29"/>
        <v>CIRC  88.9*5</v>
      </c>
      <c r="B252" s="33">
        <f t="shared" si="24"/>
        <v>10.345500227720208</v>
      </c>
      <c r="C252" s="17">
        <v>88.9</v>
      </c>
      <c r="D252" s="17">
        <v>5</v>
      </c>
      <c r="E252" s="17"/>
      <c r="F252" s="17"/>
      <c r="G252" s="17"/>
      <c r="H252" s="33">
        <f t="shared" si="25"/>
        <v>13.178981181809181</v>
      </c>
      <c r="I252" s="33">
        <f t="shared" si="26"/>
        <v>116.37386331793533</v>
      </c>
      <c r="J252" s="33">
        <f t="shared" si="27"/>
        <v>26.180846640705361</v>
      </c>
      <c r="K252" s="58">
        <v>35.200000000000003</v>
      </c>
      <c r="L252" s="96">
        <f t="shared" si="28"/>
        <v>2.9715757604341846</v>
      </c>
      <c r="M252" s="96"/>
      <c r="N252" s="96"/>
      <c r="O252" s="96"/>
      <c r="P252" s="96"/>
      <c r="Q252" s="96"/>
      <c r="R252" s="96"/>
      <c r="S252" s="17">
        <v>232.70000000000002</v>
      </c>
      <c r="T252">
        <v>52.36</v>
      </c>
    </row>
    <row r="253" spans="1:20" x14ac:dyDescent="0.25">
      <c r="A253" s="17" t="str">
        <f t="shared" si="29"/>
        <v>CIRC  88.9*6.3</v>
      </c>
      <c r="B253" s="33">
        <f t="shared" si="24"/>
        <v>12.83335258283919</v>
      </c>
      <c r="C253" s="17">
        <v>88.9</v>
      </c>
      <c r="D253" s="17">
        <v>6.3</v>
      </c>
      <c r="E253" s="17"/>
      <c r="F253" s="17"/>
      <c r="G253" s="17"/>
      <c r="H253" s="33">
        <f t="shared" si="25"/>
        <v>16.34821985075056</v>
      </c>
      <c r="I253" s="33">
        <f t="shared" si="26"/>
        <v>140.23605164347902</v>
      </c>
      <c r="J253" s="33">
        <f t="shared" si="27"/>
        <v>31.549167973786052</v>
      </c>
      <c r="K253" s="58">
        <v>43.1</v>
      </c>
      <c r="L253" s="96">
        <f t="shared" si="28"/>
        <v>2.9288329587055668</v>
      </c>
      <c r="M253" s="96"/>
      <c r="N253" s="96"/>
      <c r="O253" s="96"/>
      <c r="P253" s="96"/>
      <c r="Q253" s="96"/>
      <c r="R253" s="96"/>
      <c r="S253" s="17">
        <v>280.5</v>
      </c>
      <c r="T253">
        <v>63.1</v>
      </c>
    </row>
    <row r="254" spans="1:20" x14ac:dyDescent="0.25">
      <c r="A254" s="97" t="str">
        <f t="shared" si="29"/>
        <v>CIRC  101.6*3.2</v>
      </c>
      <c r="B254" s="38">
        <f t="shared" si="24"/>
        <v>7.7654138538844935</v>
      </c>
      <c r="C254" s="37">
        <v>101.6</v>
      </c>
      <c r="D254" s="37">
        <v>3.2</v>
      </c>
      <c r="E254" s="37"/>
      <c r="F254" s="37"/>
      <c r="G254" s="37"/>
      <c r="H254" s="38">
        <f t="shared" si="25"/>
        <v>9.8922469476235584</v>
      </c>
      <c r="I254" s="38">
        <f t="shared" si="26"/>
        <v>119.85446401740704</v>
      </c>
      <c r="J254" s="38">
        <f t="shared" si="27"/>
        <v>23.593398428623434</v>
      </c>
      <c r="K254" s="59">
        <v>31</v>
      </c>
      <c r="L254" s="98">
        <f t="shared" si="28"/>
        <v>3.480804504708646</v>
      </c>
      <c r="M254" s="98"/>
      <c r="N254" s="98"/>
      <c r="O254" s="98"/>
      <c r="P254" s="98"/>
      <c r="Q254" s="98"/>
      <c r="R254" s="98"/>
      <c r="S254" s="37">
        <v>239.70000000000002</v>
      </c>
      <c r="T254" s="99">
        <v>47.19</v>
      </c>
    </row>
    <row r="255" spans="1:20" x14ac:dyDescent="0.25">
      <c r="A255" s="100" t="str">
        <f t="shared" si="29"/>
        <v>CIRC  101.6*4</v>
      </c>
      <c r="B255" s="44">
        <f t="shared" si="24"/>
        <v>9.6278505098974279</v>
      </c>
      <c r="C255" s="43">
        <v>101.6</v>
      </c>
      <c r="D255" s="43">
        <v>4</v>
      </c>
      <c r="E255" s="43"/>
      <c r="F255" s="43"/>
      <c r="G255" s="43"/>
      <c r="H255" s="44">
        <f t="shared" si="25"/>
        <v>12.264777719614557</v>
      </c>
      <c r="I255" s="44">
        <f t="shared" si="26"/>
        <v>146.28445681738671</v>
      </c>
      <c r="J255" s="44">
        <f t="shared" si="27"/>
        <v>28.796152916808406</v>
      </c>
      <c r="K255" s="60">
        <v>38.1</v>
      </c>
      <c r="L255" s="101">
        <f t="shared" si="28"/>
        <v>3.4535778549208933</v>
      </c>
      <c r="M255" s="101"/>
      <c r="N255" s="101"/>
      <c r="O255" s="101"/>
      <c r="P255" s="101"/>
      <c r="Q255" s="101"/>
      <c r="R255" s="101"/>
      <c r="S255" s="43">
        <v>292.60000000000002</v>
      </c>
      <c r="T255" s="102">
        <v>57.59</v>
      </c>
    </row>
    <row r="256" spans="1:20" x14ac:dyDescent="0.25">
      <c r="A256" s="100" t="str">
        <f t="shared" si="29"/>
        <v>CIRC  101.6*5</v>
      </c>
      <c r="B256" s="44">
        <f t="shared" si="24"/>
        <v>11.91150562571838</v>
      </c>
      <c r="C256" s="43">
        <v>101.6</v>
      </c>
      <c r="D256" s="43">
        <v>5</v>
      </c>
      <c r="E256" s="43"/>
      <c r="F256" s="43"/>
      <c r="G256" s="43"/>
      <c r="H256" s="44">
        <f t="shared" si="25"/>
        <v>15.1738925168387</v>
      </c>
      <c r="I256" s="44">
        <f t="shared" si="26"/>
        <v>177.46929470919042</v>
      </c>
      <c r="J256" s="44">
        <f t="shared" si="27"/>
        <v>34.934900533305203</v>
      </c>
      <c r="K256" s="60">
        <v>46.7</v>
      </c>
      <c r="L256" s="101">
        <f t="shared" si="28"/>
        <v>3.4198976592874826</v>
      </c>
      <c r="M256" s="101"/>
      <c r="N256" s="101"/>
      <c r="O256" s="101"/>
      <c r="P256" s="101"/>
      <c r="Q256" s="101"/>
      <c r="R256" s="101"/>
      <c r="S256" s="43">
        <v>354.90000000000003</v>
      </c>
      <c r="T256" s="102">
        <v>69.87</v>
      </c>
    </row>
    <row r="257" spans="1:20" x14ac:dyDescent="0.25">
      <c r="A257" s="100" t="str">
        <f t="shared" si="29"/>
        <v>CIRC  101.6*6.3</v>
      </c>
      <c r="B257" s="44">
        <f t="shared" si="24"/>
        <v>14.806519384316889</v>
      </c>
      <c r="C257" s="43">
        <v>101.6</v>
      </c>
      <c r="D257" s="43">
        <v>6.3</v>
      </c>
      <c r="E257" s="43"/>
      <c r="F257" s="43"/>
      <c r="G257" s="43"/>
      <c r="H257" s="44">
        <f t="shared" si="25"/>
        <v>18.861808132887756</v>
      </c>
      <c r="I257" s="44">
        <f t="shared" si="26"/>
        <v>215.06658023801609</v>
      </c>
      <c r="J257" s="44">
        <f t="shared" si="27"/>
        <v>42.335940991735448</v>
      </c>
      <c r="K257" s="60">
        <v>57.3</v>
      </c>
      <c r="L257" s="101">
        <f t="shared" si="28"/>
        <v>3.3767180812143613</v>
      </c>
      <c r="M257" s="101"/>
      <c r="N257" s="101"/>
      <c r="O257" s="101"/>
      <c r="P257" s="101"/>
      <c r="Q257" s="101"/>
      <c r="R257" s="101"/>
      <c r="S257" s="43">
        <v>430.1</v>
      </c>
      <c r="T257" s="102">
        <v>84.67</v>
      </c>
    </row>
    <row r="258" spans="1:20" x14ac:dyDescent="0.25">
      <c r="A258" s="100" t="str">
        <f t="shared" si="29"/>
        <v>CIRC  101.6*8</v>
      </c>
      <c r="B258" s="44">
        <f t="shared" si="24"/>
        <v>18.466532945213096</v>
      </c>
      <c r="C258" s="43">
        <v>101.6</v>
      </c>
      <c r="D258" s="43">
        <v>8</v>
      </c>
      <c r="E258" s="43"/>
      <c r="F258" s="43"/>
      <c r="G258" s="43"/>
      <c r="H258" s="44">
        <f t="shared" si="25"/>
        <v>23.524245790080379</v>
      </c>
      <c r="I258" s="44">
        <f t="shared" si="26"/>
        <v>259.50066015953468</v>
      </c>
      <c r="J258" s="44">
        <f t="shared" si="27"/>
        <v>51.082807118018636</v>
      </c>
      <c r="K258" s="60">
        <v>70.3</v>
      </c>
      <c r="L258" s="101">
        <f t="shared" si="28"/>
        <v>3.3213250367887812</v>
      </c>
      <c r="M258" s="101"/>
      <c r="N258" s="101"/>
      <c r="O258" s="101"/>
      <c r="P258" s="101"/>
      <c r="Q258" s="101"/>
      <c r="R258" s="101"/>
      <c r="S258" s="43">
        <v>519</v>
      </c>
      <c r="T258" s="102">
        <v>102.2</v>
      </c>
    </row>
    <row r="259" spans="1:20" x14ac:dyDescent="0.25">
      <c r="A259" s="103" t="str">
        <f t="shared" si="29"/>
        <v>CIRC  101.6*10</v>
      </c>
      <c r="B259" s="50">
        <f t="shared" si="24"/>
        <v>22.589936134902764</v>
      </c>
      <c r="C259" s="49">
        <v>101.6</v>
      </c>
      <c r="D259" s="49">
        <v>10</v>
      </c>
      <c r="E259" s="49"/>
      <c r="F259" s="49"/>
      <c r="G259" s="49"/>
      <c r="H259" s="50">
        <f t="shared" si="25"/>
        <v>28.776988706882502</v>
      </c>
      <c r="I259" s="50">
        <f t="shared" si="26"/>
        <v>305.41593654388538</v>
      </c>
      <c r="J259" s="50">
        <f t="shared" si="27"/>
        <v>60.121247351158537</v>
      </c>
      <c r="K259" s="61">
        <v>84.2</v>
      </c>
      <c r="L259" s="104">
        <f t="shared" si="28"/>
        <v>3.2577906623968338</v>
      </c>
      <c r="M259" s="104"/>
      <c r="N259" s="104"/>
      <c r="O259" s="104"/>
      <c r="P259" s="104"/>
      <c r="Q259" s="104"/>
      <c r="R259" s="104"/>
      <c r="S259" s="49">
        <v>610.80000000000007</v>
      </c>
      <c r="T259" s="105">
        <v>120.2</v>
      </c>
    </row>
    <row r="260" spans="1:20" x14ac:dyDescent="0.25">
      <c r="A260" s="17" t="str">
        <f t="shared" si="29"/>
        <v>CIRC  114.3*3.2</v>
      </c>
      <c r="B260" s="33">
        <f t="shared" si="24"/>
        <v>8.7676573086033205</v>
      </c>
      <c r="C260" s="17">
        <v>114.3</v>
      </c>
      <c r="D260" s="17">
        <v>3.2</v>
      </c>
      <c r="E260" s="17"/>
      <c r="F260" s="17"/>
      <c r="G260" s="17"/>
      <c r="H260" s="33">
        <f t="shared" si="25"/>
        <v>11.168990202042446</v>
      </c>
      <c r="I260" s="57">
        <f t="shared" si="26"/>
        <v>172.4694525142765</v>
      </c>
      <c r="J260" s="58">
        <f t="shared" si="27"/>
        <v>30.178381892261854</v>
      </c>
      <c r="K260" s="58">
        <v>39.5</v>
      </c>
      <c r="L260" s="96">
        <f t="shared" si="28"/>
        <v>3.9296071686620273</v>
      </c>
      <c r="M260" s="96"/>
      <c r="N260" s="96"/>
      <c r="O260" s="96"/>
      <c r="P260" s="96"/>
      <c r="Q260" s="96"/>
      <c r="R260" s="96"/>
      <c r="S260" s="17">
        <v>344.90000000000003</v>
      </c>
      <c r="T260">
        <v>60.36</v>
      </c>
    </row>
    <row r="261" spans="1:20" x14ac:dyDescent="0.25">
      <c r="A261" s="17" t="str">
        <f t="shared" si="29"/>
        <v>CIRC  114.3*4</v>
      </c>
      <c r="B261" s="33">
        <f t="shared" si="24"/>
        <v>10.880654828295969</v>
      </c>
      <c r="C261" s="17">
        <v>114.3</v>
      </c>
      <c r="D261" s="17">
        <v>4</v>
      </c>
      <c r="E261" s="17"/>
      <c r="F261" s="17"/>
      <c r="G261" s="17"/>
      <c r="H261" s="33">
        <f t="shared" si="25"/>
        <v>13.860706787638176</v>
      </c>
      <c r="I261" s="57">
        <f t="shared" si="26"/>
        <v>211.06547193827393</v>
      </c>
      <c r="J261" s="58">
        <f t="shared" si="27"/>
        <v>36.931841109059306</v>
      </c>
      <c r="K261" s="58">
        <v>48.7</v>
      </c>
      <c r="L261" s="96">
        <f t="shared" si="28"/>
        <v>3.9022573595292251</v>
      </c>
      <c r="M261" s="96"/>
      <c r="N261" s="96"/>
      <c r="O261" s="96"/>
      <c r="P261" s="96"/>
      <c r="Q261" s="96"/>
      <c r="R261" s="96"/>
      <c r="S261" s="17">
        <v>422.1</v>
      </c>
      <c r="T261">
        <v>73.86</v>
      </c>
    </row>
    <row r="262" spans="1:20" x14ac:dyDescent="0.25">
      <c r="A262" s="17" t="str">
        <f t="shared" si="29"/>
        <v>CIRC  114.3*5</v>
      </c>
      <c r="B262" s="33">
        <f t="shared" si="24"/>
        <v>13.477511023716552</v>
      </c>
      <c r="C262" s="17">
        <v>114.3</v>
      </c>
      <c r="D262" s="17">
        <v>5</v>
      </c>
      <c r="E262" s="17"/>
      <c r="F262" s="17"/>
      <c r="G262" s="17"/>
      <c r="H262" s="33">
        <f t="shared" si="25"/>
        <v>17.168803851868219</v>
      </c>
      <c r="I262" s="57">
        <f t="shared" si="26"/>
        <v>256.92020453075236</v>
      </c>
      <c r="J262" s="58">
        <f t="shared" si="27"/>
        <v>44.955416365835937</v>
      </c>
      <c r="K262" s="58">
        <v>59.8</v>
      </c>
      <c r="L262" s="96">
        <f t="shared" si="28"/>
        <v>3.8683798288172273</v>
      </c>
      <c r="M262" s="96"/>
      <c r="N262" s="96"/>
      <c r="O262" s="96"/>
      <c r="P262" s="96"/>
      <c r="Q262" s="96"/>
      <c r="R262" s="96"/>
      <c r="S262" s="17">
        <v>513.80000000000007</v>
      </c>
      <c r="T262">
        <v>89.91</v>
      </c>
    </row>
    <row r="263" spans="1:20" x14ac:dyDescent="0.25">
      <c r="A263" s="17" t="str">
        <f t="shared" si="29"/>
        <v>CIRC  114.3*6.3</v>
      </c>
      <c r="B263" s="33">
        <f t="shared" si="24"/>
        <v>16.779686185794581</v>
      </c>
      <c r="C263" s="17">
        <v>114.3</v>
      </c>
      <c r="D263" s="17">
        <v>6.3</v>
      </c>
      <c r="E263" s="17"/>
      <c r="F263" s="17"/>
      <c r="G263" s="17"/>
      <c r="H263" s="33">
        <f t="shared" si="25"/>
        <v>21.375396415024944</v>
      </c>
      <c r="I263" s="57">
        <f t="shared" si="26"/>
        <v>312.71376658570404</v>
      </c>
      <c r="J263" s="58">
        <f t="shared" si="27"/>
        <v>54.718069393823981</v>
      </c>
      <c r="K263" s="58">
        <v>73.599999999999994</v>
      </c>
      <c r="L263" s="96">
        <f t="shared" si="28"/>
        <v>3.8248676447689007</v>
      </c>
      <c r="M263" s="96"/>
      <c r="N263" s="96"/>
      <c r="O263" s="96"/>
      <c r="P263" s="96"/>
      <c r="Q263" s="96"/>
      <c r="R263" s="96"/>
      <c r="S263" s="17">
        <v>625.40000000000009</v>
      </c>
      <c r="T263">
        <v>109.4</v>
      </c>
    </row>
    <row r="264" spans="1:20" x14ac:dyDescent="0.25">
      <c r="A264" s="17" t="str">
        <f t="shared" si="29"/>
        <v>CIRC  114.3*8</v>
      </c>
      <c r="B264" s="33">
        <f t="shared" si="24"/>
        <v>20.972141582010167</v>
      </c>
      <c r="C264" s="17">
        <v>114.3</v>
      </c>
      <c r="D264" s="17">
        <v>8</v>
      </c>
      <c r="E264" s="17"/>
      <c r="F264" s="17"/>
      <c r="G264" s="17"/>
      <c r="H264" s="33">
        <f t="shared" si="25"/>
        <v>26.716103926127602</v>
      </c>
      <c r="I264" s="57">
        <f t="shared" si="26"/>
        <v>379.49190378037127</v>
      </c>
      <c r="J264" s="58">
        <f t="shared" si="27"/>
        <v>66.402782813713259</v>
      </c>
      <c r="K264" s="58">
        <v>90.6</v>
      </c>
      <c r="L264" s="96">
        <f t="shared" si="28"/>
        <v>3.7689007017962153</v>
      </c>
      <c r="M264" s="96"/>
      <c r="N264" s="96"/>
      <c r="O264" s="96"/>
      <c r="P264" s="96"/>
      <c r="Q264" s="96"/>
      <c r="R264" s="96"/>
      <c r="S264" s="17">
        <v>759</v>
      </c>
      <c r="T264">
        <v>132.80000000000001</v>
      </c>
    </row>
    <row r="265" spans="1:20" x14ac:dyDescent="0.25">
      <c r="A265" s="17" t="str">
        <f t="shared" si="29"/>
        <v>CIRC  114.3*10</v>
      </c>
      <c r="B265" s="33">
        <f t="shared" si="24"/>
        <v>25.721946930899112</v>
      </c>
      <c r="C265" s="17">
        <v>114.3</v>
      </c>
      <c r="D265" s="17">
        <v>10</v>
      </c>
      <c r="E265" s="17"/>
      <c r="F265" s="17"/>
      <c r="G265" s="17"/>
      <c r="H265" s="33">
        <f t="shared" si="25"/>
        <v>32.76681137694154</v>
      </c>
      <c r="I265" s="57">
        <f t="shared" si="26"/>
        <v>449.66263879204871</v>
      </c>
      <c r="J265" s="58">
        <f t="shared" si="27"/>
        <v>78.68112664777756</v>
      </c>
      <c r="K265" s="58">
        <v>109</v>
      </c>
      <c r="L265" s="96">
        <f t="shared" si="28"/>
        <v>3.7044719596725253</v>
      </c>
      <c r="M265" s="96"/>
      <c r="N265" s="96"/>
      <c r="O265" s="96"/>
      <c r="P265" s="96"/>
      <c r="Q265" s="96"/>
      <c r="R265" s="96"/>
      <c r="S265" s="17">
        <v>899.30000000000007</v>
      </c>
      <c r="T265">
        <v>157.4</v>
      </c>
    </row>
    <row r="266" spans="1:20" x14ac:dyDescent="0.25">
      <c r="A266" s="97" t="str">
        <f t="shared" si="29"/>
        <v>CIRC  139.7*4</v>
      </c>
      <c r="B266" s="38">
        <f t="shared" si="24"/>
        <v>13.386263465093041</v>
      </c>
      <c r="C266" s="37">
        <v>139.69999999999999</v>
      </c>
      <c r="D266" s="37">
        <v>4</v>
      </c>
      <c r="E266" s="37"/>
      <c r="F266" s="37"/>
      <c r="G266" s="37"/>
      <c r="H266" s="38">
        <f t="shared" si="25"/>
        <v>17.052564923685402</v>
      </c>
      <c r="I266" s="54">
        <f t="shared" si="26"/>
        <v>392.85890912541822</v>
      </c>
      <c r="J266" s="59">
        <f t="shared" si="27"/>
        <v>56.243222494691231</v>
      </c>
      <c r="K266" s="59">
        <v>73.7</v>
      </c>
      <c r="L266" s="98">
        <f t="shared" si="28"/>
        <v>4.7998033813897001</v>
      </c>
      <c r="M266" s="98"/>
      <c r="N266" s="98"/>
      <c r="O266" s="98"/>
      <c r="P266" s="98"/>
      <c r="Q266" s="98"/>
      <c r="R266" s="98"/>
      <c r="S266" s="37">
        <v>785.7</v>
      </c>
      <c r="T266" s="99">
        <v>112.5</v>
      </c>
    </row>
    <row r="267" spans="1:20" x14ac:dyDescent="0.25">
      <c r="A267" s="100" t="str">
        <f t="shared" si="29"/>
        <v>CIRC  139.7*5</v>
      </c>
      <c r="B267" s="44">
        <f t="shared" si="24"/>
        <v>16.609521819712896</v>
      </c>
      <c r="C267" s="43">
        <v>139.69999999999999</v>
      </c>
      <c r="D267" s="43">
        <v>5</v>
      </c>
      <c r="E267" s="43"/>
      <c r="F267" s="43"/>
      <c r="G267" s="43"/>
      <c r="H267" s="44">
        <f t="shared" si="25"/>
        <v>21.158626521927257</v>
      </c>
      <c r="I267" s="55">
        <f t="shared" si="26"/>
        <v>480.54123694160398</v>
      </c>
      <c r="J267" s="60">
        <f t="shared" si="27"/>
        <v>68.796168495576808</v>
      </c>
      <c r="K267" s="60">
        <v>90.8</v>
      </c>
      <c r="L267" s="101">
        <f t="shared" si="28"/>
        <v>4.7656439753720576</v>
      </c>
      <c r="M267" s="101"/>
      <c r="N267" s="101"/>
      <c r="O267" s="101"/>
      <c r="P267" s="101"/>
      <c r="Q267" s="101"/>
      <c r="R267" s="101"/>
      <c r="S267" s="43">
        <v>961.1</v>
      </c>
      <c r="T267" s="102">
        <v>137.6</v>
      </c>
    </row>
    <row r="268" spans="1:20" x14ac:dyDescent="0.25">
      <c r="A268" s="100" t="str">
        <f t="shared" si="29"/>
        <v>CIRC  139.7*6.3</v>
      </c>
      <c r="B268" s="44">
        <f t="shared" si="24"/>
        <v>20.726019788749973</v>
      </c>
      <c r="C268" s="43">
        <v>139.69999999999999</v>
      </c>
      <c r="D268" s="43">
        <v>6.3</v>
      </c>
      <c r="E268" s="43"/>
      <c r="F268" s="43"/>
      <c r="G268" s="43"/>
      <c r="H268" s="44">
        <f t="shared" si="25"/>
        <v>26.402572979299325</v>
      </c>
      <c r="I268" s="55">
        <f t="shared" si="26"/>
        <v>588.62061216131019</v>
      </c>
      <c r="J268" s="60">
        <f t="shared" si="27"/>
        <v>84.269235814074477</v>
      </c>
      <c r="K268" s="60">
        <v>112</v>
      </c>
      <c r="L268" s="101">
        <f t="shared" si="28"/>
        <v>4.7216588716255217</v>
      </c>
      <c r="M268" s="101"/>
      <c r="N268" s="101"/>
      <c r="O268" s="101"/>
      <c r="P268" s="101"/>
      <c r="Q268" s="101"/>
      <c r="R268" s="101"/>
      <c r="S268" s="43">
        <v>1177</v>
      </c>
      <c r="T268" s="102">
        <v>168.5</v>
      </c>
    </row>
    <row r="269" spans="1:20" x14ac:dyDescent="0.25">
      <c r="A269" s="100" t="str">
        <f t="shared" si="29"/>
        <v>CIRC  139.7*8</v>
      </c>
      <c r="B269" s="44">
        <f t="shared" si="24"/>
        <v>25.983358855604315</v>
      </c>
      <c r="C269" s="43">
        <v>139.69999999999999</v>
      </c>
      <c r="D269" s="43">
        <v>8</v>
      </c>
      <c r="E269" s="43"/>
      <c r="F269" s="43"/>
      <c r="G269" s="43"/>
      <c r="H269" s="44">
        <f t="shared" si="25"/>
        <v>33.099820198222055</v>
      </c>
      <c r="I269" s="55">
        <f t="shared" si="26"/>
        <v>720.28891106328228</v>
      </c>
      <c r="J269" s="60">
        <f t="shared" si="27"/>
        <v>103.11938597899533</v>
      </c>
      <c r="K269" s="60">
        <v>139</v>
      </c>
      <c r="L269" s="101">
        <f t="shared" si="28"/>
        <v>4.6648807594621315</v>
      </c>
      <c r="M269" s="101"/>
      <c r="N269" s="101"/>
      <c r="O269" s="101"/>
      <c r="P269" s="101"/>
      <c r="Q269" s="101"/>
      <c r="R269" s="101"/>
      <c r="S269" s="43">
        <v>1441</v>
      </c>
      <c r="T269" s="102">
        <v>206.2</v>
      </c>
    </row>
    <row r="270" spans="1:20" x14ac:dyDescent="0.25">
      <c r="A270" s="100" t="str">
        <f t="shared" si="29"/>
        <v>CIRC  139.7*10</v>
      </c>
      <c r="B270" s="44">
        <f t="shared" si="24"/>
        <v>31.985968522891806</v>
      </c>
      <c r="C270" s="43">
        <v>139.69999999999999</v>
      </c>
      <c r="D270" s="43">
        <v>10</v>
      </c>
      <c r="E270" s="43"/>
      <c r="F270" s="43"/>
      <c r="G270" s="43"/>
      <c r="H270" s="44">
        <f t="shared" si="25"/>
        <v>40.746456717059623</v>
      </c>
      <c r="I270" s="55">
        <f t="shared" si="26"/>
        <v>861.894009683984</v>
      </c>
      <c r="J270" s="60">
        <f t="shared" si="27"/>
        <v>123.39212737064912</v>
      </c>
      <c r="K270" s="60">
        <v>169</v>
      </c>
      <c r="L270" s="101">
        <f t="shared" si="28"/>
        <v>4.5991969407712903</v>
      </c>
      <c r="M270" s="101"/>
      <c r="N270" s="101"/>
      <c r="O270" s="101"/>
      <c r="P270" s="101"/>
      <c r="Q270" s="101"/>
      <c r="R270" s="101"/>
      <c r="S270" s="43">
        <v>1724</v>
      </c>
      <c r="T270" s="102">
        <v>246.8</v>
      </c>
    </row>
    <row r="271" spans="1:20" x14ac:dyDescent="0.25">
      <c r="A271" s="103" t="str">
        <f t="shared" si="29"/>
        <v>CIRC  139.7*12.5</v>
      </c>
      <c r="B271" s="50">
        <f t="shared" si="24"/>
        <v>39.211788705781004</v>
      </c>
      <c r="C271" s="49">
        <v>139.69999999999999</v>
      </c>
      <c r="D271" s="49">
        <v>12.5</v>
      </c>
      <c r="E271" s="49"/>
      <c r="F271" s="49"/>
      <c r="G271" s="49"/>
      <c r="H271" s="50">
        <f t="shared" si="25"/>
        <v>49.951323192077709</v>
      </c>
      <c r="I271" s="56">
        <f t="shared" si="26"/>
        <v>1020.0116391060858</v>
      </c>
      <c r="J271" s="61">
        <f t="shared" si="27"/>
        <v>146.02886744539526</v>
      </c>
      <c r="K271" s="61">
        <v>203</v>
      </c>
      <c r="L271" s="104">
        <f t="shared" si="28"/>
        <v>4.518861858919788</v>
      </c>
      <c r="M271" s="104"/>
      <c r="N271" s="104"/>
      <c r="O271" s="104"/>
      <c r="P271" s="104"/>
      <c r="Q271" s="104"/>
      <c r="R271" s="104"/>
      <c r="S271" s="49">
        <v>2040</v>
      </c>
      <c r="T271" s="105">
        <v>292.10000000000002</v>
      </c>
    </row>
    <row r="272" spans="1:20" x14ac:dyDescent="0.25">
      <c r="A272" s="17" t="str">
        <f t="shared" si="29"/>
        <v>CIRC  168.3*4</v>
      </c>
      <c r="B272" s="33">
        <f t="shared" si="24"/>
        <v>16.20753933172281</v>
      </c>
      <c r="C272" s="17">
        <v>168.3</v>
      </c>
      <c r="D272" s="17">
        <v>4</v>
      </c>
      <c r="E272" s="17"/>
      <c r="F272" s="17"/>
      <c r="G272" s="17"/>
      <c r="H272" s="33">
        <f t="shared" si="25"/>
        <v>20.646546919392112</v>
      </c>
      <c r="I272" s="57">
        <f t="shared" si="26"/>
        <v>697.09168637596451</v>
      </c>
      <c r="J272" s="58">
        <f t="shared" si="27"/>
        <v>82.839178416632734</v>
      </c>
      <c r="K272" s="106">
        <v>108</v>
      </c>
      <c r="L272" s="96">
        <f t="shared" si="28"/>
        <v>5.8106034540312601</v>
      </c>
      <c r="M272" s="96"/>
      <c r="N272" s="96"/>
      <c r="O272" s="96"/>
      <c r="P272" s="96"/>
      <c r="Q272" s="96"/>
      <c r="R272" s="96"/>
      <c r="S272" s="17">
        <v>1394</v>
      </c>
      <c r="T272">
        <v>165.7</v>
      </c>
    </row>
    <row r="273" spans="1:20" x14ac:dyDescent="0.25">
      <c r="A273" s="17" t="str">
        <f t="shared" si="29"/>
        <v>CIRC  168.3*5</v>
      </c>
      <c r="B273" s="33">
        <f t="shared" si="24"/>
        <v>20.136116653000119</v>
      </c>
      <c r="C273" s="17">
        <v>168.3</v>
      </c>
      <c r="D273" s="17">
        <v>5</v>
      </c>
      <c r="E273" s="17"/>
      <c r="F273" s="17"/>
      <c r="G273" s="17"/>
      <c r="H273" s="33">
        <f t="shared" si="25"/>
        <v>25.651104016560662</v>
      </c>
      <c r="I273" s="57">
        <f t="shared" si="26"/>
        <v>855.84555848574439</v>
      </c>
      <c r="J273" s="58">
        <f t="shared" si="27"/>
        <v>101.70476036669569</v>
      </c>
      <c r="K273" s="106">
        <v>133</v>
      </c>
      <c r="L273" s="96">
        <f t="shared" si="28"/>
        <v>5.7762325524514688</v>
      </c>
      <c r="M273" s="96"/>
      <c r="N273" s="96"/>
      <c r="O273" s="96"/>
      <c r="P273" s="96"/>
      <c r="Q273" s="96"/>
      <c r="R273" s="96"/>
      <c r="S273" s="17">
        <v>1712</v>
      </c>
      <c r="T273">
        <v>203.4</v>
      </c>
    </row>
    <row r="274" spans="1:20" x14ac:dyDescent="0.25">
      <c r="A274" s="17" t="str">
        <f t="shared" si="29"/>
        <v>CIRC  168.3*6.3</v>
      </c>
      <c r="B274" s="33">
        <f t="shared" si="24"/>
        <v>25.169529278691872</v>
      </c>
      <c r="C274" s="17">
        <v>168.3</v>
      </c>
      <c r="D274" s="17">
        <v>6.3</v>
      </c>
      <c r="E274" s="17"/>
      <c r="F274" s="17"/>
      <c r="G274" s="17"/>
      <c r="H274" s="33">
        <f t="shared" si="25"/>
        <v>32.063094622537413</v>
      </c>
      <c r="I274" s="57">
        <f t="shared" si="26"/>
        <v>1053.4205493743011</v>
      </c>
      <c r="J274" s="58">
        <f t="shared" si="27"/>
        <v>125.1836659981344</v>
      </c>
      <c r="K274" s="106">
        <v>165</v>
      </c>
      <c r="L274" s="96">
        <f t="shared" si="28"/>
        <v>5.7318943203796096</v>
      </c>
      <c r="M274" s="96"/>
      <c r="N274" s="96"/>
      <c r="O274" s="96"/>
      <c r="P274" s="96"/>
      <c r="Q274" s="96"/>
      <c r="R274" s="96"/>
      <c r="S274" s="17">
        <v>2107</v>
      </c>
      <c r="T274">
        <v>250.4</v>
      </c>
    </row>
    <row r="275" spans="1:20" x14ac:dyDescent="0.25">
      <c r="A275" s="17" t="str">
        <f t="shared" si="29"/>
        <v>CIRC  168.3*8</v>
      </c>
      <c r="B275" s="33">
        <f t="shared" si="24"/>
        <v>31.625910588863864</v>
      </c>
      <c r="C275" s="17">
        <v>168.3</v>
      </c>
      <c r="D275" s="17">
        <v>8</v>
      </c>
      <c r="E275" s="17"/>
      <c r="F275" s="17"/>
      <c r="G275" s="17"/>
      <c r="H275" s="33">
        <f t="shared" si="25"/>
        <v>40.287784189635495</v>
      </c>
      <c r="I275" s="57">
        <f t="shared" si="26"/>
        <v>1297.271183281985</v>
      </c>
      <c r="J275" s="58">
        <f t="shared" si="27"/>
        <v>154.16175677741947</v>
      </c>
      <c r="K275" s="106">
        <v>206</v>
      </c>
      <c r="L275" s="96">
        <f t="shared" si="28"/>
        <v>5.6745142963957731</v>
      </c>
      <c r="M275" s="96"/>
      <c r="N275" s="96"/>
      <c r="O275" s="96"/>
      <c r="P275" s="96"/>
      <c r="Q275" s="96"/>
      <c r="R275" s="96"/>
      <c r="S275" s="17">
        <v>2595</v>
      </c>
      <c r="T275">
        <v>308.3</v>
      </c>
    </row>
    <row r="276" spans="1:20" x14ac:dyDescent="0.25">
      <c r="A276" s="17" t="str">
        <f t="shared" si="29"/>
        <v>CIRC  168.3*10</v>
      </c>
      <c r="B276" s="33">
        <f t="shared" si="24"/>
        <v>39.039158189466249</v>
      </c>
      <c r="C276" s="17">
        <v>168.3</v>
      </c>
      <c r="D276" s="17">
        <v>10</v>
      </c>
      <c r="E276" s="17"/>
      <c r="F276" s="17"/>
      <c r="G276" s="17"/>
      <c r="H276" s="33">
        <f t="shared" si="25"/>
        <v>49.731411706326426</v>
      </c>
      <c r="I276" s="57">
        <f t="shared" si="26"/>
        <v>1563.9838958302241</v>
      </c>
      <c r="J276" s="58">
        <f t="shared" si="27"/>
        <v>185.85667211292025</v>
      </c>
      <c r="K276" s="106">
        <v>251</v>
      </c>
      <c r="L276" s="96">
        <f t="shared" si="28"/>
        <v>5.6079062492163692</v>
      </c>
      <c r="M276" s="96"/>
      <c r="N276" s="96"/>
      <c r="O276" s="96"/>
      <c r="P276" s="96"/>
      <c r="Q276" s="96"/>
      <c r="R276" s="96"/>
      <c r="S276" s="17">
        <v>3128</v>
      </c>
      <c r="T276">
        <v>371.7</v>
      </c>
    </row>
    <row r="277" spans="1:20" x14ac:dyDescent="0.25">
      <c r="A277" s="97" t="str">
        <f t="shared" si="29"/>
        <v>CIRC  177.8*5</v>
      </c>
      <c r="B277" s="38">
        <f t="shared" si="24"/>
        <v>21.307538013707415</v>
      </c>
      <c r="C277" s="37">
        <v>177.8</v>
      </c>
      <c r="D277" s="37">
        <v>5</v>
      </c>
      <c r="E277" s="37"/>
      <c r="F277" s="37"/>
      <c r="G277" s="37"/>
      <c r="H277" s="38">
        <f t="shared" si="25"/>
        <v>27.143360527015812</v>
      </c>
      <c r="I277" s="54">
        <f t="shared" si="26"/>
        <v>1013.9687330152292</v>
      </c>
      <c r="J277" s="59">
        <f t="shared" si="27"/>
        <v>114.05722531104939</v>
      </c>
      <c r="K277" s="107">
        <v>149</v>
      </c>
      <c r="L277" s="98">
        <f t="shared" si="28"/>
        <v>6.1119595875627324</v>
      </c>
      <c r="M277" s="98"/>
      <c r="N277" s="98"/>
      <c r="O277" s="98"/>
      <c r="P277" s="98"/>
      <c r="Q277" s="98"/>
      <c r="R277" s="98"/>
      <c r="S277" s="37">
        <v>2028</v>
      </c>
      <c r="T277" s="99">
        <v>228.1</v>
      </c>
    </row>
    <row r="278" spans="1:20" x14ac:dyDescent="0.25">
      <c r="A278" s="100" t="str">
        <f t="shared" si="29"/>
        <v>CIRC  177.8*6.3</v>
      </c>
      <c r="B278" s="44">
        <f t="shared" si="24"/>
        <v>26.645520193183067</v>
      </c>
      <c r="C278" s="43">
        <v>177.8</v>
      </c>
      <c r="D278" s="43">
        <v>6.3</v>
      </c>
      <c r="E278" s="43"/>
      <c r="F278" s="43"/>
      <c r="G278" s="43"/>
      <c r="H278" s="44">
        <f t="shared" si="25"/>
        <v>33.943337825710913</v>
      </c>
      <c r="I278" s="55">
        <f t="shared" si="26"/>
        <v>1249.6214363032107</v>
      </c>
      <c r="J278" s="60">
        <f t="shared" si="27"/>
        <v>140.56484097898883</v>
      </c>
      <c r="K278" s="108">
        <v>185</v>
      </c>
      <c r="L278" s="101">
        <f t="shared" si="28"/>
        <v>6.0675303872333437</v>
      </c>
      <c r="M278" s="101"/>
      <c r="N278" s="101"/>
      <c r="O278" s="101"/>
      <c r="P278" s="101"/>
      <c r="Q278" s="101"/>
      <c r="R278" s="101"/>
      <c r="S278" s="43">
        <v>2499</v>
      </c>
      <c r="T278" s="102">
        <v>281.10000000000002</v>
      </c>
    </row>
    <row r="279" spans="1:20" x14ac:dyDescent="0.25">
      <c r="A279" s="100" t="str">
        <f t="shared" si="29"/>
        <v>CIRC  177.8*8</v>
      </c>
      <c r="B279" s="44">
        <f t="shared" si="24"/>
        <v>33.500184765995527</v>
      </c>
      <c r="C279" s="43">
        <v>177.8</v>
      </c>
      <c r="D279" s="43">
        <v>8</v>
      </c>
      <c r="E279" s="43"/>
      <c r="F279" s="43"/>
      <c r="G279" s="43"/>
      <c r="H279" s="44">
        <f t="shared" si="25"/>
        <v>42.675394606363731</v>
      </c>
      <c r="I279" s="55">
        <f t="shared" si="26"/>
        <v>1541.4373869515891</v>
      </c>
      <c r="J279" s="60">
        <f t="shared" si="27"/>
        <v>173.39003227801902</v>
      </c>
      <c r="K279" s="108">
        <v>231</v>
      </c>
      <c r="L279" s="101">
        <f t="shared" si="28"/>
        <v>6.0099958402647848</v>
      </c>
      <c r="M279" s="101"/>
      <c r="N279" s="101"/>
      <c r="O279" s="101"/>
      <c r="P279" s="101"/>
      <c r="Q279" s="101"/>
      <c r="R279" s="101"/>
      <c r="S279" s="43">
        <v>3083</v>
      </c>
      <c r="T279" s="102">
        <v>346.8</v>
      </c>
    </row>
    <row r="280" spans="1:20" x14ac:dyDescent="0.25">
      <c r="A280" s="100" t="str">
        <f t="shared" si="29"/>
        <v>CIRC  177.8*10</v>
      </c>
      <c r="B280" s="44">
        <f t="shared" si="24"/>
        <v>41.382000910880834</v>
      </c>
      <c r="C280" s="43">
        <v>177.8</v>
      </c>
      <c r="D280" s="43">
        <v>10</v>
      </c>
      <c r="E280" s="43"/>
      <c r="F280" s="43"/>
      <c r="G280" s="43"/>
      <c r="H280" s="44">
        <f t="shared" si="25"/>
        <v>52.715924727236725</v>
      </c>
      <c r="I280" s="55">
        <f t="shared" si="26"/>
        <v>1861.9818130869653</v>
      </c>
      <c r="J280" s="60">
        <f t="shared" si="27"/>
        <v>209.44677312564289</v>
      </c>
      <c r="K280" s="108">
        <v>282</v>
      </c>
      <c r="L280" s="101">
        <f t="shared" si="28"/>
        <v>5.9431515208683692</v>
      </c>
      <c r="M280" s="101"/>
      <c r="N280" s="101"/>
      <c r="O280" s="101"/>
      <c r="P280" s="101"/>
      <c r="Q280" s="101"/>
      <c r="R280" s="101"/>
      <c r="S280" s="43">
        <v>3724</v>
      </c>
      <c r="T280" s="102">
        <v>418.9</v>
      </c>
    </row>
    <row r="281" spans="1:20" x14ac:dyDescent="0.25">
      <c r="A281" s="103" t="str">
        <f t="shared" si="29"/>
        <v>CIRC  177.8*12.5</v>
      </c>
      <c r="B281" s="50">
        <f t="shared" si="24"/>
        <v>50.956829190767301</v>
      </c>
      <c r="C281" s="49">
        <v>177.8</v>
      </c>
      <c r="D281" s="49">
        <v>12.5</v>
      </c>
      <c r="E281" s="49"/>
      <c r="F281" s="49"/>
      <c r="G281" s="49"/>
      <c r="H281" s="50">
        <f t="shared" si="25"/>
        <v>64.913158204799103</v>
      </c>
      <c r="I281" s="56">
        <f t="shared" si="26"/>
        <v>2229.7945724270867</v>
      </c>
      <c r="J281" s="61">
        <f t="shared" si="27"/>
        <v>250.82053683094335</v>
      </c>
      <c r="K281" s="109">
        <v>342</v>
      </c>
      <c r="L281" s="104">
        <f t="shared" si="28"/>
        <v>5.8609235620335474</v>
      </c>
      <c r="M281" s="104"/>
      <c r="N281" s="104"/>
      <c r="O281" s="104"/>
      <c r="P281" s="104"/>
      <c r="Q281" s="104"/>
      <c r="R281" s="104"/>
      <c r="S281" s="49">
        <v>4460</v>
      </c>
      <c r="T281" s="105">
        <v>501.6</v>
      </c>
    </row>
    <row r="282" spans="1:20" x14ac:dyDescent="0.25">
      <c r="A282" s="17" t="str">
        <f t="shared" si="29"/>
        <v>CIRC  193.7*5</v>
      </c>
      <c r="B282" s="33">
        <f t="shared" si="24"/>
        <v>23.268127448996463</v>
      </c>
      <c r="C282" s="17">
        <v>193.7</v>
      </c>
      <c r="D282" s="17">
        <v>5</v>
      </c>
      <c r="E282" s="17"/>
      <c r="F282" s="17"/>
      <c r="G282" s="17"/>
      <c r="H282" s="33">
        <f t="shared" si="25"/>
        <v>29.640926686619697</v>
      </c>
      <c r="I282" s="57">
        <f t="shared" si="26"/>
        <v>1320.232439921308</v>
      </c>
      <c r="J282" s="57">
        <f t="shared" si="27"/>
        <v>136.31723695625277</v>
      </c>
      <c r="K282" s="106">
        <v>178</v>
      </c>
      <c r="L282" s="96">
        <f t="shared" si="28"/>
        <v>6.6738941031454777</v>
      </c>
      <c r="M282" s="96"/>
      <c r="N282" s="96"/>
      <c r="O282" s="96"/>
      <c r="P282" s="96"/>
      <c r="Q282" s="96"/>
      <c r="R282" s="96"/>
      <c r="S282" s="17">
        <v>2640</v>
      </c>
      <c r="T282">
        <v>272.60000000000002</v>
      </c>
    </row>
    <row r="283" spans="1:20" x14ac:dyDescent="0.25">
      <c r="A283" s="17" t="str">
        <f t="shared" si="29"/>
        <v>CIRC  193.7*6.3</v>
      </c>
      <c r="B283" s="33">
        <f t="shared" si="24"/>
        <v>29.115862881647249</v>
      </c>
      <c r="C283" s="17">
        <v>193.7</v>
      </c>
      <c r="D283" s="17">
        <v>6.3</v>
      </c>
      <c r="E283" s="17"/>
      <c r="F283" s="17"/>
      <c r="G283" s="17"/>
      <c r="H283" s="33">
        <f t="shared" si="25"/>
        <v>37.090271186811783</v>
      </c>
      <c r="I283" s="57">
        <f t="shared" si="26"/>
        <v>1630.0455562599525</v>
      </c>
      <c r="J283" s="57">
        <f t="shared" si="27"/>
        <v>168.3062009561128</v>
      </c>
      <c r="K283" s="106">
        <v>221</v>
      </c>
      <c r="L283" s="96">
        <f t="shared" si="28"/>
        <v>6.629333488368192</v>
      </c>
      <c r="M283" s="96"/>
      <c r="N283" s="96"/>
      <c r="O283" s="96"/>
      <c r="P283" s="96"/>
      <c r="Q283" s="96"/>
      <c r="R283" s="96"/>
      <c r="S283" s="17">
        <v>3260</v>
      </c>
      <c r="T283">
        <v>336.6</v>
      </c>
    </row>
    <row r="284" spans="1:20" x14ac:dyDescent="0.25">
      <c r="A284" s="17" t="str">
        <f t="shared" si="29"/>
        <v>CIRC  193.7*8</v>
      </c>
      <c r="B284" s="33">
        <f t="shared" si="24"/>
        <v>36.637127862458009</v>
      </c>
      <c r="C284" s="17">
        <v>193.7</v>
      </c>
      <c r="D284" s="17">
        <v>8</v>
      </c>
      <c r="E284" s="17"/>
      <c r="F284" s="17"/>
      <c r="G284" s="17"/>
      <c r="H284" s="33">
        <f t="shared" si="25"/>
        <v>46.671500461729948</v>
      </c>
      <c r="I284" s="57">
        <f t="shared" si="26"/>
        <v>2015.5373337338401</v>
      </c>
      <c r="J284" s="57">
        <f t="shared" si="27"/>
        <v>208.10917230086113</v>
      </c>
      <c r="K284" s="106">
        <v>276</v>
      </c>
      <c r="L284" s="96">
        <f t="shared" si="28"/>
        <v>6.5715761047103447</v>
      </c>
      <c r="M284" s="96"/>
      <c r="N284" s="96"/>
      <c r="O284" s="96"/>
      <c r="P284" s="96"/>
      <c r="Q284" s="96"/>
      <c r="R284" s="96"/>
      <c r="S284" s="17">
        <v>4031</v>
      </c>
      <c r="T284">
        <v>416.2</v>
      </c>
    </row>
    <row r="285" spans="1:20" x14ac:dyDescent="0.25">
      <c r="A285" s="17" t="str">
        <f t="shared" si="29"/>
        <v>CIRC  193.7*10</v>
      </c>
      <c r="B285" s="33">
        <f t="shared" si="24"/>
        <v>45.303179781458937</v>
      </c>
      <c r="C285" s="17">
        <v>193.7</v>
      </c>
      <c r="D285" s="17">
        <v>10</v>
      </c>
      <c r="E285" s="17"/>
      <c r="F285" s="17"/>
      <c r="G285" s="17"/>
      <c r="H285" s="33">
        <f t="shared" si="25"/>
        <v>57.711057046444502</v>
      </c>
      <c r="I285" s="57">
        <f t="shared" si="26"/>
        <v>2441.5881829578443</v>
      </c>
      <c r="J285" s="57">
        <f t="shared" si="27"/>
        <v>252.09996726461995</v>
      </c>
      <c r="K285" s="106">
        <v>338</v>
      </c>
      <c r="L285" s="96">
        <f t="shared" si="28"/>
        <v>6.504391785555355</v>
      </c>
      <c r="M285" s="96"/>
      <c r="N285" s="96"/>
      <c r="O285" s="96"/>
      <c r="P285" s="96"/>
      <c r="Q285" s="96"/>
      <c r="R285" s="96"/>
      <c r="S285" s="17">
        <v>4883</v>
      </c>
      <c r="T285">
        <v>504.2</v>
      </c>
    </row>
    <row r="286" spans="1:20" x14ac:dyDescent="0.25">
      <c r="A286" s="17" t="str">
        <f t="shared" si="29"/>
        <v>CIRC  193.7*12.5</v>
      </c>
      <c r="B286" s="33">
        <f t="shared" si="24"/>
        <v>55.858302778989916</v>
      </c>
      <c r="C286" s="17">
        <v>193.7</v>
      </c>
      <c r="D286" s="17">
        <v>12.5</v>
      </c>
      <c r="E286" s="17"/>
      <c r="F286" s="17"/>
      <c r="G286" s="17"/>
      <c r="H286" s="33">
        <f t="shared" si="25"/>
        <v>71.157073603808811</v>
      </c>
      <c r="I286" s="57">
        <f t="shared" si="26"/>
        <v>2934.3122493710439</v>
      </c>
      <c r="J286" s="57">
        <f t="shared" si="27"/>
        <v>302.97493540227606</v>
      </c>
      <c r="K286" s="106">
        <v>411</v>
      </c>
      <c r="L286" s="96">
        <f t="shared" si="28"/>
        <v>6.4216129204429624</v>
      </c>
      <c r="M286" s="96"/>
      <c r="N286" s="96"/>
      <c r="O286" s="96"/>
      <c r="P286" s="96"/>
      <c r="Q286" s="96"/>
      <c r="R286" s="96"/>
      <c r="S286" s="17">
        <v>5869</v>
      </c>
      <c r="T286">
        <v>605.9</v>
      </c>
    </row>
    <row r="287" spans="1:20" x14ac:dyDescent="0.25">
      <c r="A287" s="17" t="str">
        <f t="shared" si="29"/>
        <v>CIRC  193.7*14.2</v>
      </c>
      <c r="B287" s="33">
        <f t="shared" si="24"/>
        <v>62.859703290669955</v>
      </c>
      <c r="C287" s="17">
        <v>193.7</v>
      </c>
      <c r="D287" s="17">
        <v>14.2</v>
      </c>
      <c r="E287" s="17"/>
      <c r="F287" s="17"/>
      <c r="G287" s="17"/>
      <c r="H287" s="33">
        <f t="shared" si="25"/>
        <v>80.07605514735026</v>
      </c>
      <c r="I287" s="57">
        <f t="shared" si="26"/>
        <v>3245.2713145266539</v>
      </c>
      <c r="J287" s="57">
        <f t="shared" si="27"/>
        <v>335.08222142763589</v>
      </c>
      <c r="K287" s="106">
        <v>458</v>
      </c>
      <c r="L287" s="96">
        <f t="shared" si="28"/>
        <v>6.3661104687242105</v>
      </c>
      <c r="M287" s="96"/>
      <c r="N287" s="96"/>
      <c r="O287" s="96"/>
      <c r="P287" s="96"/>
      <c r="Q287" s="96"/>
      <c r="R287" s="96"/>
      <c r="S287" s="17">
        <v>6491</v>
      </c>
      <c r="T287">
        <v>670.2</v>
      </c>
    </row>
    <row r="288" spans="1:20" x14ac:dyDescent="0.25">
      <c r="A288" s="17" t="str">
        <f t="shared" si="29"/>
        <v>CIRC  193.7*16</v>
      </c>
      <c r="B288" s="33">
        <f t="shared" si="24"/>
        <v>70.117583426589022</v>
      </c>
      <c r="C288" s="17">
        <v>193.7</v>
      </c>
      <c r="D288" s="17">
        <v>16</v>
      </c>
      <c r="E288" s="17"/>
      <c r="F288" s="17"/>
      <c r="G288" s="17"/>
      <c r="H288" s="33">
        <f t="shared" si="25"/>
        <v>89.321762326864999</v>
      </c>
      <c r="I288" s="57">
        <f t="shared" si="26"/>
        <v>3554.2569543277086</v>
      </c>
      <c r="J288" s="57">
        <f t="shared" si="27"/>
        <v>366.98574644581396</v>
      </c>
      <c r="K288" s="106">
        <v>507</v>
      </c>
      <c r="L288" s="96">
        <f t="shared" si="28"/>
        <v>6.3080593291439468</v>
      </c>
      <c r="M288" s="96"/>
      <c r="N288" s="96"/>
      <c r="O288" s="96"/>
      <c r="P288" s="96"/>
      <c r="Q288" s="96"/>
      <c r="R288" s="96"/>
      <c r="S288" s="17">
        <v>7109</v>
      </c>
      <c r="T288">
        <v>734</v>
      </c>
    </row>
    <row r="289" spans="1:20" x14ac:dyDescent="0.25">
      <c r="A289" s="97" t="str">
        <f t="shared" si="29"/>
        <v>CIRC  219.1*5</v>
      </c>
      <c r="B289" s="38">
        <f t="shared" si="24"/>
        <v>26.400138244992807</v>
      </c>
      <c r="C289" s="37">
        <v>219.1</v>
      </c>
      <c r="D289" s="37">
        <v>5</v>
      </c>
      <c r="E289" s="37"/>
      <c r="F289" s="37"/>
      <c r="G289" s="37"/>
      <c r="H289" s="38">
        <f t="shared" si="25"/>
        <v>33.630749356678734</v>
      </c>
      <c r="I289" s="54">
        <f t="shared" si="26"/>
        <v>1928.0428733154195</v>
      </c>
      <c r="J289" s="54">
        <f t="shared" si="27"/>
        <v>175.99661098269462</v>
      </c>
      <c r="K289" s="107">
        <v>229</v>
      </c>
      <c r="L289" s="98">
        <f t="shared" si="28"/>
        <v>7.5716419949704434</v>
      </c>
      <c r="M289" s="98"/>
      <c r="N289" s="98"/>
      <c r="O289" s="98"/>
      <c r="P289" s="98"/>
      <c r="Q289" s="98"/>
      <c r="R289" s="98"/>
      <c r="S289" s="37">
        <v>3856</v>
      </c>
      <c r="T289" s="99">
        <v>352</v>
      </c>
    </row>
    <row r="290" spans="1:20" x14ac:dyDescent="0.25">
      <c r="A290" s="100" t="str">
        <f t="shared" si="29"/>
        <v>CIRC  219.1*6.3</v>
      </c>
      <c r="B290" s="44">
        <f t="shared" ref="B290:B340" si="30">H290*0.785</f>
        <v>33.062196484602651</v>
      </c>
      <c r="C290" s="43">
        <v>219.1</v>
      </c>
      <c r="D290" s="43">
        <v>6.3</v>
      </c>
      <c r="E290" s="43"/>
      <c r="F290" s="43"/>
      <c r="G290" s="43"/>
      <c r="H290" s="44">
        <f t="shared" ref="H290:H340" si="31">(C290^2-(C290-2*D290)^2)*PI()*0.01/4</f>
        <v>42.117447751086182</v>
      </c>
      <c r="I290" s="55">
        <f t="shared" ref="I290:I340" si="32">(C290^4-(C290-2*D290)^4)*PI()*0.0001/64</f>
        <v>2386.139258337234</v>
      </c>
      <c r="J290" s="55">
        <f t="shared" ref="J290:J340" si="33">I290/(C290*0.5*0.1)</f>
        <v>217.81280313438921</v>
      </c>
      <c r="K290" s="108">
        <v>285</v>
      </c>
      <c r="L290" s="101">
        <f t="shared" ref="L290:L340" si="34">SQRT(I290/H290)</f>
        <v>7.5269125476519259</v>
      </c>
      <c r="M290" s="101"/>
      <c r="N290" s="101"/>
      <c r="O290" s="101"/>
      <c r="P290" s="101"/>
      <c r="Q290" s="101"/>
      <c r="R290" s="101"/>
      <c r="S290" s="43">
        <v>4772</v>
      </c>
      <c r="T290" s="102">
        <v>435.6</v>
      </c>
    </row>
    <row r="291" spans="1:20" x14ac:dyDescent="0.25">
      <c r="A291" s="100" t="str">
        <f t="shared" ref="A291:A356" si="35">$B$225&amp;"  "&amp;C291&amp;"*"&amp;D291</f>
        <v>CIRC  219.1*8</v>
      </c>
      <c r="B291" s="44">
        <f t="shared" si="30"/>
        <v>41.648345136052157</v>
      </c>
      <c r="C291" s="43">
        <v>219.1</v>
      </c>
      <c r="D291" s="43">
        <v>8</v>
      </c>
      <c r="E291" s="43"/>
      <c r="F291" s="43"/>
      <c r="G291" s="43"/>
      <c r="H291" s="44">
        <f t="shared" si="31"/>
        <v>53.055216733824402</v>
      </c>
      <c r="I291" s="55">
        <f t="shared" si="32"/>
        <v>2959.63287346987</v>
      </c>
      <c r="J291" s="55">
        <f t="shared" si="33"/>
        <v>270.16274518209678</v>
      </c>
      <c r="K291" s="108">
        <v>357</v>
      </c>
      <c r="L291" s="101">
        <f t="shared" si="34"/>
        <v>7.468869559712501</v>
      </c>
      <c r="M291" s="101"/>
      <c r="N291" s="101"/>
      <c r="O291" s="101"/>
      <c r="P291" s="101"/>
      <c r="Q291" s="101"/>
      <c r="R291" s="101"/>
      <c r="S291" s="43">
        <v>5919</v>
      </c>
      <c r="T291" s="102">
        <v>540.29999999999995</v>
      </c>
    </row>
    <row r="292" spans="1:20" x14ac:dyDescent="0.25">
      <c r="A292" s="100" t="str">
        <f t="shared" si="35"/>
        <v>CIRC  219.1*10</v>
      </c>
      <c r="B292" s="44">
        <f t="shared" si="30"/>
        <v>51.567201373451624</v>
      </c>
      <c r="C292" s="43">
        <v>219.1</v>
      </c>
      <c r="D292" s="43">
        <v>10</v>
      </c>
      <c r="E292" s="43"/>
      <c r="F292" s="43"/>
      <c r="G292" s="43"/>
      <c r="H292" s="44">
        <f t="shared" si="31"/>
        <v>65.690702386562577</v>
      </c>
      <c r="I292" s="55">
        <f t="shared" si="32"/>
        <v>3598.4389618160981</v>
      </c>
      <c r="J292" s="55">
        <f t="shared" si="33"/>
        <v>328.474574332825</v>
      </c>
      <c r="K292" s="108">
        <v>438</v>
      </c>
      <c r="L292" s="101">
        <f t="shared" si="34"/>
        <v>7.4012507388954196</v>
      </c>
      <c r="M292" s="101"/>
      <c r="N292" s="101"/>
      <c r="O292" s="101"/>
      <c r="P292" s="101"/>
      <c r="Q292" s="101"/>
      <c r="R292" s="101"/>
      <c r="S292" s="43">
        <v>7197</v>
      </c>
      <c r="T292" s="102">
        <v>656.9</v>
      </c>
    </row>
    <row r="293" spans="1:20" x14ac:dyDescent="0.25">
      <c r="A293" s="100" t="str">
        <f t="shared" si="35"/>
        <v>CIRC  219.1*12.5</v>
      </c>
      <c r="B293" s="44">
        <f t="shared" si="30"/>
        <v>63.688329768980779</v>
      </c>
      <c r="C293" s="43">
        <v>219.1</v>
      </c>
      <c r="D293" s="43">
        <v>12.5</v>
      </c>
      <c r="E293" s="43"/>
      <c r="F293" s="43"/>
      <c r="G293" s="43"/>
      <c r="H293" s="44">
        <f t="shared" si="31"/>
        <v>81.131630278956408</v>
      </c>
      <c r="I293" s="55">
        <f t="shared" si="32"/>
        <v>4344.5795326759244</v>
      </c>
      <c r="J293" s="55">
        <f t="shared" si="33"/>
        <v>396.58416546562523</v>
      </c>
      <c r="K293" s="108">
        <v>534</v>
      </c>
      <c r="L293" s="101">
        <f t="shared" si="34"/>
        <v>7.3177703229877338</v>
      </c>
      <c r="M293" s="101"/>
      <c r="N293" s="101"/>
      <c r="O293" s="101"/>
      <c r="P293" s="101"/>
      <c r="Q293" s="101"/>
      <c r="R293" s="101"/>
      <c r="S293" s="43">
        <v>8689</v>
      </c>
      <c r="T293" s="102">
        <v>793.2</v>
      </c>
    </row>
    <row r="294" spans="1:20" x14ac:dyDescent="0.25">
      <c r="A294" s="100" t="str">
        <f t="shared" si="35"/>
        <v>CIRC  219.1*14.2</v>
      </c>
      <c r="B294" s="44">
        <f t="shared" si="30"/>
        <v>71.754613951299561</v>
      </c>
      <c r="C294" s="43">
        <v>219.1</v>
      </c>
      <c r="D294" s="43">
        <v>14.2</v>
      </c>
      <c r="E294" s="43"/>
      <c r="F294" s="43"/>
      <c r="G294" s="43"/>
      <c r="H294" s="44">
        <f t="shared" si="31"/>
        <v>91.407151530317904</v>
      </c>
      <c r="I294" s="55">
        <f t="shared" si="32"/>
        <v>4820.0876274436941</v>
      </c>
      <c r="J294" s="55">
        <f t="shared" si="33"/>
        <v>439.98974234994927</v>
      </c>
      <c r="K294" s="108">
        <v>597</v>
      </c>
      <c r="L294" s="101">
        <f t="shared" si="34"/>
        <v>7.261684549744639</v>
      </c>
      <c r="M294" s="101"/>
      <c r="N294" s="101"/>
      <c r="O294" s="101"/>
      <c r="P294" s="101"/>
      <c r="Q294" s="101"/>
      <c r="R294" s="101"/>
      <c r="S294" s="43">
        <v>9640</v>
      </c>
      <c r="T294" s="102">
        <v>880</v>
      </c>
    </row>
    <row r="295" spans="1:20" x14ac:dyDescent="0.25">
      <c r="A295" s="100" t="str">
        <f t="shared" si="35"/>
        <v>CIRC  219.1*16</v>
      </c>
      <c r="B295" s="44">
        <f t="shared" si="30"/>
        <v>80.140017973777347</v>
      </c>
      <c r="C295" s="43">
        <v>219.1</v>
      </c>
      <c r="D295" s="43">
        <v>16</v>
      </c>
      <c r="E295" s="43"/>
      <c r="F295" s="43"/>
      <c r="G295" s="43"/>
      <c r="H295" s="44">
        <f t="shared" si="31"/>
        <v>102.08919487105393</v>
      </c>
      <c r="I295" s="55">
        <f t="shared" si="32"/>
        <v>5296.5928844149566</v>
      </c>
      <c r="J295" s="55">
        <f t="shared" si="33"/>
        <v>483.48634271245612</v>
      </c>
      <c r="K295" s="108">
        <v>661</v>
      </c>
      <c r="L295" s="101">
        <f t="shared" si="34"/>
        <v>7.2029169438499014</v>
      </c>
      <c r="M295" s="101"/>
      <c r="N295" s="101"/>
      <c r="O295" s="101"/>
      <c r="P295" s="101"/>
      <c r="Q295" s="101"/>
      <c r="R295" s="101"/>
      <c r="S295" s="43">
        <v>10590</v>
      </c>
      <c r="T295" s="102">
        <v>967</v>
      </c>
    </row>
    <row r="296" spans="1:20" x14ac:dyDescent="0.25">
      <c r="A296" s="103" t="str">
        <f t="shared" si="35"/>
        <v>CIRC  219.1*20</v>
      </c>
      <c r="B296" s="50">
        <f t="shared" si="30"/>
        <v>98.202102280767278</v>
      </c>
      <c r="C296" s="49">
        <v>219.1</v>
      </c>
      <c r="D296" s="49">
        <v>20</v>
      </c>
      <c r="E296" s="49"/>
      <c r="F296" s="49"/>
      <c r="G296" s="49"/>
      <c r="H296" s="50">
        <f t="shared" si="31"/>
        <v>125.09821946594558</v>
      </c>
      <c r="I296" s="56">
        <f t="shared" si="32"/>
        <v>6261.2925462177855</v>
      </c>
      <c r="J296" s="56">
        <f t="shared" si="33"/>
        <v>571.54655830376862</v>
      </c>
      <c r="K296" s="109">
        <v>795</v>
      </c>
      <c r="L296" s="104">
        <f t="shared" si="34"/>
        <v>7.0746740207588363</v>
      </c>
      <c r="M296" s="104"/>
      <c r="N296" s="104"/>
      <c r="O296" s="104"/>
      <c r="P296" s="104"/>
      <c r="Q296" s="104"/>
      <c r="R296" s="104"/>
      <c r="S296" s="49">
        <v>12520</v>
      </c>
      <c r="T296" s="105">
        <v>1143</v>
      </c>
    </row>
    <row r="297" spans="1:20" x14ac:dyDescent="0.25">
      <c r="A297" s="17" t="str">
        <f t="shared" si="35"/>
        <v>CIRC  244.5*5</v>
      </c>
      <c r="B297" s="33">
        <f t="shared" si="30"/>
        <v>29.532149040989154</v>
      </c>
      <c r="C297" s="17">
        <v>244.5</v>
      </c>
      <c r="D297" s="17">
        <v>5</v>
      </c>
      <c r="E297" s="17"/>
      <c r="F297" s="17"/>
      <c r="G297" s="17"/>
      <c r="H297" s="33">
        <f t="shared" si="31"/>
        <v>37.620572026737776</v>
      </c>
      <c r="I297" s="57">
        <f t="shared" si="32"/>
        <v>2698.5824136216925</v>
      </c>
      <c r="J297" s="57">
        <f t="shared" si="33"/>
        <v>220.74293771956582</v>
      </c>
      <c r="K297" s="106">
        <v>287</v>
      </c>
      <c r="L297" s="96">
        <f t="shared" si="34"/>
        <v>8.4694487719095388</v>
      </c>
      <c r="M297" s="96"/>
      <c r="N297" s="96"/>
      <c r="O297" s="96"/>
      <c r="P297" s="96"/>
      <c r="Q297" s="96"/>
      <c r="R297" s="96"/>
      <c r="S297" s="17">
        <v>5397</v>
      </c>
      <c r="T297">
        <v>441.5</v>
      </c>
    </row>
    <row r="298" spans="1:20" x14ac:dyDescent="0.25">
      <c r="A298" s="17" t="str">
        <f t="shared" si="35"/>
        <v>CIRC  244.5*6.3</v>
      </c>
      <c r="B298" s="33">
        <f t="shared" si="30"/>
        <v>37.008530087558064</v>
      </c>
      <c r="C298" s="17">
        <v>244.5</v>
      </c>
      <c r="D298" s="17">
        <v>6.3</v>
      </c>
      <c r="E298" s="17"/>
      <c r="F298" s="17"/>
      <c r="G298" s="17"/>
      <c r="H298" s="33">
        <f t="shared" si="31"/>
        <v>47.144624315360588</v>
      </c>
      <c r="I298" s="57">
        <f t="shared" si="32"/>
        <v>3346.0266548476966</v>
      </c>
      <c r="J298" s="57">
        <f t="shared" si="33"/>
        <v>273.7036118484823</v>
      </c>
      <c r="K298" s="106">
        <v>358</v>
      </c>
      <c r="L298" s="96">
        <f t="shared" si="34"/>
        <v>8.4245867851189011</v>
      </c>
      <c r="M298" s="96"/>
      <c r="N298" s="96"/>
      <c r="O298" s="96"/>
      <c r="P298" s="96"/>
      <c r="Q298" s="96"/>
      <c r="R298" s="96"/>
      <c r="S298" s="17">
        <v>6692</v>
      </c>
      <c r="T298">
        <v>547.4</v>
      </c>
    </row>
    <row r="299" spans="1:20" x14ac:dyDescent="0.25">
      <c r="A299" s="17" t="str">
        <f t="shared" si="35"/>
        <v>CIRC  244.5*8</v>
      </c>
      <c r="B299" s="33">
        <f t="shared" si="30"/>
        <v>46.659562409646334</v>
      </c>
      <c r="C299" s="17">
        <v>244.5</v>
      </c>
      <c r="D299" s="17">
        <v>8</v>
      </c>
      <c r="E299" s="17"/>
      <c r="F299" s="17"/>
      <c r="G299" s="17"/>
      <c r="H299" s="33">
        <f t="shared" si="31"/>
        <v>59.438933005918891</v>
      </c>
      <c r="I299" s="57">
        <f t="shared" si="32"/>
        <v>4160.4466904158571</v>
      </c>
      <c r="J299" s="57">
        <f t="shared" si="33"/>
        <v>340.32283766182877</v>
      </c>
      <c r="K299" s="106">
        <v>448</v>
      </c>
      <c r="L299" s="96">
        <f t="shared" si="34"/>
        <v>8.3663201289455813</v>
      </c>
      <c r="M299" s="96"/>
      <c r="N299" s="96"/>
      <c r="O299" s="96"/>
      <c r="P299" s="96"/>
      <c r="Q299" s="96"/>
      <c r="R299" s="96"/>
      <c r="S299" s="17">
        <v>8321</v>
      </c>
      <c r="T299">
        <v>680.6</v>
      </c>
    </row>
    <row r="300" spans="1:20" x14ac:dyDescent="0.25">
      <c r="A300" s="17" t="str">
        <f t="shared" si="35"/>
        <v>CIRC  244.5*10</v>
      </c>
      <c r="B300" s="33">
        <f t="shared" si="30"/>
        <v>57.831222965444312</v>
      </c>
      <c r="C300" s="17">
        <v>244.5</v>
      </c>
      <c r="D300" s="17">
        <v>10</v>
      </c>
      <c r="E300" s="17"/>
      <c r="F300" s="17"/>
      <c r="G300" s="17"/>
      <c r="H300" s="33">
        <f t="shared" si="31"/>
        <v>73.670347726680646</v>
      </c>
      <c r="I300" s="57">
        <f t="shared" si="32"/>
        <v>5073.1473423122106</v>
      </c>
      <c r="J300" s="57">
        <f t="shared" si="33"/>
        <v>414.98137769425028</v>
      </c>
      <c r="K300" s="106">
        <v>550</v>
      </c>
      <c r="L300" s="96">
        <f t="shared" si="34"/>
        <v>8.2983620371733604</v>
      </c>
      <c r="M300" s="96"/>
      <c r="N300" s="96"/>
      <c r="O300" s="96"/>
      <c r="P300" s="96"/>
      <c r="Q300" s="96"/>
      <c r="R300" s="96"/>
      <c r="S300" s="17">
        <v>10150</v>
      </c>
      <c r="T300">
        <v>830</v>
      </c>
    </row>
    <row r="301" spans="1:20" x14ac:dyDescent="0.25">
      <c r="A301" s="17" t="str">
        <f t="shared" si="35"/>
        <v>CIRC  244.5*12.5</v>
      </c>
      <c r="B301" s="33">
        <f t="shared" si="30"/>
        <v>71.518356758971649</v>
      </c>
      <c r="C301" s="17">
        <v>244.5</v>
      </c>
      <c r="D301" s="17">
        <v>12.5</v>
      </c>
      <c r="E301" s="17"/>
      <c r="F301" s="17"/>
      <c r="G301" s="17"/>
      <c r="H301" s="33">
        <f t="shared" si="31"/>
        <v>91.106186954104004</v>
      </c>
      <c r="I301" s="57">
        <f t="shared" si="32"/>
        <v>6147.4184354115905</v>
      </c>
      <c r="J301" s="57">
        <f t="shared" si="33"/>
        <v>502.85631373509938</v>
      </c>
      <c r="K301" s="106">
        <v>673</v>
      </c>
      <c r="L301" s="96">
        <f t="shared" si="34"/>
        <v>8.2143357917728199</v>
      </c>
      <c r="M301" s="96"/>
      <c r="N301" s="96"/>
      <c r="O301" s="96"/>
      <c r="P301" s="96"/>
      <c r="Q301" s="96"/>
      <c r="R301" s="96"/>
      <c r="S301" s="17">
        <v>12290</v>
      </c>
      <c r="T301">
        <v>1006</v>
      </c>
    </row>
    <row r="302" spans="1:20" x14ac:dyDescent="0.25">
      <c r="A302" s="17" t="str">
        <f t="shared" si="35"/>
        <v>CIRC  244.5*14.2</v>
      </c>
      <c r="B302" s="33">
        <f t="shared" si="30"/>
        <v>80.649524611929181</v>
      </c>
      <c r="C302" s="17">
        <v>244.5</v>
      </c>
      <c r="D302" s="17">
        <v>14.2</v>
      </c>
      <c r="E302" s="17"/>
      <c r="F302" s="17"/>
      <c r="G302" s="17"/>
      <c r="H302" s="33">
        <f t="shared" si="31"/>
        <v>102.73824791328558</v>
      </c>
      <c r="I302" s="57">
        <f t="shared" si="32"/>
        <v>6837.1957244704863</v>
      </c>
      <c r="J302" s="57">
        <f t="shared" si="33"/>
        <v>559.27981386261638</v>
      </c>
      <c r="K302" s="106">
        <v>754</v>
      </c>
      <c r="L302" s="96">
        <f t="shared" si="34"/>
        <v>8.157797650101406</v>
      </c>
      <c r="M302" s="96"/>
      <c r="N302" s="96"/>
      <c r="O302" s="96"/>
      <c r="P302" s="96"/>
      <c r="Q302" s="96"/>
      <c r="R302" s="96"/>
      <c r="S302" s="17">
        <v>13670</v>
      </c>
      <c r="T302">
        <v>1119</v>
      </c>
    </row>
    <row r="303" spans="1:20" x14ac:dyDescent="0.25">
      <c r="A303" s="17" t="str">
        <f t="shared" si="35"/>
        <v>CIRC  244.5*16</v>
      </c>
      <c r="B303" s="33">
        <f t="shared" si="30"/>
        <v>90.16245252096563</v>
      </c>
      <c r="C303" s="17">
        <v>244.5</v>
      </c>
      <c r="D303" s="17">
        <v>16</v>
      </c>
      <c r="E303" s="17"/>
      <c r="F303" s="17"/>
      <c r="G303" s="17"/>
      <c r="H303" s="33">
        <f t="shared" si="31"/>
        <v>114.85662741524284</v>
      </c>
      <c r="I303" s="57">
        <f t="shared" si="32"/>
        <v>7532.9078017247693</v>
      </c>
      <c r="J303" s="57">
        <f t="shared" si="33"/>
        <v>616.18877723719993</v>
      </c>
      <c r="K303" s="106">
        <v>837</v>
      </c>
      <c r="L303" s="96">
        <f t="shared" si="34"/>
        <v>8.0984759368661461</v>
      </c>
      <c r="M303" s="96"/>
      <c r="N303" s="96"/>
      <c r="O303" s="96"/>
      <c r="P303" s="96"/>
      <c r="Q303" s="96"/>
      <c r="R303" s="96"/>
      <c r="S303" s="17">
        <v>15070</v>
      </c>
      <c r="T303">
        <v>1232</v>
      </c>
    </row>
    <row r="304" spans="1:20" x14ac:dyDescent="0.25">
      <c r="A304" s="17" t="str">
        <f>$B$225&amp;"  "&amp;C304&amp;"*"&amp;D304</f>
        <v>CIRC  244.5*20</v>
      </c>
      <c r="B304" s="33">
        <f>H304*0.785</f>
        <v>110.73014546475264</v>
      </c>
      <c r="C304" s="17">
        <v>244.5</v>
      </c>
      <c r="D304" s="17">
        <v>20</v>
      </c>
      <c r="E304" s="17"/>
      <c r="F304" s="17"/>
      <c r="G304" s="17"/>
      <c r="H304" s="33">
        <f>(C304^2-(C304-2*D304)^2)*PI()*0.01/4</f>
        <v>141.0575101461817</v>
      </c>
      <c r="I304" s="57">
        <f>(C304^4-(C304-2*D304)^4)*PI()*0.0001/64</f>
        <v>8957.1959747544588</v>
      </c>
      <c r="J304" s="57">
        <f>I304/(C304*0.5*0.1)</f>
        <v>732.69496726007833</v>
      </c>
      <c r="K304" s="106">
        <v>1011</v>
      </c>
      <c r="L304" s="96">
        <f>SQRT(I304/H304)</f>
        <v>7.9687083332244004</v>
      </c>
      <c r="M304" s="96"/>
      <c r="N304" s="96"/>
      <c r="O304" s="96"/>
      <c r="P304" s="96"/>
      <c r="Q304" s="96"/>
      <c r="R304" s="96"/>
      <c r="S304" s="17">
        <v>17910</v>
      </c>
      <c r="T304">
        <v>1465</v>
      </c>
    </row>
    <row r="305" spans="1:20" x14ac:dyDescent="0.25">
      <c r="A305" s="17" t="str">
        <f>$B$225&amp;"  "&amp;C305&amp;"*"&amp;D305</f>
        <v>CIRC  244.5*25</v>
      </c>
      <c r="B305" s="33">
        <f>H305*0.785</f>
        <v>135.32999403960582</v>
      </c>
      <c r="C305" s="17">
        <v>244.5</v>
      </c>
      <c r="D305" s="17">
        <v>25</v>
      </c>
      <c r="E305" s="17"/>
      <c r="F305" s="17"/>
      <c r="G305" s="17"/>
      <c r="H305" s="33">
        <f>(C305^2-(C305-2*D305)^2)*PI()*0.01/4</f>
        <v>172.3948968657399</v>
      </c>
      <c r="I305" s="57">
        <f>(C305^4-(C305-2*D305)^4)*PI()*0.0001/64</f>
        <v>10517.220050320815</v>
      </c>
      <c r="J305" s="57">
        <f>I305/(C305*0.5*0.1)</f>
        <v>860.30429859474964</v>
      </c>
      <c r="K305" s="106">
        <v>1210</v>
      </c>
      <c r="L305" s="96">
        <f>SQRT(I305/H305)</f>
        <v>7.8106697856201812</v>
      </c>
      <c r="M305" s="96"/>
      <c r="N305" s="96"/>
      <c r="O305" s="96"/>
      <c r="P305" s="96"/>
      <c r="Q305" s="96"/>
      <c r="R305" s="96"/>
      <c r="S305" s="17">
        <v>21030</v>
      </c>
      <c r="T305">
        <v>1721</v>
      </c>
    </row>
    <row r="306" spans="1:20" x14ac:dyDescent="0.25">
      <c r="A306" s="97" t="str">
        <f t="shared" si="35"/>
        <v>CIRC  273*5</v>
      </c>
      <c r="B306" s="38">
        <f t="shared" si="30"/>
        <v>33.04641312311103</v>
      </c>
      <c r="C306" s="37">
        <v>273</v>
      </c>
      <c r="D306" s="37">
        <v>5</v>
      </c>
      <c r="E306" s="37"/>
      <c r="F306" s="37"/>
      <c r="G306" s="37"/>
      <c r="H306" s="38">
        <f t="shared" si="31"/>
        <v>42.097341558103224</v>
      </c>
      <c r="I306" s="54">
        <f t="shared" si="32"/>
        <v>3780.8148670101987</v>
      </c>
      <c r="J306" s="54">
        <f t="shared" si="33"/>
        <v>276.98277413994128</v>
      </c>
      <c r="K306" s="107">
        <v>359</v>
      </c>
      <c r="L306" s="98">
        <f t="shared" si="34"/>
        <v>9.4768797607651436</v>
      </c>
      <c r="M306" s="98"/>
      <c r="N306" s="98"/>
      <c r="O306" s="98"/>
      <c r="P306" s="98"/>
      <c r="Q306" s="98"/>
      <c r="R306" s="98"/>
      <c r="S306" s="37">
        <v>7562</v>
      </c>
      <c r="T306" s="99">
        <v>554</v>
      </c>
    </row>
    <row r="307" spans="1:20" x14ac:dyDescent="0.25">
      <c r="A307" s="100" t="str">
        <f t="shared" si="35"/>
        <v>CIRC  273*6.3</v>
      </c>
      <c r="B307" s="44">
        <f t="shared" si="30"/>
        <v>41.436502831031703</v>
      </c>
      <c r="C307" s="43">
        <v>273</v>
      </c>
      <c r="D307" s="43">
        <v>6.3</v>
      </c>
      <c r="E307" s="43"/>
      <c r="F307" s="43"/>
      <c r="G307" s="43"/>
      <c r="H307" s="44">
        <f t="shared" si="31"/>
        <v>52.78535392488115</v>
      </c>
      <c r="I307" s="55">
        <f t="shared" si="32"/>
        <v>4695.8233545390203</v>
      </c>
      <c r="J307" s="55">
        <f t="shared" si="33"/>
        <v>344.01636296989159</v>
      </c>
      <c r="K307" s="108">
        <v>448</v>
      </c>
      <c r="L307" s="101">
        <f t="shared" si="34"/>
        <v>9.4318993315238444</v>
      </c>
      <c r="M307" s="101"/>
      <c r="N307" s="101"/>
      <c r="O307" s="101"/>
      <c r="P307" s="101"/>
      <c r="Q307" s="101"/>
      <c r="R307" s="101"/>
      <c r="S307" s="43">
        <v>9392</v>
      </c>
      <c r="T307" s="102">
        <v>688</v>
      </c>
    </row>
    <row r="308" spans="1:20" x14ac:dyDescent="0.25">
      <c r="A308" s="100" t="str">
        <f t="shared" si="35"/>
        <v>CIRC  273*8</v>
      </c>
      <c r="B308" s="44">
        <f t="shared" si="30"/>
        <v>52.282384941041343</v>
      </c>
      <c r="C308" s="43">
        <v>273</v>
      </c>
      <c r="D308" s="43">
        <v>8</v>
      </c>
      <c r="E308" s="43"/>
      <c r="F308" s="43"/>
      <c r="G308" s="43"/>
      <c r="H308" s="44">
        <f t="shared" si="31"/>
        <v>66.601764256103621</v>
      </c>
      <c r="I308" s="55">
        <f t="shared" si="32"/>
        <v>5851.7142597465836</v>
      </c>
      <c r="J308" s="55">
        <f t="shared" si="33"/>
        <v>428.6970153660501</v>
      </c>
      <c r="K308" s="108">
        <v>562</v>
      </c>
      <c r="L308" s="101">
        <f t="shared" si="34"/>
        <v>9.3734332024077496</v>
      </c>
      <c r="M308" s="101"/>
      <c r="N308" s="101"/>
      <c r="O308" s="101"/>
      <c r="P308" s="101"/>
      <c r="Q308" s="101"/>
      <c r="R308" s="101"/>
      <c r="S308" s="43">
        <v>11700</v>
      </c>
      <c r="T308" s="102">
        <v>857.4</v>
      </c>
    </row>
    <row r="309" spans="1:20" x14ac:dyDescent="0.25">
      <c r="A309" s="100" t="str">
        <f t="shared" si="35"/>
        <v>CIRC  273*10</v>
      </c>
      <c r="B309" s="44">
        <f t="shared" si="30"/>
        <v>64.859751129688078</v>
      </c>
      <c r="C309" s="43">
        <v>273</v>
      </c>
      <c r="D309" s="43">
        <v>10</v>
      </c>
      <c r="E309" s="43"/>
      <c r="F309" s="43"/>
      <c r="G309" s="43"/>
      <c r="H309" s="44">
        <f t="shared" si="31"/>
        <v>82.623886789411557</v>
      </c>
      <c r="I309" s="55">
        <f t="shared" si="32"/>
        <v>7154.0925175196871</v>
      </c>
      <c r="J309" s="55">
        <f t="shared" si="33"/>
        <v>524.10934194283425</v>
      </c>
      <c r="K309" s="108">
        <v>692</v>
      </c>
      <c r="L309" s="101">
        <f t="shared" si="34"/>
        <v>9.3051732923143362</v>
      </c>
      <c r="M309" s="101"/>
      <c r="N309" s="101"/>
      <c r="O309" s="101"/>
      <c r="P309" s="101"/>
      <c r="Q309" s="101"/>
      <c r="R309" s="101"/>
      <c r="S309" s="43">
        <v>14310</v>
      </c>
      <c r="T309" s="102">
        <v>1048</v>
      </c>
    </row>
    <row r="310" spans="1:20" x14ac:dyDescent="0.25">
      <c r="A310" s="100" t="str">
        <f t="shared" si="35"/>
        <v>CIRC  273*12.5</v>
      </c>
      <c r="B310" s="44">
        <f t="shared" si="30"/>
        <v>80.304016964276343</v>
      </c>
      <c r="C310" s="43">
        <v>273</v>
      </c>
      <c r="D310" s="43">
        <v>12.5</v>
      </c>
      <c r="E310" s="43"/>
      <c r="F310" s="43"/>
      <c r="G310" s="43"/>
      <c r="H310" s="44">
        <f t="shared" si="31"/>
        <v>102.29811078251764</v>
      </c>
      <c r="I310" s="55">
        <f t="shared" si="32"/>
        <v>8697.4493150488888</v>
      </c>
      <c r="J310" s="55">
        <f t="shared" si="33"/>
        <v>637.17577399625554</v>
      </c>
      <c r="K310" s="108">
        <v>849</v>
      </c>
      <c r="L310" s="101">
        <f t="shared" si="34"/>
        <v>9.220662937121169</v>
      </c>
      <c r="M310" s="101"/>
      <c r="N310" s="101"/>
      <c r="O310" s="101"/>
      <c r="P310" s="101"/>
      <c r="Q310" s="101"/>
      <c r="R310" s="101"/>
      <c r="S310" s="43">
        <v>17390</v>
      </c>
      <c r="T310" s="102">
        <v>1274</v>
      </c>
    </row>
    <row r="311" spans="1:20" x14ac:dyDescent="0.25">
      <c r="A311" s="100" t="str">
        <f t="shared" si="35"/>
        <v>CIRC  273*14.2</v>
      </c>
      <c r="B311" s="44">
        <f t="shared" si="30"/>
        <v>90.630034605155345</v>
      </c>
      <c r="C311" s="43">
        <v>273</v>
      </c>
      <c r="D311" s="43">
        <v>14.2</v>
      </c>
      <c r="E311" s="43"/>
      <c r="F311" s="43"/>
      <c r="G311" s="43"/>
      <c r="H311" s="44">
        <f t="shared" si="31"/>
        <v>115.4522733823635</v>
      </c>
      <c r="I311" s="55">
        <f t="shared" si="32"/>
        <v>9694.9718871695841</v>
      </c>
      <c r="J311" s="55">
        <f t="shared" si="33"/>
        <v>710.25435070839444</v>
      </c>
      <c r="K311" s="108">
        <v>952</v>
      </c>
      <c r="L311" s="101">
        <f t="shared" si="34"/>
        <v>9.1637246794084763</v>
      </c>
      <c r="M311" s="101"/>
      <c r="N311" s="101"/>
      <c r="O311" s="101"/>
      <c r="P311" s="101"/>
      <c r="Q311" s="101"/>
      <c r="R311" s="101"/>
      <c r="S311" s="43">
        <v>19390</v>
      </c>
      <c r="T311" s="102">
        <v>1421</v>
      </c>
    </row>
    <row r="312" spans="1:20" x14ac:dyDescent="0.25">
      <c r="A312" s="100" t="str">
        <f t="shared" si="35"/>
        <v>CIRC  273*16</v>
      </c>
      <c r="B312" s="44">
        <f t="shared" si="30"/>
        <v>101.40809758375566</v>
      </c>
      <c r="C312" s="43">
        <v>273</v>
      </c>
      <c r="D312" s="43">
        <v>16</v>
      </c>
      <c r="E312" s="43"/>
      <c r="F312" s="43"/>
      <c r="G312" s="43"/>
      <c r="H312" s="44">
        <f t="shared" si="31"/>
        <v>129.1822899156123</v>
      </c>
      <c r="I312" s="55">
        <f t="shared" si="32"/>
        <v>10706.789666068342</v>
      </c>
      <c r="J312" s="55">
        <f t="shared" si="33"/>
        <v>784.38019531636201</v>
      </c>
      <c r="K312" s="108">
        <v>1058</v>
      </c>
      <c r="L312" s="101">
        <f t="shared" si="34"/>
        <v>9.1039139934425997</v>
      </c>
      <c r="M312" s="101"/>
      <c r="N312" s="101"/>
      <c r="O312" s="101"/>
      <c r="P312" s="101"/>
      <c r="Q312" s="101"/>
      <c r="R312" s="101"/>
      <c r="S312" s="43">
        <v>21410</v>
      </c>
      <c r="T312" s="102">
        <v>1569</v>
      </c>
    </row>
    <row r="313" spans="1:20" x14ac:dyDescent="0.25">
      <c r="A313" s="100" t="str">
        <f>$B$225&amp;"  "&amp;C313&amp;"*"&amp;D313</f>
        <v>CIRC  273*20</v>
      </c>
      <c r="B313" s="44">
        <f>H313*0.785</f>
        <v>124.78720179324019</v>
      </c>
      <c r="C313" s="43">
        <v>273</v>
      </c>
      <c r="D313" s="43">
        <v>20</v>
      </c>
      <c r="E313" s="43"/>
      <c r="F313" s="43"/>
      <c r="G313" s="43"/>
      <c r="H313" s="44">
        <f>(C313^2-(C313-2*D313)^2)*PI()*0.01/4</f>
        <v>158.96458827164355</v>
      </c>
      <c r="I313" s="55">
        <f>(C313^4-(C313-2*D313)^4)*PI()*0.0001/64</f>
        <v>12798.43770748536</v>
      </c>
      <c r="J313" s="55">
        <f>I313/(C313*0.5*0.1)</f>
        <v>937.61448406486147</v>
      </c>
      <c r="K313" s="108">
        <v>1283</v>
      </c>
      <c r="L313" s="101">
        <f>SQRT(I313/H313)</f>
        <v>8.9728061385499682</v>
      </c>
      <c r="M313" s="101"/>
      <c r="N313" s="101"/>
      <c r="O313" s="101"/>
      <c r="P313" s="101"/>
      <c r="Q313" s="101"/>
      <c r="R313" s="101"/>
      <c r="S313" s="43">
        <v>25600</v>
      </c>
      <c r="T313" s="102">
        <v>1875</v>
      </c>
    </row>
    <row r="314" spans="1:20" x14ac:dyDescent="0.25">
      <c r="A314" s="103" t="str">
        <f>$B$225&amp;"  "&amp;C314&amp;"*"&amp;D314</f>
        <v>CIRC  273*25</v>
      </c>
      <c r="B314" s="50">
        <f>H314*0.785</f>
        <v>152.90131445021527</v>
      </c>
      <c r="C314" s="49">
        <v>273</v>
      </c>
      <c r="D314" s="49">
        <v>25</v>
      </c>
      <c r="E314" s="49"/>
      <c r="F314" s="49"/>
      <c r="G314" s="49"/>
      <c r="H314" s="50">
        <f>(C314^2-(C314-2*D314)^2)*PI()*0.01/4</f>
        <v>194.77874452256719</v>
      </c>
      <c r="I314" s="56">
        <f>(C314^4-(C314-2*D314)^4)*PI()*0.0001/64</f>
        <v>15126.76077305322</v>
      </c>
      <c r="J314" s="56">
        <f>I314/(C314*0.5*0.1)</f>
        <v>1108.1876024214812</v>
      </c>
      <c r="K314" s="109">
        <v>1543</v>
      </c>
      <c r="L314" s="104">
        <f>SQRT(I314/H314)</f>
        <v>8.8125620565190914</v>
      </c>
      <c r="M314" s="104"/>
      <c r="N314" s="104"/>
      <c r="O314" s="104"/>
      <c r="P314" s="104"/>
      <c r="Q314" s="104"/>
      <c r="R314" s="104"/>
      <c r="S314" s="49">
        <v>30250</v>
      </c>
      <c r="T314" s="105">
        <v>2216</v>
      </c>
    </row>
    <row r="315" spans="1:20" x14ac:dyDescent="0.25">
      <c r="A315" s="17" t="str">
        <f t="shared" si="35"/>
        <v>CIRC  323.9*5</v>
      </c>
      <c r="B315" s="33">
        <f t="shared" si="30"/>
        <v>39.322765466269068</v>
      </c>
      <c r="C315" s="17">
        <v>323.89999999999998</v>
      </c>
      <c r="D315" s="17">
        <v>5</v>
      </c>
      <c r="E315" s="17"/>
      <c r="F315" s="17"/>
      <c r="G315" s="17"/>
      <c r="H315" s="33">
        <f t="shared" si="31"/>
        <v>50.092694861489257</v>
      </c>
      <c r="I315" s="57">
        <f t="shared" si="32"/>
        <v>6369.4245327079143</v>
      </c>
      <c r="J315" s="57">
        <f t="shared" si="33"/>
        <v>393.29574144537906</v>
      </c>
      <c r="K315" s="106">
        <v>509</v>
      </c>
      <c r="L315" s="96">
        <f t="shared" si="34"/>
        <v>11.276203372589553</v>
      </c>
      <c r="M315" s="96"/>
      <c r="N315" s="96"/>
      <c r="O315" s="96"/>
      <c r="P315" s="96"/>
      <c r="Q315" s="96"/>
      <c r="R315" s="96"/>
      <c r="S315" s="17">
        <v>12740</v>
      </c>
      <c r="T315">
        <v>786.6</v>
      </c>
    </row>
    <row r="316" spans="1:20" x14ac:dyDescent="0.25">
      <c r="A316" s="17" t="str">
        <f t="shared" si="35"/>
        <v>CIRC  323.9*6.3</v>
      </c>
      <c r="B316" s="33">
        <f t="shared" si="30"/>
        <v>49.344706783410864</v>
      </c>
      <c r="C316" s="17">
        <v>323.89999999999998</v>
      </c>
      <c r="D316" s="17">
        <v>6.3</v>
      </c>
      <c r="E316" s="17"/>
      <c r="F316" s="17"/>
      <c r="G316" s="17"/>
      <c r="H316" s="33">
        <f t="shared" si="31"/>
        <v>62.859499087147597</v>
      </c>
      <c r="I316" s="57">
        <f t="shared" si="32"/>
        <v>7928.8968501994586</v>
      </c>
      <c r="J316" s="57">
        <f t="shared" si="33"/>
        <v>489.58918494593752</v>
      </c>
      <c r="K316" s="106">
        <v>636</v>
      </c>
      <c r="L316" s="96">
        <f t="shared" si="34"/>
        <v>11.231064620061627</v>
      </c>
      <c r="M316" s="96"/>
      <c r="N316" s="96"/>
      <c r="O316" s="96"/>
      <c r="P316" s="96"/>
      <c r="Q316" s="96"/>
      <c r="R316" s="96"/>
      <c r="S316" s="17">
        <v>15860</v>
      </c>
      <c r="T316">
        <v>979.2</v>
      </c>
    </row>
    <row r="317" spans="1:20" x14ac:dyDescent="0.25">
      <c r="A317" s="17" t="str">
        <f t="shared" si="35"/>
        <v>CIRC  323.9*8</v>
      </c>
      <c r="B317" s="33">
        <f t="shared" si="30"/>
        <v>62.324548690094204</v>
      </c>
      <c r="C317" s="17">
        <v>323.89999999999998</v>
      </c>
      <c r="D317" s="17">
        <v>8</v>
      </c>
      <c r="E317" s="17"/>
      <c r="F317" s="17"/>
      <c r="G317" s="17"/>
      <c r="H317" s="33">
        <f t="shared" si="31"/>
        <v>79.394329541521273</v>
      </c>
      <c r="I317" s="57">
        <f t="shared" si="32"/>
        <v>9910.0806001313485</v>
      </c>
      <c r="J317" s="57">
        <f t="shared" si="33"/>
        <v>611.92223526590601</v>
      </c>
      <c r="K317" s="106">
        <v>799</v>
      </c>
      <c r="L317" s="96">
        <f t="shared" si="34"/>
        <v>11.172332455669229</v>
      </c>
      <c r="M317" s="96"/>
      <c r="N317" s="96"/>
      <c r="O317" s="96"/>
      <c r="P317" s="96"/>
      <c r="Q317" s="96"/>
      <c r="R317" s="96"/>
      <c r="S317" s="17">
        <v>19820</v>
      </c>
      <c r="T317">
        <v>1224</v>
      </c>
    </row>
    <row r="318" spans="1:20" x14ac:dyDescent="0.25">
      <c r="A318" s="17" t="str">
        <f t="shared" si="35"/>
        <v>CIRC  323.9*10</v>
      </c>
      <c r="B318" s="33">
        <f t="shared" si="30"/>
        <v>77.41245581600414</v>
      </c>
      <c r="C318" s="17">
        <v>323.89999999999998</v>
      </c>
      <c r="D318" s="17">
        <v>10</v>
      </c>
      <c r="E318" s="17"/>
      <c r="F318" s="17"/>
      <c r="G318" s="17"/>
      <c r="H318" s="33">
        <f t="shared" si="31"/>
        <v>98.614593396183608</v>
      </c>
      <c r="I318" s="57">
        <f t="shared" si="32"/>
        <v>12158.342374387992</v>
      </c>
      <c r="J318" s="57">
        <f t="shared" si="33"/>
        <v>750.74667331818409</v>
      </c>
      <c r="K318" s="106">
        <v>986</v>
      </c>
      <c r="L318" s="96">
        <f t="shared" si="34"/>
        <v>11.1036711271543</v>
      </c>
      <c r="M318" s="96"/>
      <c r="N318" s="96"/>
      <c r="O318" s="96"/>
      <c r="P318" s="96"/>
      <c r="Q318" s="96"/>
      <c r="R318" s="96"/>
      <c r="S318" s="17">
        <v>24320</v>
      </c>
      <c r="T318">
        <v>1501</v>
      </c>
    </row>
    <row r="319" spans="1:20" x14ac:dyDescent="0.25">
      <c r="A319" s="17" t="str">
        <f t="shared" si="35"/>
        <v>CIRC  323.9*12.5</v>
      </c>
      <c r="B319" s="33">
        <f t="shared" si="30"/>
        <v>95.99489782217141</v>
      </c>
      <c r="C319" s="17">
        <v>323.89999999999998</v>
      </c>
      <c r="D319" s="17">
        <v>12.5</v>
      </c>
      <c r="E319" s="17"/>
      <c r="F319" s="17"/>
      <c r="G319" s="17"/>
      <c r="H319" s="33">
        <f t="shared" si="31"/>
        <v>122.28649404098269</v>
      </c>
      <c r="I319" s="57">
        <f t="shared" si="32"/>
        <v>14846.529625485296</v>
      </c>
      <c r="J319" s="57">
        <f t="shared" si="33"/>
        <v>916.73538903891915</v>
      </c>
      <c r="K319" s="106">
        <v>1013</v>
      </c>
      <c r="L319" s="96">
        <f t="shared" si="34"/>
        <v>11.018519070183617</v>
      </c>
      <c r="M319" s="96"/>
      <c r="N319" s="96"/>
      <c r="O319" s="96"/>
      <c r="P319" s="96"/>
      <c r="Q319" s="96"/>
      <c r="R319" s="96"/>
      <c r="S319" s="17">
        <v>29690</v>
      </c>
      <c r="T319">
        <v>1833</v>
      </c>
    </row>
    <row r="320" spans="1:20" x14ac:dyDescent="0.25">
      <c r="A320" s="17" t="str">
        <f t="shared" si="35"/>
        <v>CIRC  323.9*14.2</v>
      </c>
      <c r="B320" s="33">
        <f t="shared" si="30"/>
        <v>108.45487525972406</v>
      </c>
      <c r="C320" s="17">
        <v>323.89999999999998</v>
      </c>
      <c r="D320" s="17">
        <v>14.2</v>
      </c>
      <c r="E320" s="17"/>
      <c r="F320" s="17"/>
      <c r="G320" s="17"/>
      <c r="H320" s="33">
        <f t="shared" si="31"/>
        <v>138.1590767639797</v>
      </c>
      <c r="I320" s="57">
        <f t="shared" si="32"/>
        <v>16599.075649119935</v>
      </c>
      <c r="J320" s="57">
        <f t="shared" si="33"/>
        <v>1024.9506421191686</v>
      </c>
      <c r="K320" s="106">
        <v>1363</v>
      </c>
      <c r="L320" s="96">
        <f t="shared" si="34"/>
        <v>10.961052070855244</v>
      </c>
      <c r="M320" s="96"/>
      <c r="N320" s="96"/>
      <c r="O320" s="96"/>
      <c r="P320" s="96"/>
      <c r="Q320" s="96"/>
      <c r="R320" s="96"/>
      <c r="S320" s="17">
        <v>33200</v>
      </c>
      <c r="T320">
        <v>2050</v>
      </c>
    </row>
    <row r="321" spans="1:20" x14ac:dyDescent="0.25">
      <c r="A321" s="17" t="str">
        <f t="shared" si="35"/>
        <v>CIRC  323.9*16</v>
      </c>
      <c r="B321" s="33">
        <f t="shared" si="30"/>
        <v>121.49242508186137</v>
      </c>
      <c r="C321" s="17">
        <v>323.89999999999998</v>
      </c>
      <c r="D321" s="17">
        <v>16</v>
      </c>
      <c r="E321" s="17"/>
      <c r="F321" s="17"/>
      <c r="G321" s="17"/>
      <c r="H321" s="33">
        <f t="shared" si="31"/>
        <v>154.76742048644761</v>
      </c>
      <c r="I321" s="57">
        <f t="shared" si="32"/>
        <v>18389.931139053922</v>
      </c>
      <c r="J321" s="57">
        <f t="shared" si="33"/>
        <v>1135.5314071660341</v>
      </c>
      <c r="K321" s="106">
        <v>1518</v>
      </c>
      <c r="L321" s="96">
        <f t="shared" si="34"/>
        <v>10.900596887326859</v>
      </c>
      <c r="M321" s="96"/>
      <c r="N321" s="96"/>
      <c r="O321" s="96"/>
      <c r="P321" s="96"/>
      <c r="Q321" s="96"/>
      <c r="R321" s="96"/>
      <c r="S321" s="17">
        <v>36780</v>
      </c>
      <c r="T321">
        <v>2271</v>
      </c>
    </row>
    <row r="322" spans="1:20" x14ac:dyDescent="0.25">
      <c r="A322" s="17" t="str">
        <f>$B$225&amp;"  "&amp;C322&amp;"*"&amp;D322</f>
        <v>CIRC  323.9*20</v>
      </c>
      <c r="B322" s="33">
        <f>H322*0.785</f>
        <v>149.8926111658723</v>
      </c>
      <c r="C322" s="17">
        <v>323.89999999999998</v>
      </c>
      <c r="D322" s="17">
        <v>20</v>
      </c>
      <c r="E322" s="17"/>
      <c r="F322" s="17"/>
      <c r="G322" s="17"/>
      <c r="H322" s="33">
        <f>(C322^2-(C322-2*D322)^2)*PI()*0.01/4</f>
        <v>190.94600148518762</v>
      </c>
      <c r="I322" s="57">
        <f>(C322^4-(C322-2*D322)^4)*PI()*0.0001/64</f>
        <v>22139.045583023613</v>
      </c>
      <c r="J322" s="57">
        <f>I322/(C322*0.5*0.1)</f>
        <v>1367.0296747776235</v>
      </c>
      <c r="K322" s="106">
        <v>1850</v>
      </c>
      <c r="L322" s="96">
        <f>SQRT(I322/H322)</f>
        <v>10.767730146135721</v>
      </c>
      <c r="M322" s="96"/>
      <c r="N322" s="96"/>
      <c r="O322" s="96"/>
      <c r="P322" s="96"/>
      <c r="Q322" s="96"/>
      <c r="R322" s="96"/>
      <c r="S322" s="17">
        <v>44280</v>
      </c>
      <c r="T322">
        <v>2734</v>
      </c>
    </row>
    <row r="323" spans="1:20" x14ac:dyDescent="0.25">
      <c r="A323" s="17" t="str">
        <f>$B$225&amp;"  "&amp;C323&amp;"*"&amp;D323</f>
        <v>CIRC  323.9*25</v>
      </c>
      <c r="B323" s="33">
        <f>H323*0.785</f>
        <v>184.28307616600537</v>
      </c>
      <c r="C323" s="17">
        <v>323.89999999999998</v>
      </c>
      <c r="D323" s="17">
        <v>25</v>
      </c>
      <c r="E323" s="17"/>
      <c r="F323" s="17"/>
      <c r="G323" s="17"/>
      <c r="H323" s="33">
        <f>(C323^2-(C323-2*D323)^2)*PI()*0.01/4</f>
        <v>234.75551103949729</v>
      </c>
      <c r="I323" s="57">
        <f>(C323^4-(C323-2*D323)^4)*PI()*0.0001/64</f>
        <v>26400.079506045917</v>
      </c>
      <c r="J323" s="57">
        <f>I323/(C323*0.5*0.1)</f>
        <v>1630.1376663195997</v>
      </c>
      <c r="K323" s="106">
        <v>2239</v>
      </c>
      <c r="L323" s="96">
        <f>SQRT(I323/H323)</f>
        <v>10.604610436032058</v>
      </c>
      <c r="M323" s="96"/>
      <c r="N323" s="96"/>
      <c r="O323" s="96"/>
      <c r="P323" s="96"/>
      <c r="Q323" s="96"/>
      <c r="R323" s="96"/>
      <c r="S323" s="17">
        <v>52800</v>
      </c>
      <c r="T323">
        <v>3260</v>
      </c>
    </row>
    <row r="324" spans="1:20" x14ac:dyDescent="0.25">
      <c r="A324" s="97" t="str">
        <f t="shared" si="35"/>
        <v>CIRC  355.6*6.3</v>
      </c>
      <c r="B324" s="38">
        <f t="shared" si="30"/>
        <v>54.269855413870921</v>
      </c>
      <c r="C324" s="37">
        <v>355.6</v>
      </c>
      <c r="D324" s="37">
        <v>6.3</v>
      </c>
      <c r="E324" s="37"/>
      <c r="F324" s="37"/>
      <c r="G324" s="37"/>
      <c r="H324" s="38">
        <f t="shared" si="31"/>
        <v>69.133573775631746</v>
      </c>
      <c r="I324" s="54">
        <f t="shared" si="32"/>
        <v>10547.206404198918</v>
      </c>
      <c r="J324" s="54">
        <f t="shared" si="33"/>
        <v>593.20620946000656</v>
      </c>
      <c r="K324" s="107">
        <v>769</v>
      </c>
      <c r="L324" s="98">
        <f t="shared" si="34"/>
        <v>12.351628435149756</v>
      </c>
      <c r="M324" s="98"/>
      <c r="N324" s="98"/>
      <c r="O324" s="98"/>
      <c r="P324" s="98"/>
      <c r="Q324" s="98"/>
      <c r="R324" s="98"/>
      <c r="S324" s="37">
        <v>21090</v>
      </c>
      <c r="T324" s="99">
        <v>1186</v>
      </c>
    </row>
    <row r="325" spans="1:20" x14ac:dyDescent="0.25">
      <c r="A325" s="100" t="str">
        <f t="shared" si="35"/>
        <v>CIRC  355.6*8</v>
      </c>
      <c r="B325" s="44">
        <f t="shared" si="30"/>
        <v>68.578705681154588</v>
      </c>
      <c r="C325" s="43">
        <v>355.6</v>
      </c>
      <c r="D325" s="43">
        <v>8</v>
      </c>
      <c r="E325" s="43"/>
      <c r="F325" s="43"/>
      <c r="G325" s="43"/>
      <c r="H325" s="44">
        <f t="shared" si="31"/>
        <v>87.361408511024948</v>
      </c>
      <c r="I325" s="55">
        <f t="shared" si="32"/>
        <v>13201.374635199711</v>
      </c>
      <c r="J325" s="55">
        <f t="shared" si="33"/>
        <v>742.48451266590041</v>
      </c>
      <c r="K325" s="108">
        <v>967</v>
      </c>
      <c r="L325" s="101">
        <f t="shared" si="34"/>
        <v>12.292770232945871</v>
      </c>
      <c r="M325" s="101"/>
      <c r="N325" s="101"/>
      <c r="O325" s="101"/>
      <c r="P325" s="101"/>
      <c r="Q325" s="101"/>
      <c r="R325" s="101"/>
      <c r="S325" s="43">
        <v>26400</v>
      </c>
      <c r="T325" s="102">
        <v>1485</v>
      </c>
    </row>
    <row r="326" spans="1:20" x14ac:dyDescent="0.25">
      <c r="A326" s="100" t="str">
        <f t="shared" si="35"/>
        <v>CIRC  355.6*10</v>
      </c>
      <c r="B326" s="44">
        <f t="shared" si="30"/>
        <v>85.230152054829659</v>
      </c>
      <c r="C326" s="43">
        <v>355.6</v>
      </c>
      <c r="D326" s="43">
        <v>10</v>
      </c>
      <c r="E326" s="43"/>
      <c r="F326" s="43"/>
      <c r="G326" s="43"/>
      <c r="H326" s="44">
        <f t="shared" si="31"/>
        <v>108.57344210806325</v>
      </c>
      <c r="I326" s="55">
        <f t="shared" si="32"/>
        <v>16223.499728243667</v>
      </c>
      <c r="J326" s="55">
        <f t="shared" si="33"/>
        <v>912.45780248839515</v>
      </c>
      <c r="K326" s="108">
        <v>1195</v>
      </c>
      <c r="L326" s="101">
        <f t="shared" si="34"/>
        <v>12.223919175125465</v>
      </c>
      <c r="M326" s="101"/>
      <c r="N326" s="101"/>
      <c r="O326" s="101"/>
      <c r="P326" s="101"/>
      <c r="Q326" s="101"/>
      <c r="R326" s="101"/>
      <c r="S326" s="43">
        <v>32450</v>
      </c>
      <c r="T326" s="102">
        <v>1825</v>
      </c>
    </row>
    <row r="327" spans="1:20" x14ac:dyDescent="0.25">
      <c r="A327" s="100" t="str">
        <f t="shared" si="35"/>
        <v>CIRC  355.6*12.5</v>
      </c>
      <c r="B327" s="44">
        <f t="shared" si="30"/>
        <v>105.76701812070333</v>
      </c>
      <c r="C327" s="43">
        <v>355.6</v>
      </c>
      <c r="D327" s="43">
        <v>12.5</v>
      </c>
      <c r="E327" s="43"/>
      <c r="F327" s="43"/>
      <c r="G327" s="43"/>
      <c r="H327" s="44">
        <f t="shared" si="31"/>
        <v>134.73505493083226</v>
      </c>
      <c r="I327" s="55">
        <f t="shared" si="32"/>
        <v>19852.176252511541</v>
      </c>
      <c r="J327" s="55">
        <f t="shared" si="33"/>
        <v>1116.5453460355197</v>
      </c>
      <c r="K327" s="108">
        <v>1472</v>
      </c>
      <c r="L327" s="101">
        <f t="shared" si="34"/>
        <v>12.138464688748739</v>
      </c>
      <c r="M327" s="101"/>
      <c r="N327" s="101"/>
      <c r="O327" s="101"/>
      <c r="P327" s="101"/>
      <c r="Q327" s="101"/>
      <c r="R327" s="101"/>
      <c r="S327" s="43">
        <v>39700</v>
      </c>
      <c r="T327" s="102">
        <v>2233</v>
      </c>
    </row>
    <row r="328" spans="1:20" x14ac:dyDescent="0.25">
      <c r="A328" s="100" t="str">
        <f t="shared" si="35"/>
        <v>CIRC  355.6*14.2</v>
      </c>
      <c r="B328" s="44">
        <f t="shared" si="30"/>
        <v>119.55600391885631</v>
      </c>
      <c r="C328" s="43">
        <v>355.6</v>
      </c>
      <c r="D328" s="43">
        <v>14.2</v>
      </c>
      <c r="E328" s="43"/>
      <c r="F328" s="43"/>
      <c r="G328" s="43"/>
      <c r="H328" s="44">
        <f t="shared" si="31"/>
        <v>152.30064193484878</v>
      </c>
      <c r="I328" s="55">
        <f t="shared" si="32"/>
        <v>22227.441036860542</v>
      </c>
      <c r="J328" s="55">
        <f t="shared" si="33"/>
        <v>1250.1372911620101</v>
      </c>
      <c r="K328" s="108">
        <v>1656</v>
      </c>
      <c r="L328" s="101">
        <f t="shared" si="34"/>
        <v>12.080749148955956</v>
      </c>
      <c r="M328" s="101"/>
      <c r="N328" s="101"/>
      <c r="O328" s="101"/>
      <c r="P328" s="101"/>
      <c r="Q328" s="101"/>
      <c r="R328" s="101"/>
      <c r="S328" s="43">
        <v>44450</v>
      </c>
      <c r="T328" s="102">
        <v>2500</v>
      </c>
    </row>
    <row r="329" spans="1:20" x14ac:dyDescent="0.25">
      <c r="A329" s="100" t="str">
        <f t="shared" si="35"/>
        <v>CIRC  355.6*16</v>
      </c>
      <c r="B329" s="44">
        <f t="shared" si="30"/>
        <v>134.00073906398211</v>
      </c>
      <c r="C329" s="43">
        <v>355.6</v>
      </c>
      <c r="D329" s="43">
        <v>16</v>
      </c>
      <c r="E329" s="43"/>
      <c r="F329" s="43"/>
      <c r="G329" s="43"/>
      <c r="H329" s="44">
        <f t="shared" si="31"/>
        <v>170.70157842545493</v>
      </c>
      <c r="I329" s="55">
        <f t="shared" si="32"/>
        <v>24662.998191225426</v>
      </c>
      <c r="J329" s="55">
        <f t="shared" si="33"/>
        <v>1387.1202582241522</v>
      </c>
      <c r="K329" s="108">
        <v>1847</v>
      </c>
      <c r="L329" s="101">
        <f t="shared" si="34"/>
        <v>12.01999168052957</v>
      </c>
      <c r="M329" s="101"/>
      <c r="N329" s="101"/>
      <c r="O329" s="101"/>
      <c r="P329" s="101"/>
      <c r="Q329" s="101"/>
      <c r="R329" s="101"/>
      <c r="S329" s="43">
        <v>49330</v>
      </c>
      <c r="T329" s="102">
        <v>2774</v>
      </c>
    </row>
    <row r="330" spans="1:20" x14ac:dyDescent="0.25">
      <c r="A330" s="100" t="str">
        <f t="shared" si="35"/>
        <v>CIRC  355.6*20</v>
      </c>
      <c r="B330" s="44">
        <f t="shared" si="30"/>
        <v>165.52800364352333</v>
      </c>
      <c r="C330" s="43">
        <v>355.6</v>
      </c>
      <c r="D330" s="43">
        <v>20</v>
      </c>
      <c r="E330" s="43"/>
      <c r="F330" s="43"/>
      <c r="G330" s="43"/>
      <c r="H330" s="44">
        <f t="shared" si="31"/>
        <v>210.8636989089469</v>
      </c>
      <c r="I330" s="55">
        <f t="shared" si="32"/>
        <v>29791.709009391445</v>
      </c>
      <c r="J330" s="55">
        <f t="shared" si="33"/>
        <v>1675.5741850051431</v>
      </c>
      <c r="K330" s="108">
        <v>2255</v>
      </c>
      <c r="L330" s="101">
        <f t="shared" si="34"/>
        <v>11.886303041736738</v>
      </c>
      <c r="M330" s="101"/>
      <c r="N330" s="101"/>
      <c r="O330" s="101"/>
      <c r="P330" s="101"/>
      <c r="Q330" s="101"/>
      <c r="R330" s="101"/>
      <c r="S330" s="43">
        <v>59580</v>
      </c>
      <c r="T330" s="102">
        <v>3351</v>
      </c>
    </row>
    <row r="331" spans="1:20" x14ac:dyDescent="0.25">
      <c r="A331" s="103" t="str">
        <f t="shared" si="35"/>
        <v>CIRC  355.6*25</v>
      </c>
      <c r="B331" s="50">
        <f t="shared" si="30"/>
        <v>203.82731676306921</v>
      </c>
      <c r="C331" s="49">
        <v>355.6</v>
      </c>
      <c r="D331" s="49">
        <v>25</v>
      </c>
      <c r="E331" s="49"/>
      <c r="F331" s="49"/>
      <c r="G331" s="49"/>
      <c r="H331" s="50">
        <f t="shared" si="31"/>
        <v>259.65263281919641</v>
      </c>
      <c r="I331" s="56">
        <f t="shared" si="32"/>
        <v>35676.713158833387</v>
      </c>
      <c r="J331" s="56">
        <f t="shared" si="33"/>
        <v>2006.5642946475468</v>
      </c>
      <c r="K331" s="109">
        <v>2738</v>
      </c>
      <c r="L331" s="104">
        <f t="shared" si="34"/>
        <v>11.721847124067095</v>
      </c>
      <c r="M331" s="104"/>
      <c r="N331" s="104"/>
      <c r="O331" s="104"/>
      <c r="P331" s="104"/>
      <c r="Q331" s="104"/>
      <c r="R331" s="104"/>
      <c r="S331" s="49">
        <v>71350</v>
      </c>
      <c r="T331" s="105">
        <v>4013</v>
      </c>
    </row>
    <row r="332" spans="1:20" x14ac:dyDescent="0.25">
      <c r="A332" s="17" t="str">
        <f t="shared" si="35"/>
        <v>CIRC  406.4*6.3</v>
      </c>
      <c r="B332" s="33">
        <f t="shared" si="30"/>
        <v>62.16252261978174</v>
      </c>
      <c r="C332" s="17">
        <v>406.4</v>
      </c>
      <c r="D332" s="17">
        <v>6.3</v>
      </c>
      <c r="E332" s="17"/>
      <c r="F332" s="17"/>
      <c r="G332" s="17"/>
      <c r="H332" s="33">
        <f t="shared" si="31"/>
        <v>79.187926904180557</v>
      </c>
      <c r="I332" s="57">
        <f t="shared" si="32"/>
        <v>15849.433874399147</v>
      </c>
      <c r="J332" s="57">
        <f t="shared" si="33"/>
        <v>779.991824527517</v>
      </c>
      <c r="K332" s="106">
        <v>1009</v>
      </c>
      <c r="L332" s="96">
        <f t="shared" si="34"/>
        <v>14.147424677304345</v>
      </c>
      <c r="M332" s="96"/>
      <c r="N332" s="96"/>
      <c r="O332" s="96"/>
      <c r="P332" s="96"/>
      <c r="Q332" s="96"/>
      <c r="R332" s="96"/>
      <c r="S332" s="17">
        <v>31700</v>
      </c>
      <c r="T332">
        <v>1560</v>
      </c>
    </row>
    <row r="333" spans="1:20" x14ac:dyDescent="0.25">
      <c r="A333" s="17" t="str">
        <f t="shared" si="35"/>
        <v>CIRC  406.4*8</v>
      </c>
      <c r="B333" s="33">
        <f t="shared" si="30"/>
        <v>78.601140228343013</v>
      </c>
      <c r="C333" s="17">
        <v>406.4</v>
      </c>
      <c r="D333" s="17">
        <v>8</v>
      </c>
      <c r="E333" s="17"/>
      <c r="F333" s="17"/>
      <c r="G333" s="17"/>
      <c r="H333" s="33">
        <f t="shared" si="31"/>
        <v>100.12884105521402</v>
      </c>
      <c r="I333" s="57">
        <f t="shared" si="32"/>
        <v>19873.892784930253</v>
      </c>
      <c r="J333" s="57">
        <f t="shared" si="33"/>
        <v>978.04590477018962</v>
      </c>
      <c r="K333" s="106">
        <v>1270</v>
      </c>
      <c r="L333" s="96">
        <f t="shared" si="34"/>
        <v>14.08840658129939</v>
      </c>
      <c r="M333" s="96"/>
      <c r="N333" s="96"/>
      <c r="O333" s="96"/>
      <c r="P333" s="96"/>
      <c r="Q333" s="96"/>
      <c r="R333" s="96"/>
      <c r="S333" s="17">
        <v>39750</v>
      </c>
      <c r="T333">
        <v>1956</v>
      </c>
    </row>
    <row r="334" spans="1:20" x14ac:dyDescent="0.25">
      <c r="A334" s="17" t="str">
        <f t="shared" si="35"/>
        <v>CIRC  406.4*10</v>
      </c>
      <c r="B334" s="33">
        <f t="shared" si="30"/>
        <v>97.758195238815034</v>
      </c>
      <c r="C334" s="17">
        <v>406.4</v>
      </c>
      <c r="D334" s="17">
        <v>10</v>
      </c>
      <c r="E334" s="17"/>
      <c r="F334" s="17"/>
      <c r="G334" s="17"/>
      <c r="H334" s="33">
        <f t="shared" si="31"/>
        <v>124.5327327882994</v>
      </c>
      <c r="I334" s="57">
        <f t="shared" si="32"/>
        <v>24475.812741491711</v>
      </c>
      <c r="J334" s="57">
        <f t="shared" si="33"/>
        <v>1204.5183435773479</v>
      </c>
      <c r="K334" s="106">
        <v>1572</v>
      </c>
      <c r="L334" s="96">
        <f t="shared" si="34"/>
        <v>14.019315247186647</v>
      </c>
      <c r="M334" s="96"/>
      <c r="N334" s="96"/>
      <c r="O334" s="96"/>
      <c r="P334" s="96"/>
      <c r="Q334" s="96"/>
      <c r="R334" s="96"/>
      <c r="S334" s="17">
        <v>48950</v>
      </c>
      <c r="T334">
        <v>2409</v>
      </c>
    </row>
    <row r="335" spans="1:20" x14ac:dyDescent="0.25">
      <c r="A335" s="17" t="str">
        <f t="shared" si="35"/>
        <v>CIRC  406.4*12.5</v>
      </c>
      <c r="B335" s="33">
        <f t="shared" si="30"/>
        <v>121.42707210068505</v>
      </c>
      <c r="C335" s="17">
        <v>406.4</v>
      </c>
      <c r="D335" s="17">
        <v>12.5</v>
      </c>
      <c r="E335" s="17"/>
      <c r="F335" s="17"/>
      <c r="G335" s="17"/>
      <c r="H335" s="33">
        <f t="shared" si="31"/>
        <v>154.68416828112746</v>
      </c>
      <c r="I335" s="57">
        <f t="shared" si="32"/>
        <v>30030.666728705204</v>
      </c>
      <c r="J335" s="57">
        <f t="shared" si="33"/>
        <v>1477.8871421606891</v>
      </c>
      <c r="K335" s="106">
        <v>1940</v>
      </c>
      <c r="L335" s="96">
        <f t="shared" si="34"/>
        <v>13.933478567823617</v>
      </c>
      <c r="M335" s="96"/>
      <c r="N335" s="96"/>
      <c r="O335" s="96"/>
      <c r="P335" s="96"/>
      <c r="Q335" s="96"/>
      <c r="R335" s="96"/>
      <c r="S335" s="17">
        <v>60060</v>
      </c>
      <c r="T335">
        <v>2956</v>
      </c>
    </row>
    <row r="336" spans="1:20" x14ac:dyDescent="0.25">
      <c r="A336" s="17" t="str">
        <f t="shared" si="35"/>
        <v>CIRC  406.4*14.2</v>
      </c>
      <c r="B336" s="33">
        <f t="shared" si="30"/>
        <v>137.34582524011554</v>
      </c>
      <c r="C336" s="17">
        <v>406.4</v>
      </c>
      <c r="D336" s="17">
        <v>14.2</v>
      </c>
      <c r="E336" s="17"/>
      <c r="F336" s="17"/>
      <c r="G336" s="17"/>
      <c r="H336" s="33">
        <f t="shared" si="31"/>
        <v>174.96283470078413</v>
      </c>
      <c r="I336" s="57">
        <f t="shared" si="32"/>
        <v>33685.26213555604</v>
      </c>
      <c r="J336" s="57">
        <f t="shared" si="33"/>
        <v>1657.7392783246082</v>
      </c>
      <c r="K336" s="106">
        <v>2185</v>
      </c>
      <c r="L336" s="96">
        <f t="shared" si="34"/>
        <v>13.875449542267091</v>
      </c>
      <c r="M336" s="96"/>
      <c r="N336" s="96"/>
      <c r="O336" s="96"/>
      <c r="P336" s="96"/>
      <c r="Q336" s="96"/>
      <c r="R336" s="96"/>
      <c r="S336" s="17">
        <v>67370</v>
      </c>
      <c r="T336">
        <v>3315</v>
      </c>
    </row>
    <row r="337" spans="1:20" x14ac:dyDescent="0.25">
      <c r="A337" s="17" t="str">
        <f t="shared" si="35"/>
        <v>CIRC  406.4*16</v>
      </c>
      <c r="B337" s="33">
        <f t="shared" si="30"/>
        <v>154.04560815835885</v>
      </c>
      <c r="C337" s="17">
        <v>406.4</v>
      </c>
      <c r="D337" s="17">
        <v>16</v>
      </c>
      <c r="E337" s="17"/>
      <c r="F337" s="17"/>
      <c r="G337" s="17"/>
      <c r="H337" s="33">
        <f t="shared" si="31"/>
        <v>196.23644351383291</v>
      </c>
      <c r="I337" s="57">
        <f t="shared" si="32"/>
        <v>37448.820945250998</v>
      </c>
      <c r="J337" s="57">
        <f t="shared" si="33"/>
        <v>1842.953786675738</v>
      </c>
      <c r="K337" s="106">
        <v>2440</v>
      </c>
      <c r="L337" s="96">
        <f t="shared" si="34"/>
        <v>13.814311419683573</v>
      </c>
      <c r="M337" s="96"/>
      <c r="N337" s="96"/>
      <c r="O337" s="96"/>
      <c r="P337" s="96"/>
      <c r="Q337" s="96"/>
      <c r="R337" s="96"/>
      <c r="S337" s="17">
        <v>74900</v>
      </c>
      <c r="T337">
        <v>3686</v>
      </c>
    </row>
    <row r="338" spans="1:20" x14ac:dyDescent="0.25">
      <c r="A338" s="17" t="str">
        <f t="shared" si="35"/>
        <v>CIRC  406.4*20</v>
      </c>
      <c r="B338" s="33">
        <f t="shared" si="30"/>
        <v>190.58409001149408</v>
      </c>
      <c r="C338" s="17">
        <v>406.4</v>
      </c>
      <c r="D338" s="17">
        <v>20</v>
      </c>
      <c r="E338" s="17"/>
      <c r="F338" s="17"/>
      <c r="G338" s="17"/>
      <c r="H338" s="33">
        <f t="shared" si="31"/>
        <v>242.7822802694192</v>
      </c>
      <c r="I338" s="57">
        <f t="shared" si="32"/>
        <v>45432.139445552748</v>
      </c>
      <c r="J338" s="57">
        <f t="shared" si="33"/>
        <v>2235.833634131533</v>
      </c>
      <c r="K338" s="106">
        <v>2989</v>
      </c>
      <c r="L338" s="96">
        <f t="shared" si="34"/>
        <v>13.67959063714993</v>
      </c>
      <c r="M338" s="96"/>
      <c r="N338" s="96"/>
      <c r="O338" s="96"/>
      <c r="P338" s="96"/>
      <c r="Q338" s="96"/>
      <c r="R338" s="96"/>
      <c r="S338" s="17">
        <v>90860</v>
      </c>
      <c r="T338">
        <v>4472</v>
      </c>
    </row>
    <row r="339" spans="1:20" x14ac:dyDescent="0.25">
      <c r="A339" s="17" t="str">
        <f t="shared" si="35"/>
        <v>CIRC  406.4*25</v>
      </c>
      <c r="B339" s="33">
        <f t="shared" si="30"/>
        <v>235.14742472303274</v>
      </c>
      <c r="C339" s="17">
        <v>406.4</v>
      </c>
      <c r="D339" s="17">
        <v>25</v>
      </c>
      <c r="E339" s="17"/>
      <c r="F339" s="17"/>
      <c r="G339" s="17"/>
      <c r="H339" s="33">
        <f t="shared" si="31"/>
        <v>299.55085951978691</v>
      </c>
      <c r="I339" s="57">
        <f t="shared" si="32"/>
        <v>54702.090795088508</v>
      </c>
      <c r="J339" s="57">
        <f t="shared" si="33"/>
        <v>2692.0320273173479</v>
      </c>
      <c r="K339" s="106">
        <v>3642</v>
      </c>
      <c r="L339" s="96">
        <f t="shared" si="34"/>
        <v>13.513463656664786</v>
      </c>
      <c r="M339" s="96"/>
      <c r="N339" s="96"/>
      <c r="O339" s="96"/>
      <c r="P339" s="96"/>
      <c r="Q339" s="96"/>
      <c r="R339" s="96"/>
      <c r="S339" s="17">
        <v>109400</v>
      </c>
      <c r="T339">
        <v>5384</v>
      </c>
    </row>
    <row r="340" spans="1:20" x14ac:dyDescent="0.25">
      <c r="A340" s="17" t="str">
        <f t="shared" si="35"/>
        <v>CIRC  406.4*30</v>
      </c>
      <c r="B340" s="33">
        <f t="shared" si="30"/>
        <v>278.47768431803729</v>
      </c>
      <c r="C340" s="17">
        <v>406.4</v>
      </c>
      <c r="D340" s="17">
        <v>30</v>
      </c>
      <c r="E340" s="17"/>
      <c r="F340" s="17"/>
      <c r="G340" s="17"/>
      <c r="H340" s="33">
        <f t="shared" si="31"/>
        <v>354.74864244335959</v>
      </c>
      <c r="I340" s="57">
        <f t="shared" si="32"/>
        <v>63223.728754626471</v>
      </c>
      <c r="J340" s="57">
        <f t="shared" si="33"/>
        <v>3111.4039741450033</v>
      </c>
      <c r="K340" s="106">
        <v>4259</v>
      </c>
      <c r="L340" s="96">
        <f t="shared" si="34"/>
        <v>13.349951310772635</v>
      </c>
      <c r="M340" s="96"/>
      <c r="N340" s="96"/>
      <c r="O340" s="96"/>
      <c r="P340" s="96"/>
      <c r="Q340" s="96"/>
      <c r="R340" s="96"/>
      <c r="S340" s="17">
        <v>126400</v>
      </c>
      <c r="T340">
        <v>6223</v>
      </c>
    </row>
    <row r="341" spans="1:20" x14ac:dyDescent="0.25">
      <c r="A341" s="17" t="str">
        <f>$B$225&amp;"  "&amp;C341&amp;"*"&amp;D341</f>
        <v>CIRC  406.4*40</v>
      </c>
      <c r="B341" s="33">
        <f>H341*0.785</f>
        <v>361.43897815844423</v>
      </c>
      <c r="C341" s="17">
        <v>406.4</v>
      </c>
      <c r="D341" s="17">
        <v>40</v>
      </c>
      <c r="E341" s="17"/>
      <c r="F341" s="17"/>
      <c r="G341" s="17"/>
      <c r="H341" s="33">
        <f>(C341^2-(C341-2*D341)^2)*PI()*0.01/4</f>
        <v>460.43181931012003</v>
      </c>
      <c r="I341" s="57">
        <f>(C341^4-(C341-2*D341)^4)*PI()*0.0001/64</f>
        <v>78186.479755234657</v>
      </c>
      <c r="J341" s="57">
        <f>I341/(C341*0.5*0.1)</f>
        <v>3847.7598304741464</v>
      </c>
      <c r="K341" s="106">
        <v>5391</v>
      </c>
      <c r="L341" s="96">
        <f>SQRT(I341/H341)</f>
        <v>13.031162649587335</v>
      </c>
      <c r="M341" s="96"/>
      <c r="N341" s="96"/>
      <c r="O341" s="96"/>
      <c r="P341" s="96"/>
      <c r="Q341" s="96"/>
      <c r="R341" s="96"/>
      <c r="S341" s="17">
        <v>156400</v>
      </c>
      <c r="T341">
        <v>7696</v>
      </c>
    </row>
    <row r="342" spans="1:20" x14ac:dyDescent="0.25">
      <c r="A342" s="97" t="str">
        <f t="shared" si="35"/>
        <v>CIRC  457*6.3</v>
      </c>
      <c r="B342" s="38">
        <f t="shared" ref="B342:B410" si="36">H342*0.785</f>
        <v>70.024116332755852</v>
      </c>
      <c r="C342" s="37">
        <v>457</v>
      </c>
      <c r="D342" s="37">
        <v>6.3</v>
      </c>
      <c r="E342" s="37"/>
      <c r="F342" s="37"/>
      <c r="G342" s="37"/>
      <c r="H342" s="38">
        <f t="shared" ref="H342:H410" si="37">(C342^2-(C342-2*D342)^2)*PI()*0.01/4</f>
        <v>89.202695965294069</v>
      </c>
      <c r="I342" s="54">
        <f t="shared" ref="I342:I410" si="38">(C342^4-(C342-2*D342)^4)*PI()*0.0001/64</f>
        <v>22654.15974469257</v>
      </c>
      <c r="J342" s="54">
        <f t="shared" ref="J342:J410" si="39">I342/(C342*0.5*0.1)</f>
        <v>991.42931048982791</v>
      </c>
      <c r="K342" s="107">
        <v>1280</v>
      </c>
      <c r="L342" s="98">
        <f t="shared" ref="L342:L410" si="40">SQRT(I342/H342)</f>
        <v>15.936207986845547</v>
      </c>
      <c r="M342" s="98"/>
      <c r="N342" s="98"/>
      <c r="O342" s="98"/>
      <c r="P342" s="98"/>
      <c r="Q342" s="98"/>
      <c r="R342" s="98"/>
      <c r="S342" s="37">
        <v>45310</v>
      </c>
      <c r="T342" s="99">
        <v>1983</v>
      </c>
    </row>
    <row r="343" spans="1:20" x14ac:dyDescent="0.25">
      <c r="A343" s="100" t="str">
        <f t="shared" si="35"/>
        <v>CIRC  457*8</v>
      </c>
      <c r="B343" s="44">
        <f t="shared" si="36"/>
        <v>88.584116371802125</v>
      </c>
      <c r="C343" s="43">
        <v>457</v>
      </c>
      <c r="D343" s="43">
        <v>8</v>
      </c>
      <c r="E343" s="43"/>
      <c r="F343" s="43"/>
      <c r="G343" s="43"/>
      <c r="H343" s="44">
        <f t="shared" si="37"/>
        <v>112.84600811694538</v>
      </c>
      <c r="I343" s="55">
        <f t="shared" si="38"/>
        <v>28446.362783629735</v>
      </c>
      <c r="J343" s="55">
        <f t="shared" si="39"/>
        <v>1244.9174084739489</v>
      </c>
      <c r="K343" s="108">
        <v>1613</v>
      </c>
      <c r="L343" s="101">
        <f t="shared" si="40"/>
        <v>15.877066794594018</v>
      </c>
      <c r="M343" s="101"/>
      <c r="N343" s="101"/>
      <c r="O343" s="101"/>
      <c r="P343" s="101"/>
      <c r="Q343" s="101"/>
      <c r="R343" s="101"/>
      <c r="S343" s="43">
        <v>56890</v>
      </c>
      <c r="T343" s="102">
        <v>2490</v>
      </c>
    </row>
    <row r="344" spans="1:20" x14ac:dyDescent="0.25">
      <c r="A344" s="100" t="str">
        <f t="shared" si="35"/>
        <v>CIRC  457*10</v>
      </c>
      <c r="B344" s="44">
        <f t="shared" si="36"/>
        <v>110.23691541813906</v>
      </c>
      <c r="C344" s="43">
        <v>457</v>
      </c>
      <c r="D344" s="43">
        <v>10</v>
      </c>
      <c r="E344" s="43"/>
      <c r="F344" s="43"/>
      <c r="G344" s="43"/>
      <c r="H344" s="44">
        <f t="shared" si="37"/>
        <v>140.42919161546376</v>
      </c>
      <c r="I344" s="55">
        <f t="shared" si="38"/>
        <v>35091.324083319683</v>
      </c>
      <c r="J344" s="55">
        <f t="shared" si="39"/>
        <v>1535.7253428148656</v>
      </c>
      <c r="K344" s="108">
        <v>1998</v>
      </c>
      <c r="L344" s="101">
        <f t="shared" si="40"/>
        <v>15.807790800741261</v>
      </c>
      <c r="M344" s="101"/>
      <c r="N344" s="101"/>
      <c r="O344" s="101"/>
      <c r="P344" s="101"/>
      <c r="Q344" s="101"/>
      <c r="R344" s="101"/>
      <c r="S344" s="43">
        <v>70180</v>
      </c>
      <c r="T344" s="102">
        <v>3071</v>
      </c>
    </row>
    <row r="345" spans="1:20" x14ac:dyDescent="0.25">
      <c r="A345" s="100" t="str">
        <f t="shared" si="35"/>
        <v>CIRC  457*12.5</v>
      </c>
      <c r="B345" s="44">
        <f t="shared" si="36"/>
        <v>137.02547232484008</v>
      </c>
      <c r="C345" s="43">
        <v>457</v>
      </c>
      <c r="D345" s="43">
        <v>12.5</v>
      </c>
      <c r="E345" s="43"/>
      <c r="F345" s="43"/>
      <c r="G345" s="43"/>
      <c r="H345" s="44">
        <f t="shared" si="37"/>
        <v>174.55474181508291</v>
      </c>
      <c r="I345" s="55">
        <f t="shared" si="38"/>
        <v>43144.804631147672</v>
      </c>
      <c r="J345" s="55">
        <f t="shared" si="39"/>
        <v>1888.1752573806421</v>
      </c>
      <c r="K345" s="108">
        <v>2470</v>
      </c>
      <c r="L345" s="101">
        <f t="shared" si="40"/>
        <v>15.721661012755616</v>
      </c>
      <c r="M345" s="101"/>
      <c r="N345" s="101"/>
      <c r="O345" s="101"/>
      <c r="P345" s="101"/>
      <c r="Q345" s="101"/>
      <c r="R345" s="101"/>
      <c r="S345" s="43">
        <v>86290</v>
      </c>
      <c r="T345" s="102">
        <v>3776</v>
      </c>
    </row>
    <row r="346" spans="1:20" x14ac:dyDescent="0.25">
      <c r="A346" s="100" t="str">
        <f t="shared" si="35"/>
        <v>CIRC  457*14.2</v>
      </c>
      <c r="B346" s="44">
        <f t="shared" si="36"/>
        <v>155.06560789475557</v>
      </c>
      <c r="C346" s="43">
        <v>457</v>
      </c>
      <c r="D346" s="43">
        <v>14.2</v>
      </c>
      <c r="E346" s="43"/>
      <c r="F346" s="43"/>
      <c r="G346" s="43"/>
      <c r="H346" s="44">
        <f t="shared" si="37"/>
        <v>197.53580623535743</v>
      </c>
      <c r="I346" s="55">
        <f t="shared" si="38"/>
        <v>48463.800143024135</v>
      </c>
      <c r="J346" s="55">
        <f t="shared" si="39"/>
        <v>2120.9540543993057</v>
      </c>
      <c r="K346" s="108">
        <v>2785</v>
      </c>
      <c r="L346" s="101">
        <f t="shared" si="40"/>
        <v>15.663392033656057</v>
      </c>
      <c r="M346" s="101"/>
      <c r="N346" s="101"/>
      <c r="O346" s="101"/>
      <c r="P346" s="101"/>
      <c r="Q346" s="101"/>
      <c r="R346" s="101"/>
      <c r="S346" s="43">
        <v>96930</v>
      </c>
      <c r="T346" s="102">
        <v>4242</v>
      </c>
    </row>
    <row r="347" spans="1:20" x14ac:dyDescent="0.25">
      <c r="A347" s="100" t="str">
        <f t="shared" si="35"/>
        <v>CIRC  457*16</v>
      </c>
      <c r="B347" s="44">
        <f t="shared" si="36"/>
        <v>174.01156044527721</v>
      </c>
      <c r="C347" s="43">
        <v>457</v>
      </c>
      <c r="D347" s="43">
        <v>16</v>
      </c>
      <c r="E347" s="43"/>
      <c r="F347" s="43"/>
      <c r="G347" s="43"/>
      <c r="H347" s="44">
        <f t="shared" si="37"/>
        <v>221.6707776372958</v>
      </c>
      <c r="I347" s="55">
        <f t="shared" si="38"/>
        <v>53959.377780942596</v>
      </c>
      <c r="J347" s="55">
        <f t="shared" si="39"/>
        <v>2361.4607343957373</v>
      </c>
      <c r="K347" s="108">
        <v>3113</v>
      </c>
      <c r="L347" s="101">
        <f t="shared" si="40"/>
        <v>15.60196301751802</v>
      </c>
      <c r="M347" s="101"/>
      <c r="N347" s="101"/>
      <c r="O347" s="101"/>
      <c r="P347" s="101"/>
      <c r="Q347" s="101"/>
      <c r="R347" s="101"/>
      <c r="S347" s="43">
        <v>107900</v>
      </c>
      <c r="T347" s="102">
        <v>4723</v>
      </c>
    </row>
    <row r="348" spans="1:20" x14ac:dyDescent="0.25">
      <c r="A348" s="100" t="str">
        <f t="shared" si="35"/>
        <v>CIRC  457*20</v>
      </c>
      <c r="B348" s="44">
        <f t="shared" si="36"/>
        <v>215.54153037014211</v>
      </c>
      <c r="C348" s="43">
        <v>457</v>
      </c>
      <c r="D348" s="43">
        <v>20</v>
      </c>
      <c r="E348" s="43"/>
      <c r="F348" s="43"/>
      <c r="G348" s="43"/>
      <c r="H348" s="44">
        <f t="shared" si="37"/>
        <v>274.57519792374791</v>
      </c>
      <c r="I348" s="55">
        <f t="shared" si="38"/>
        <v>65681.476314337153</v>
      </c>
      <c r="J348" s="55">
        <f t="shared" si="39"/>
        <v>2874.4628583954986</v>
      </c>
      <c r="K348" s="108">
        <v>3822</v>
      </c>
      <c r="L348" s="101">
        <f t="shared" si="40"/>
        <v>15.466455637928169</v>
      </c>
      <c r="M348" s="101"/>
      <c r="N348" s="101"/>
      <c r="O348" s="101"/>
      <c r="P348" s="101"/>
      <c r="Q348" s="101"/>
      <c r="R348" s="101"/>
      <c r="S348" s="43">
        <v>131400</v>
      </c>
      <c r="T348" s="102">
        <v>5749</v>
      </c>
    </row>
    <row r="349" spans="1:20" x14ac:dyDescent="0.25">
      <c r="A349" s="100" t="str">
        <f t="shared" si="35"/>
        <v>CIRC  457*25</v>
      </c>
      <c r="B349" s="44">
        <f t="shared" si="36"/>
        <v>266.34422517134271</v>
      </c>
      <c r="C349" s="43">
        <v>457</v>
      </c>
      <c r="D349" s="43">
        <v>25</v>
      </c>
      <c r="E349" s="43"/>
      <c r="F349" s="43"/>
      <c r="G349" s="43"/>
      <c r="H349" s="44">
        <f t="shared" si="37"/>
        <v>339.2920065876977</v>
      </c>
      <c r="I349" s="55">
        <f t="shared" si="38"/>
        <v>79415.111176924751</v>
      </c>
      <c r="J349" s="55">
        <f t="shared" si="39"/>
        <v>3475.4972068676038</v>
      </c>
      <c r="K349" s="108">
        <v>4671</v>
      </c>
      <c r="L349" s="101">
        <f t="shared" si="40"/>
        <v>15.299060428666852</v>
      </c>
      <c r="M349" s="101"/>
      <c r="N349" s="101"/>
      <c r="O349" s="101"/>
      <c r="P349" s="101"/>
      <c r="Q349" s="101"/>
      <c r="R349" s="101"/>
      <c r="S349" s="43">
        <v>158800</v>
      </c>
      <c r="T349" s="102">
        <v>6951</v>
      </c>
    </row>
    <row r="350" spans="1:20" x14ac:dyDescent="0.25">
      <c r="A350" s="100" t="str">
        <f t="shared" si="35"/>
        <v>CIRC  457*30</v>
      </c>
      <c r="B350" s="44">
        <f t="shared" si="36"/>
        <v>315.91384485600923</v>
      </c>
      <c r="C350" s="43">
        <v>457</v>
      </c>
      <c r="D350" s="43">
        <v>30</v>
      </c>
      <c r="E350" s="43"/>
      <c r="F350" s="43"/>
      <c r="G350" s="43"/>
      <c r="H350" s="44">
        <f t="shared" si="37"/>
        <v>402.43801892485254</v>
      </c>
      <c r="I350" s="55">
        <f t="shared" si="38"/>
        <v>92172.894711977249</v>
      </c>
      <c r="J350" s="55">
        <f t="shared" si="39"/>
        <v>4033.8247138720894</v>
      </c>
      <c r="K350" s="108">
        <v>5479</v>
      </c>
      <c r="L350" s="101">
        <f t="shared" si="40"/>
        <v>15.133943636739234</v>
      </c>
      <c r="M350" s="101"/>
      <c r="N350" s="101"/>
      <c r="O350" s="101"/>
      <c r="P350" s="101"/>
      <c r="Q350" s="101"/>
      <c r="R350" s="101"/>
      <c r="S350" s="43">
        <v>184300</v>
      </c>
      <c r="T350" s="102">
        <v>8068</v>
      </c>
    </row>
    <row r="351" spans="1:20" x14ac:dyDescent="0.25">
      <c r="A351" s="103" t="str">
        <f t="shared" si="35"/>
        <v>CIRC  457*40</v>
      </c>
      <c r="B351" s="50">
        <f t="shared" si="36"/>
        <v>411.3538588757404</v>
      </c>
      <c r="C351" s="49">
        <v>457</v>
      </c>
      <c r="D351" s="49">
        <v>40</v>
      </c>
      <c r="E351" s="49"/>
      <c r="F351" s="49"/>
      <c r="G351" s="49"/>
      <c r="H351" s="50">
        <f t="shared" si="37"/>
        <v>524.01765461877756</v>
      </c>
      <c r="I351" s="56">
        <f t="shared" si="38"/>
        <v>114949.1677392433</v>
      </c>
      <c r="J351" s="56">
        <f t="shared" si="39"/>
        <v>5030.5981505139298</v>
      </c>
      <c r="K351" s="109">
        <v>6977</v>
      </c>
      <c r="L351" s="104">
        <f t="shared" si="40"/>
        <v>14.810849064115128</v>
      </c>
      <c r="M351" s="104"/>
      <c r="N351" s="104"/>
      <c r="O351" s="104"/>
      <c r="P351" s="104"/>
      <c r="Q351" s="104"/>
      <c r="R351" s="104"/>
      <c r="S351" s="49">
        <v>229900</v>
      </c>
      <c r="T351" s="105">
        <v>10060</v>
      </c>
    </row>
    <row r="352" spans="1:20" x14ac:dyDescent="0.25">
      <c r="A352" s="17" t="str">
        <f t="shared" si="35"/>
        <v>CIRC  508*6.3</v>
      </c>
      <c r="B352" s="33">
        <f t="shared" si="36"/>
        <v>77.947857031603348</v>
      </c>
      <c r="C352" s="17">
        <v>508</v>
      </c>
      <c r="D352" s="17">
        <v>6.3</v>
      </c>
      <c r="E352" s="17"/>
      <c r="F352" s="17"/>
      <c r="G352" s="17"/>
      <c r="H352" s="33">
        <f t="shared" si="37"/>
        <v>99.296633161278152</v>
      </c>
      <c r="I352" s="57">
        <f t="shared" si="38"/>
        <v>31246.488271667135</v>
      </c>
      <c r="J352" s="57">
        <f t="shared" si="39"/>
        <v>1230.1767036089423</v>
      </c>
      <c r="K352" s="106">
        <v>1586</v>
      </c>
      <c r="L352" s="96">
        <f t="shared" si="40"/>
        <v>17.739172049450332</v>
      </c>
      <c r="M352" s="96"/>
      <c r="N352" s="96"/>
      <c r="O352" s="96"/>
      <c r="P352" s="96"/>
      <c r="Q352" s="96"/>
      <c r="R352" s="96"/>
      <c r="S352" s="17">
        <v>62490</v>
      </c>
      <c r="T352">
        <v>2460</v>
      </c>
    </row>
    <row r="353" spans="1:20" x14ac:dyDescent="0.25">
      <c r="A353" s="17" t="str">
        <f t="shared" si="35"/>
        <v>CIRC  508*8</v>
      </c>
      <c r="B353" s="33">
        <f t="shared" si="36"/>
        <v>98.646009322719507</v>
      </c>
      <c r="C353" s="17">
        <v>508</v>
      </c>
      <c r="D353" s="17">
        <v>8</v>
      </c>
      <c r="E353" s="17"/>
      <c r="F353" s="17"/>
      <c r="G353" s="17"/>
      <c r="H353" s="33">
        <f t="shared" si="37"/>
        <v>125.66370614359172</v>
      </c>
      <c r="I353" s="57">
        <f t="shared" si="38"/>
        <v>39279.961266363905</v>
      </c>
      <c r="J353" s="57">
        <f t="shared" si="39"/>
        <v>1546.4551679670828</v>
      </c>
      <c r="K353" s="106">
        <v>2000</v>
      </c>
      <c r="L353" s="96">
        <f t="shared" si="40"/>
        <v>17.679932126566552</v>
      </c>
      <c r="M353" s="96"/>
      <c r="N353" s="96"/>
      <c r="O353" s="96"/>
      <c r="P353" s="96"/>
      <c r="Q353" s="96"/>
      <c r="R353" s="96"/>
      <c r="S353" s="17">
        <v>78560</v>
      </c>
      <c r="T353">
        <v>3093</v>
      </c>
    </row>
    <row r="354" spans="1:20" x14ac:dyDescent="0.25">
      <c r="A354" s="17" t="str">
        <f t="shared" si="35"/>
        <v>CIRC  508*10</v>
      </c>
      <c r="B354" s="33">
        <f t="shared" si="36"/>
        <v>122.81428160678578</v>
      </c>
      <c r="C354" s="17">
        <v>508</v>
      </c>
      <c r="D354" s="17">
        <v>10</v>
      </c>
      <c r="E354" s="17"/>
      <c r="F354" s="17"/>
      <c r="G354" s="17"/>
      <c r="H354" s="33">
        <f t="shared" si="37"/>
        <v>156.4513141487717</v>
      </c>
      <c r="I354" s="57">
        <f t="shared" si="38"/>
        <v>48520.246056958567</v>
      </c>
      <c r="J354" s="57">
        <f t="shared" si="39"/>
        <v>1910.2459077542742</v>
      </c>
      <c r="K354" s="106">
        <v>2480</v>
      </c>
      <c r="L354" s="96">
        <f t="shared" si="40"/>
        <v>17.610508226624241</v>
      </c>
      <c r="M354" s="96"/>
      <c r="N354" s="96"/>
      <c r="O354" s="96"/>
      <c r="P354" s="96"/>
      <c r="Q354" s="96"/>
      <c r="R354" s="96"/>
      <c r="S354" s="17">
        <v>97040</v>
      </c>
      <c r="T354">
        <v>3820</v>
      </c>
    </row>
    <row r="355" spans="1:20" x14ac:dyDescent="0.25">
      <c r="A355" s="17" t="str">
        <f t="shared" si="35"/>
        <v>CIRC  508*12.5</v>
      </c>
      <c r="B355" s="33">
        <f t="shared" si="36"/>
        <v>152.74718006064847</v>
      </c>
      <c r="C355" s="17">
        <v>508</v>
      </c>
      <c r="D355" s="17">
        <v>12.5</v>
      </c>
      <c r="E355" s="17"/>
      <c r="F355" s="17"/>
      <c r="G355" s="17"/>
      <c r="H355" s="33">
        <f t="shared" si="37"/>
        <v>194.58239498171781</v>
      </c>
      <c r="I355" s="57">
        <f t="shared" si="38"/>
        <v>59755.402200907498</v>
      </c>
      <c r="J355" s="57">
        <f t="shared" si="39"/>
        <v>2352.5748897995077</v>
      </c>
      <c r="K355" s="106">
        <v>3070</v>
      </c>
      <c r="L355" s="96">
        <f t="shared" si="40"/>
        <v>17.52414405898331</v>
      </c>
      <c r="M355" s="96"/>
      <c r="N355" s="96"/>
      <c r="O355" s="96"/>
      <c r="P355" s="96"/>
      <c r="Q355" s="96"/>
      <c r="R355" s="96"/>
      <c r="S355" s="17">
        <v>119500</v>
      </c>
      <c r="T355">
        <v>4705</v>
      </c>
    </row>
    <row r="356" spans="1:20" x14ac:dyDescent="0.25">
      <c r="A356" s="17" t="str">
        <f t="shared" si="35"/>
        <v>CIRC  508*14.2</v>
      </c>
      <c r="B356" s="33">
        <f t="shared" si="36"/>
        <v>172.92546788263388</v>
      </c>
      <c r="C356" s="17">
        <v>508</v>
      </c>
      <c r="D356" s="17">
        <v>14.2</v>
      </c>
      <c r="E356" s="17"/>
      <c r="F356" s="17"/>
      <c r="G356" s="17"/>
      <c r="H356" s="33">
        <f t="shared" si="37"/>
        <v>220.28722023265462</v>
      </c>
      <c r="I356" s="57">
        <f t="shared" si="38"/>
        <v>67198.638560693318</v>
      </c>
      <c r="J356" s="57">
        <f t="shared" si="39"/>
        <v>2645.6156913658783</v>
      </c>
      <c r="K356" s="106">
        <v>3463</v>
      </c>
      <c r="L356" s="96">
        <f t="shared" si="40"/>
        <v>17.465683496502507</v>
      </c>
      <c r="M356" s="96"/>
      <c r="N356" s="96"/>
      <c r="O356" s="96"/>
      <c r="P356" s="96"/>
      <c r="Q356" s="96"/>
      <c r="R356" s="96"/>
      <c r="S356" s="17">
        <v>134400</v>
      </c>
      <c r="T356">
        <v>5291</v>
      </c>
    </row>
    <row r="357" spans="1:20" x14ac:dyDescent="0.25">
      <c r="A357" s="17" t="str">
        <f t="shared" ref="A357:A425" si="41">$B$225&amp;"  "&amp;C357&amp;"*"&amp;D357</f>
        <v>CIRC  508*16</v>
      </c>
      <c r="B357" s="33">
        <f t="shared" si="36"/>
        <v>194.13534634711198</v>
      </c>
      <c r="C357" s="17">
        <v>508</v>
      </c>
      <c r="D357" s="17">
        <v>16</v>
      </c>
      <c r="E357" s="17"/>
      <c r="F357" s="17"/>
      <c r="G357" s="17"/>
      <c r="H357" s="33">
        <f t="shared" si="37"/>
        <v>247.30617369058851</v>
      </c>
      <c r="I357" s="57">
        <f t="shared" si="38"/>
        <v>74909.040010879267</v>
      </c>
      <c r="J357" s="57">
        <f t="shared" si="39"/>
        <v>2949.1748035779237</v>
      </c>
      <c r="K357" s="106">
        <v>3874</v>
      </c>
      <c r="L357" s="96">
        <f t="shared" si="40"/>
        <v>17.40402252354323</v>
      </c>
      <c r="M357" s="96"/>
      <c r="N357" s="96"/>
      <c r="O357" s="96"/>
      <c r="P357" s="96"/>
      <c r="Q357" s="96"/>
      <c r="R357" s="96"/>
      <c r="S357" s="17">
        <v>149800</v>
      </c>
      <c r="T357">
        <v>5898</v>
      </c>
    </row>
    <row r="358" spans="1:20" x14ac:dyDescent="0.25">
      <c r="A358" s="17" t="str">
        <f t="shared" si="41"/>
        <v>CIRC  508*20</v>
      </c>
      <c r="B358" s="33">
        <f t="shared" si="36"/>
        <v>240.69626274743561</v>
      </c>
      <c r="C358" s="17">
        <v>508</v>
      </c>
      <c r="D358" s="17">
        <v>20</v>
      </c>
      <c r="E358" s="17"/>
      <c r="F358" s="17"/>
      <c r="G358" s="17"/>
      <c r="H358" s="33">
        <f t="shared" si="37"/>
        <v>306.61944299036384</v>
      </c>
      <c r="I358" s="57">
        <f t="shared" si="38"/>
        <v>91427.785510866684</v>
      </c>
      <c r="J358" s="57">
        <f t="shared" si="39"/>
        <v>3599.5191146010502</v>
      </c>
      <c r="K358" s="106">
        <v>4766</v>
      </c>
      <c r="L358" s="96">
        <f t="shared" si="40"/>
        <v>17.267889274604467</v>
      </c>
      <c r="M358" s="96"/>
      <c r="N358" s="96"/>
      <c r="O358" s="96"/>
      <c r="P358" s="96"/>
      <c r="Q358" s="96"/>
      <c r="R358" s="96"/>
      <c r="S358" s="17">
        <v>182900</v>
      </c>
      <c r="T358">
        <v>7199</v>
      </c>
    </row>
    <row r="359" spans="1:20" x14ac:dyDescent="0.25">
      <c r="A359" s="17" t="str">
        <f t="shared" si="41"/>
        <v>CIRC  508*25</v>
      </c>
      <c r="B359" s="33">
        <f t="shared" si="36"/>
        <v>297.7876406429595</v>
      </c>
      <c r="C359" s="17">
        <v>508</v>
      </c>
      <c r="D359" s="17">
        <v>25</v>
      </c>
      <c r="E359" s="17"/>
      <c r="F359" s="17"/>
      <c r="G359" s="17"/>
      <c r="H359" s="33">
        <f t="shared" si="37"/>
        <v>379.34731292096751</v>
      </c>
      <c r="I359" s="57">
        <f t="shared" si="38"/>
        <v>110918.30919324401</v>
      </c>
      <c r="J359" s="57">
        <f t="shared" si="39"/>
        <v>4366.8625666631497</v>
      </c>
      <c r="K359" s="106">
        <v>5837</v>
      </c>
      <c r="L359" s="96">
        <f t="shared" si="40"/>
        <v>17.099488296437414</v>
      </c>
      <c r="M359" s="96"/>
      <c r="N359" s="96"/>
      <c r="O359" s="96"/>
      <c r="P359" s="96"/>
      <c r="Q359" s="96"/>
      <c r="R359" s="96"/>
      <c r="S359" s="17">
        <v>221800</v>
      </c>
      <c r="T359">
        <v>8734</v>
      </c>
    </row>
    <row r="360" spans="1:20" x14ac:dyDescent="0.25">
      <c r="A360" s="17" t="str">
        <f t="shared" si="41"/>
        <v>CIRC  508*30</v>
      </c>
      <c r="B360" s="33">
        <f t="shared" si="36"/>
        <v>353.64594342194943</v>
      </c>
      <c r="C360" s="17">
        <v>508</v>
      </c>
      <c r="D360" s="17">
        <v>30</v>
      </c>
      <c r="E360" s="17"/>
      <c r="F360" s="17"/>
      <c r="G360" s="17"/>
      <c r="H360" s="33">
        <f t="shared" si="37"/>
        <v>450.50438652477635</v>
      </c>
      <c r="I360" s="57">
        <f t="shared" si="38"/>
        <v>129173.12274824914</v>
      </c>
      <c r="J360" s="57">
        <f t="shared" si="39"/>
        <v>5085.5560137105958</v>
      </c>
      <c r="K360" s="106">
        <v>6864</v>
      </c>
      <c r="L360" s="96">
        <f t="shared" si="40"/>
        <v>16.933103672983286</v>
      </c>
      <c r="M360" s="96"/>
      <c r="N360" s="96"/>
      <c r="O360" s="96"/>
      <c r="P360" s="96"/>
      <c r="Q360" s="96"/>
      <c r="R360" s="96"/>
      <c r="S360" s="17">
        <v>258300</v>
      </c>
      <c r="T360">
        <v>10170</v>
      </c>
    </row>
    <row r="361" spans="1:20" x14ac:dyDescent="0.25">
      <c r="A361" s="17" t="str">
        <f t="shared" si="41"/>
        <v>CIRC  508*40</v>
      </c>
      <c r="B361" s="33">
        <f t="shared" si="36"/>
        <v>461.66332363032734</v>
      </c>
      <c r="C361" s="17">
        <v>508</v>
      </c>
      <c r="D361" s="17">
        <v>40</v>
      </c>
      <c r="E361" s="17"/>
      <c r="F361" s="17"/>
      <c r="G361" s="17"/>
      <c r="H361" s="33">
        <f t="shared" si="37"/>
        <v>588.1061447520093</v>
      </c>
      <c r="I361" s="57">
        <f t="shared" si="38"/>
        <v>162187.91259970912</v>
      </c>
      <c r="J361" s="57">
        <f t="shared" si="39"/>
        <v>6385.350889752327</v>
      </c>
      <c r="K361" s="106">
        <v>8782</v>
      </c>
      <c r="L361" s="96">
        <f t="shared" si="40"/>
        <v>16.606625183943905</v>
      </c>
      <c r="M361" s="96"/>
      <c r="N361" s="96"/>
      <c r="O361" s="96"/>
      <c r="P361" s="96"/>
      <c r="Q361" s="96"/>
      <c r="R361" s="96"/>
      <c r="S361" s="17">
        <v>324400</v>
      </c>
      <c r="T361">
        <v>12770</v>
      </c>
    </row>
    <row r="362" spans="1:20" x14ac:dyDescent="0.25">
      <c r="A362" s="17" t="str">
        <f>$B$225&amp;"  "&amp;C362&amp;"*"&amp;D362</f>
        <v>CIRC  508*50</v>
      </c>
      <c r="B362" s="33">
        <f>H362*0.785</f>
        <v>564.74840337256921</v>
      </c>
      <c r="C362" s="17">
        <v>508</v>
      </c>
      <c r="D362" s="17">
        <v>50</v>
      </c>
      <c r="E362" s="17"/>
      <c r="F362" s="17"/>
      <c r="G362" s="17"/>
      <c r="H362" s="33">
        <f>(C362^2-(C362-2*D362)^2)*PI()*0.01/4</f>
        <v>719.42471767206268</v>
      </c>
      <c r="I362" s="57">
        <f>(C362^4-(C362-2*D362)^4)*PI()*0.0001/64</f>
        <v>190884.96033992837</v>
      </c>
      <c r="J362" s="57">
        <f>I362/(C362*0.5*0.1)</f>
        <v>7515.1559188948168</v>
      </c>
      <c r="K362" s="106">
        <v>10530</v>
      </c>
      <c r="L362" s="96">
        <f>SQRT(I362/H362)</f>
        <v>16.288953311984169</v>
      </c>
      <c r="M362" s="96"/>
      <c r="N362" s="96"/>
      <c r="O362" s="96"/>
      <c r="P362" s="96"/>
      <c r="Q362" s="96"/>
      <c r="R362" s="96"/>
      <c r="S362" s="17">
        <v>381800</v>
      </c>
      <c r="T362">
        <v>15030</v>
      </c>
    </row>
    <row r="363" spans="1:20" x14ac:dyDescent="0.25">
      <c r="A363" s="97" t="str">
        <f t="shared" si="41"/>
        <v>CIRC  610*6.3</v>
      </c>
      <c r="B363" s="38">
        <f t="shared" si="36"/>
        <v>93.795338429298383</v>
      </c>
      <c r="C363" s="37">
        <v>610</v>
      </c>
      <c r="D363" s="37">
        <v>6.3</v>
      </c>
      <c r="E363" s="37"/>
      <c r="F363" s="37"/>
      <c r="G363" s="37"/>
      <c r="H363" s="38">
        <f t="shared" si="37"/>
        <v>119.48450755324635</v>
      </c>
      <c r="I363" s="54">
        <f t="shared" si="38"/>
        <v>54439.140019647872</v>
      </c>
      <c r="J363" s="54">
        <f t="shared" si="39"/>
        <v>1784.8898367097663</v>
      </c>
      <c r="K363" s="107">
        <v>2296</v>
      </c>
      <c r="L363" s="98">
        <f t="shared" si="40"/>
        <v>21.345180369348022</v>
      </c>
      <c r="M363" s="98"/>
      <c r="N363" s="98"/>
      <c r="O363" s="98"/>
      <c r="P363" s="98"/>
      <c r="Q363" s="98"/>
      <c r="R363" s="98"/>
      <c r="S363" s="37">
        <v>108900</v>
      </c>
      <c r="T363" s="99">
        <v>3570</v>
      </c>
    </row>
    <row r="364" spans="1:20" x14ac:dyDescent="0.25">
      <c r="A364" s="100" t="str">
        <f t="shared" si="41"/>
        <v>CIRC  610*8</v>
      </c>
      <c r="B364" s="44">
        <f t="shared" si="36"/>
        <v>118.76979522455429</v>
      </c>
      <c r="C364" s="43">
        <v>610</v>
      </c>
      <c r="D364" s="43">
        <v>8</v>
      </c>
      <c r="E364" s="43"/>
      <c r="F364" s="43"/>
      <c r="G364" s="43"/>
      <c r="H364" s="44">
        <f t="shared" si="37"/>
        <v>151.29910219688443</v>
      </c>
      <c r="I364" s="55">
        <f t="shared" si="38"/>
        <v>68551.353718875383</v>
      </c>
      <c r="J364" s="55">
        <f t="shared" si="39"/>
        <v>2247.58536783198</v>
      </c>
      <c r="K364" s="108">
        <v>2899</v>
      </c>
      <c r="L364" s="101">
        <f t="shared" si="40"/>
        <v>21.285793384320915</v>
      </c>
      <c r="M364" s="101"/>
      <c r="N364" s="101"/>
      <c r="O364" s="101"/>
      <c r="P364" s="101"/>
      <c r="Q364" s="101"/>
      <c r="R364" s="101"/>
      <c r="S364" s="43">
        <v>137100</v>
      </c>
      <c r="T364" s="102">
        <v>4495</v>
      </c>
    </row>
    <row r="365" spans="1:20" x14ac:dyDescent="0.25">
      <c r="A365" s="100" t="str">
        <f t="shared" si="41"/>
        <v>CIRC  610*10</v>
      </c>
      <c r="B365" s="44">
        <f t="shared" si="36"/>
        <v>147.96901398407928</v>
      </c>
      <c r="C365" s="43">
        <v>610</v>
      </c>
      <c r="D365" s="43">
        <v>10</v>
      </c>
      <c r="E365" s="43"/>
      <c r="F365" s="43"/>
      <c r="G365" s="43"/>
      <c r="H365" s="44">
        <f t="shared" si="37"/>
        <v>188.4955592153876</v>
      </c>
      <c r="I365" s="55">
        <f t="shared" si="38"/>
        <v>84846.563591826343</v>
      </c>
      <c r="J365" s="55">
        <f t="shared" si="39"/>
        <v>2781.8545439943064</v>
      </c>
      <c r="K365" s="108">
        <v>3600</v>
      </c>
      <c r="L365" s="101">
        <f t="shared" si="40"/>
        <v>21.216149509277127</v>
      </c>
      <c r="M365" s="101"/>
      <c r="N365" s="101"/>
      <c r="O365" s="101"/>
      <c r="P365" s="101"/>
      <c r="Q365" s="101"/>
      <c r="R365" s="101"/>
      <c r="S365" s="43">
        <v>169700</v>
      </c>
      <c r="T365" s="102">
        <v>5564</v>
      </c>
    </row>
    <row r="366" spans="1:20" x14ac:dyDescent="0.25">
      <c r="A366" s="100" t="str">
        <f t="shared" si="41"/>
        <v>CIRC  610*12.5</v>
      </c>
      <c r="B366" s="44">
        <f t="shared" si="36"/>
        <v>184.19059553226535</v>
      </c>
      <c r="C366" s="43">
        <v>610</v>
      </c>
      <c r="D366" s="43">
        <v>12.5</v>
      </c>
      <c r="E366" s="43"/>
      <c r="F366" s="43"/>
      <c r="G366" s="43"/>
      <c r="H366" s="44">
        <f t="shared" si="37"/>
        <v>234.63770131498768</v>
      </c>
      <c r="I366" s="55">
        <f t="shared" si="38"/>
        <v>104754.73499489286</v>
      </c>
      <c r="J366" s="55">
        <f t="shared" si="39"/>
        <v>3434.5814752423889</v>
      </c>
      <c r="K366" s="108">
        <v>4463</v>
      </c>
      <c r="L366" s="101">
        <f t="shared" si="40"/>
        <v>21.12943740377391</v>
      </c>
      <c r="M366" s="101"/>
      <c r="N366" s="101"/>
      <c r="O366" s="101"/>
      <c r="P366" s="101"/>
      <c r="Q366" s="101"/>
      <c r="R366" s="101"/>
      <c r="S366" s="43">
        <v>209500</v>
      </c>
      <c r="T366" s="102">
        <v>6869</v>
      </c>
    </row>
    <row r="367" spans="1:20" x14ac:dyDescent="0.25">
      <c r="A367" s="100" t="str">
        <f t="shared" si="41"/>
        <v>CIRC  610*14.2</v>
      </c>
      <c r="B367" s="44">
        <f t="shared" si="36"/>
        <v>208.64518785839081</v>
      </c>
      <c r="C367" s="43">
        <v>610</v>
      </c>
      <c r="D367" s="43">
        <v>14.2</v>
      </c>
      <c r="E367" s="43"/>
      <c r="F367" s="43"/>
      <c r="G367" s="43"/>
      <c r="H367" s="44">
        <f t="shared" si="37"/>
        <v>265.79004822724943</v>
      </c>
      <c r="I367" s="55">
        <f t="shared" si="38"/>
        <v>118003.89745064963</v>
      </c>
      <c r="J367" s="55">
        <f t="shared" si="39"/>
        <v>3868.9802442835944</v>
      </c>
      <c r="K367" s="108">
        <v>5042</v>
      </c>
      <c r="L367" s="101">
        <f t="shared" si="40"/>
        <v>21.070692916940342</v>
      </c>
      <c r="M367" s="101"/>
      <c r="N367" s="101"/>
      <c r="O367" s="101"/>
      <c r="P367" s="101"/>
      <c r="Q367" s="101"/>
      <c r="R367" s="101"/>
      <c r="S367" s="43">
        <v>236000</v>
      </c>
      <c r="T367" s="102">
        <v>7738</v>
      </c>
    </row>
    <row r="368" spans="1:20" x14ac:dyDescent="0.25">
      <c r="A368" s="100" t="str">
        <f t="shared" si="41"/>
        <v>CIRC  610*16</v>
      </c>
      <c r="B368" s="44">
        <f t="shared" si="36"/>
        <v>234.38291815078156</v>
      </c>
      <c r="C368" s="43">
        <v>610</v>
      </c>
      <c r="D368" s="43">
        <v>16</v>
      </c>
      <c r="E368" s="43"/>
      <c r="F368" s="43"/>
      <c r="G368" s="43"/>
      <c r="H368" s="44">
        <f t="shared" si="37"/>
        <v>298.57696579717395</v>
      </c>
      <c r="I368" s="55">
        <f t="shared" si="38"/>
        <v>131781.4225090697</v>
      </c>
      <c r="J368" s="55">
        <f t="shared" si="39"/>
        <v>4320.7023773465471</v>
      </c>
      <c r="K368" s="108">
        <v>5647</v>
      </c>
      <c r="L368" s="101">
        <f t="shared" si="40"/>
        <v>21.008688678734806</v>
      </c>
      <c r="M368" s="101"/>
      <c r="N368" s="101"/>
      <c r="O368" s="101"/>
      <c r="P368" s="101"/>
      <c r="Q368" s="101"/>
      <c r="R368" s="101"/>
      <c r="S368" s="43">
        <v>263600</v>
      </c>
      <c r="T368" s="102">
        <v>8641</v>
      </c>
    </row>
    <row r="369" spans="1:20" x14ac:dyDescent="0.25">
      <c r="A369" s="100" t="str">
        <f t="shared" si="41"/>
        <v>CIRC  610*20</v>
      </c>
      <c r="B369" s="44">
        <f t="shared" si="36"/>
        <v>291.00572750202252</v>
      </c>
      <c r="C369" s="43">
        <v>610</v>
      </c>
      <c r="D369" s="43">
        <v>20</v>
      </c>
      <c r="E369" s="43"/>
      <c r="F369" s="43"/>
      <c r="G369" s="43"/>
      <c r="H369" s="44">
        <f t="shared" si="37"/>
        <v>370.70793312359558</v>
      </c>
      <c r="I369" s="55">
        <f t="shared" si="38"/>
        <v>161489.64336696634</v>
      </c>
      <c r="J369" s="55">
        <f t="shared" si="39"/>
        <v>5294.742405474306</v>
      </c>
      <c r="K369" s="108">
        <v>6965</v>
      </c>
      <c r="L369" s="101">
        <f t="shared" si="40"/>
        <v>20.871631464741803</v>
      </c>
      <c r="M369" s="101"/>
      <c r="N369" s="101"/>
      <c r="O369" s="101"/>
      <c r="P369" s="101"/>
      <c r="Q369" s="101"/>
      <c r="R369" s="101"/>
      <c r="S369" s="43">
        <v>323000</v>
      </c>
      <c r="T369" s="102">
        <v>10590</v>
      </c>
    </row>
    <row r="370" spans="1:20" x14ac:dyDescent="0.25">
      <c r="A370" s="100" t="str">
        <f t="shared" si="41"/>
        <v>CIRC  610*25</v>
      </c>
      <c r="B370" s="44">
        <f t="shared" si="36"/>
        <v>360.67447158619325</v>
      </c>
      <c r="C370" s="43">
        <v>610</v>
      </c>
      <c r="D370" s="43">
        <v>25</v>
      </c>
      <c r="E370" s="43"/>
      <c r="F370" s="43"/>
      <c r="G370" s="43"/>
      <c r="H370" s="44">
        <f t="shared" si="37"/>
        <v>459.4579255875073</v>
      </c>
      <c r="I370" s="55">
        <f t="shared" si="38"/>
        <v>196906.43723459606</v>
      </c>
      <c r="J370" s="55">
        <f t="shared" si="39"/>
        <v>6455.948761790035</v>
      </c>
      <c r="K370" s="108">
        <v>8561</v>
      </c>
      <c r="L370" s="101">
        <f t="shared" si="40"/>
        <v>20.701751133660164</v>
      </c>
      <c r="M370" s="101"/>
      <c r="N370" s="101"/>
      <c r="O370" s="101"/>
      <c r="P370" s="101"/>
      <c r="Q370" s="101"/>
      <c r="R370" s="101"/>
      <c r="S370" s="43">
        <v>393800</v>
      </c>
      <c r="T370" s="102">
        <v>12910</v>
      </c>
    </row>
    <row r="371" spans="1:20" x14ac:dyDescent="0.25">
      <c r="A371" s="100" t="str">
        <f t="shared" si="41"/>
        <v>CIRC  610*30</v>
      </c>
      <c r="B371" s="44">
        <f t="shared" si="36"/>
        <v>429.11014055382981</v>
      </c>
      <c r="C371" s="43">
        <v>610</v>
      </c>
      <c r="D371" s="43">
        <v>30</v>
      </c>
      <c r="E371" s="43"/>
      <c r="F371" s="43"/>
      <c r="G371" s="43"/>
      <c r="H371" s="44">
        <f t="shared" si="37"/>
        <v>546.63712172462397</v>
      </c>
      <c r="I371" s="55">
        <f t="shared" si="38"/>
        <v>230475.8764471446</v>
      </c>
      <c r="J371" s="55">
        <f t="shared" si="39"/>
        <v>7556.5861130211342</v>
      </c>
      <c r="K371" s="108">
        <v>10101</v>
      </c>
      <c r="L371" s="101">
        <f t="shared" si="40"/>
        <v>20.533509198381072</v>
      </c>
      <c r="M371" s="101"/>
      <c r="N371" s="101"/>
      <c r="O371" s="101"/>
      <c r="P371" s="101"/>
      <c r="Q371" s="101"/>
      <c r="R371" s="101"/>
      <c r="S371" s="43">
        <v>461000</v>
      </c>
      <c r="T371" s="102">
        <v>15110</v>
      </c>
    </row>
    <row r="372" spans="1:20" x14ac:dyDescent="0.25">
      <c r="A372" s="100" t="str">
        <f t="shared" si="41"/>
        <v>CIRC  610*40</v>
      </c>
      <c r="B372" s="44">
        <f t="shared" si="36"/>
        <v>562.28225313950111</v>
      </c>
      <c r="C372" s="43">
        <v>610</v>
      </c>
      <c r="D372" s="43">
        <v>40</v>
      </c>
      <c r="E372" s="43"/>
      <c r="F372" s="43"/>
      <c r="G372" s="43"/>
      <c r="H372" s="44">
        <f t="shared" si="37"/>
        <v>716.28312501847279</v>
      </c>
      <c r="I372" s="55">
        <f t="shared" si="38"/>
        <v>292333.05039816425</v>
      </c>
      <c r="J372" s="55">
        <f t="shared" si="39"/>
        <v>9584.6901769889919</v>
      </c>
      <c r="K372" s="108">
        <v>13017</v>
      </c>
      <c r="L372" s="101">
        <f t="shared" si="40"/>
        <v>20.202103850836924</v>
      </c>
      <c r="M372" s="101"/>
      <c r="N372" s="101"/>
      <c r="O372" s="101"/>
      <c r="P372" s="101"/>
      <c r="Q372" s="101"/>
      <c r="R372" s="101"/>
      <c r="S372" s="43">
        <v>584700</v>
      </c>
      <c r="T372" s="102">
        <v>19170</v>
      </c>
    </row>
    <row r="373" spans="1:20" x14ac:dyDescent="0.25">
      <c r="A373" s="103" t="str">
        <f t="shared" si="41"/>
        <v>CIRC  610*50</v>
      </c>
      <c r="B373" s="50">
        <f t="shared" si="36"/>
        <v>690.52206525903648</v>
      </c>
      <c r="C373" s="49">
        <v>610</v>
      </c>
      <c r="D373" s="49">
        <v>50</v>
      </c>
      <c r="E373" s="49"/>
      <c r="F373" s="49"/>
      <c r="G373" s="49"/>
      <c r="H373" s="50">
        <f t="shared" si="37"/>
        <v>879.64594300514204</v>
      </c>
      <c r="I373" s="56">
        <f t="shared" si="38"/>
        <v>347570.10322990676</v>
      </c>
      <c r="J373" s="56">
        <f t="shared" si="39"/>
        <v>11395.74108950514</v>
      </c>
      <c r="K373" s="109">
        <v>15722</v>
      </c>
      <c r="L373" s="104">
        <f t="shared" si="40"/>
        <v>19.87775138188422</v>
      </c>
      <c r="M373" s="104"/>
      <c r="N373" s="104"/>
      <c r="O373" s="104"/>
      <c r="P373" s="104"/>
      <c r="Q373" s="104"/>
      <c r="R373" s="104"/>
      <c r="S373" s="49">
        <v>695100</v>
      </c>
      <c r="T373" s="105">
        <v>22790</v>
      </c>
    </row>
    <row r="374" spans="1:20" x14ac:dyDescent="0.25">
      <c r="A374" s="17" t="str">
        <f t="shared" si="41"/>
        <v>CIRC  711*6.3</v>
      </c>
      <c r="B374" s="33">
        <f t="shared" si="36"/>
        <v>109.48745236231007</v>
      </c>
      <c r="C374" s="17">
        <v>711</v>
      </c>
      <c r="D374" s="17">
        <v>6.3</v>
      </c>
      <c r="E374" s="17"/>
      <c r="F374" s="17"/>
      <c r="G374" s="17"/>
      <c r="H374" s="33">
        <f t="shared" si="37"/>
        <v>139.4744616080383</v>
      </c>
      <c r="I374" s="57">
        <f t="shared" si="38"/>
        <v>86586.056096947257</v>
      </c>
      <c r="J374" s="57">
        <f t="shared" si="39"/>
        <v>2435.613392319191</v>
      </c>
      <c r="K374" s="106">
        <v>3129</v>
      </c>
      <c r="L374" s="96">
        <f t="shared" si="40"/>
        <v>24.915903054073716</v>
      </c>
      <c r="M374" s="96"/>
      <c r="N374" s="96"/>
      <c r="O374" s="96"/>
      <c r="P374" s="96"/>
      <c r="Q374" s="96"/>
      <c r="R374" s="96"/>
      <c r="S374" s="17">
        <v>173200</v>
      </c>
      <c r="T374">
        <v>4871</v>
      </c>
    </row>
    <row r="375" spans="1:20" x14ac:dyDescent="0.25">
      <c r="A375" s="17" t="str">
        <f t="shared" si="41"/>
        <v>CIRC  711*8</v>
      </c>
      <c r="B375" s="33">
        <f t="shared" si="36"/>
        <v>138.69628910774361</v>
      </c>
      <c r="C375" s="17">
        <v>711</v>
      </c>
      <c r="D375" s="17">
        <v>8</v>
      </c>
      <c r="E375" s="17"/>
      <c r="F375" s="17"/>
      <c r="G375" s="17"/>
      <c r="H375" s="33">
        <f t="shared" si="37"/>
        <v>176.68317083788995</v>
      </c>
      <c r="I375" s="57">
        <f t="shared" si="38"/>
        <v>109162.15112444549</v>
      </c>
      <c r="J375" s="57">
        <f t="shared" si="39"/>
        <v>3070.6652918268769</v>
      </c>
      <c r="K375" s="106">
        <v>3954</v>
      </c>
      <c r="L375" s="96">
        <f t="shared" si="40"/>
        <v>24.85641265347838</v>
      </c>
      <c r="M375" s="96"/>
      <c r="N375" s="96"/>
      <c r="O375" s="96"/>
      <c r="P375" s="96"/>
      <c r="Q375" s="96"/>
      <c r="R375" s="96"/>
      <c r="S375" s="17">
        <v>218300</v>
      </c>
      <c r="T375">
        <v>6141</v>
      </c>
    </row>
    <row r="376" spans="1:20" x14ac:dyDescent="0.25">
      <c r="A376" s="17" t="str">
        <f t="shared" si="41"/>
        <v>CIRC  711*10</v>
      </c>
      <c r="B376" s="33">
        <f t="shared" si="36"/>
        <v>172.87713133806591</v>
      </c>
      <c r="C376" s="17">
        <v>711</v>
      </c>
      <c r="D376" s="17">
        <v>10</v>
      </c>
      <c r="E376" s="17"/>
      <c r="F376" s="17"/>
      <c r="G376" s="17"/>
      <c r="H376" s="33">
        <f t="shared" si="37"/>
        <v>220.22564501664448</v>
      </c>
      <c r="I376" s="57">
        <f t="shared" si="38"/>
        <v>135301.40593915724</v>
      </c>
      <c r="J376" s="57">
        <f t="shared" si="39"/>
        <v>3805.9467212139866</v>
      </c>
      <c r="K376" s="106">
        <v>4914</v>
      </c>
      <c r="L376" s="96">
        <f t="shared" si="40"/>
        <v>24.786614331126387</v>
      </c>
      <c r="M376" s="96"/>
      <c r="N376" s="96"/>
      <c r="O376" s="96"/>
      <c r="P376" s="96"/>
      <c r="Q376" s="96"/>
      <c r="R376" s="96"/>
      <c r="S376" s="17">
        <v>270600</v>
      </c>
      <c r="T376">
        <v>7612</v>
      </c>
    </row>
    <row r="377" spans="1:20" x14ac:dyDescent="0.25">
      <c r="A377" s="17" t="str">
        <f t="shared" si="41"/>
        <v>CIRC  711*12.5</v>
      </c>
      <c r="B377" s="33">
        <f t="shared" si="36"/>
        <v>215.32574222474869</v>
      </c>
      <c r="C377" s="17">
        <v>711</v>
      </c>
      <c r="D377" s="17">
        <v>12.5</v>
      </c>
      <c r="E377" s="17"/>
      <c r="F377" s="17"/>
      <c r="G377" s="17"/>
      <c r="H377" s="33">
        <f t="shared" si="37"/>
        <v>274.30030856655884</v>
      </c>
      <c r="I377" s="57">
        <f t="shared" si="38"/>
        <v>167343.2464356648</v>
      </c>
      <c r="J377" s="57">
        <f t="shared" si="39"/>
        <v>4707.2643160524549</v>
      </c>
      <c r="K377" s="106">
        <v>6099</v>
      </c>
      <c r="L377" s="96">
        <f t="shared" si="40"/>
        <v>24.699658398447536</v>
      </c>
      <c r="M377" s="96"/>
      <c r="N377" s="96"/>
      <c r="O377" s="96"/>
      <c r="P377" s="96"/>
      <c r="Q377" s="96"/>
      <c r="R377" s="96"/>
      <c r="S377" s="17">
        <v>334700</v>
      </c>
      <c r="T377">
        <v>9415</v>
      </c>
    </row>
    <row r="378" spans="1:20" x14ac:dyDescent="0.25">
      <c r="A378" s="17" t="str">
        <f t="shared" si="41"/>
        <v>CIRC  711*14.2</v>
      </c>
      <c r="B378" s="33">
        <f t="shared" si="36"/>
        <v>244.01471450105183</v>
      </c>
      <c r="C378" s="17">
        <v>711</v>
      </c>
      <c r="D378" s="17">
        <v>14.2</v>
      </c>
      <c r="E378" s="17"/>
      <c r="F378" s="17"/>
      <c r="G378" s="17"/>
      <c r="H378" s="33">
        <f t="shared" si="37"/>
        <v>310.84677006503415</v>
      </c>
      <c r="I378" s="57">
        <f t="shared" si="38"/>
        <v>188735.232519521</v>
      </c>
      <c r="J378" s="57">
        <f t="shared" si="39"/>
        <v>5309.0079471032623</v>
      </c>
      <c r="K378" s="106">
        <v>6895</v>
      </c>
      <c r="L378" s="96">
        <f t="shared" si="40"/>
        <v>24.640715289942378</v>
      </c>
      <c r="M378" s="96"/>
      <c r="N378" s="96"/>
      <c r="O378" s="96"/>
      <c r="P378" s="96"/>
      <c r="Q378" s="96"/>
      <c r="R378" s="96"/>
      <c r="S378" s="17">
        <v>377500</v>
      </c>
      <c r="T378">
        <v>10620</v>
      </c>
    </row>
    <row r="379" spans="1:20" x14ac:dyDescent="0.25">
      <c r="A379" s="17" t="str">
        <f t="shared" si="41"/>
        <v>CIRC  711*16</v>
      </c>
      <c r="B379" s="33">
        <f t="shared" si="36"/>
        <v>274.23590591716021</v>
      </c>
      <c r="C379" s="17">
        <v>711</v>
      </c>
      <c r="D379" s="17">
        <v>16</v>
      </c>
      <c r="E379" s="17"/>
      <c r="F379" s="17"/>
      <c r="G379" s="17"/>
      <c r="H379" s="33">
        <f t="shared" si="37"/>
        <v>349.34510307918498</v>
      </c>
      <c r="I379" s="57">
        <f t="shared" si="38"/>
        <v>211039.81345151452</v>
      </c>
      <c r="J379" s="57">
        <f t="shared" si="39"/>
        <v>5936.4223193112375</v>
      </c>
      <c r="K379" s="106">
        <v>7730</v>
      </c>
      <c r="L379" s="96">
        <f t="shared" si="40"/>
        <v>24.57847127060591</v>
      </c>
      <c r="M379" s="96"/>
      <c r="N379" s="96"/>
      <c r="O379" s="96"/>
      <c r="P379" s="96"/>
      <c r="Q379" s="96"/>
      <c r="R379" s="96"/>
      <c r="S379" s="17">
        <v>422100</v>
      </c>
      <c r="T379">
        <v>11870</v>
      </c>
    </row>
    <row r="380" spans="1:20" x14ac:dyDescent="0.25">
      <c r="A380" s="17" t="str">
        <f t="shared" si="41"/>
        <v>CIRC  711*20</v>
      </c>
      <c r="B380" s="33">
        <f t="shared" si="36"/>
        <v>340.82196220999589</v>
      </c>
      <c r="C380" s="17">
        <v>711</v>
      </c>
      <c r="D380" s="17">
        <v>20</v>
      </c>
      <c r="E380" s="17"/>
      <c r="F380" s="17"/>
      <c r="G380" s="17"/>
      <c r="H380" s="33">
        <f t="shared" si="37"/>
        <v>434.16810472610939</v>
      </c>
      <c r="I380" s="57">
        <f t="shared" si="38"/>
        <v>259350.86006827236</v>
      </c>
      <c r="J380" s="57">
        <f t="shared" si="39"/>
        <v>7295.3828429893765</v>
      </c>
      <c r="K380" s="106">
        <v>9552</v>
      </c>
      <c r="L380" s="96">
        <f t="shared" si="40"/>
        <v>24.440770241545174</v>
      </c>
      <c r="M380" s="96"/>
      <c r="N380" s="96"/>
      <c r="O380" s="96"/>
      <c r="P380" s="96"/>
      <c r="Q380" s="96"/>
      <c r="R380" s="96"/>
      <c r="S380" s="17">
        <v>518700</v>
      </c>
      <c r="T380">
        <v>14590</v>
      </c>
    </row>
    <row r="381" spans="1:20" x14ac:dyDescent="0.25">
      <c r="A381" s="17" t="str">
        <f t="shared" si="41"/>
        <v>CIRC  711*25</v>
      </c>
      <c r="B381" s="33">
        <f t="shared" si="36"/>
        <v>422.94476497115994</v>
      </c>
      <c r="C381" s="17">
        <v>711</v>
      </c>
      <c r="D381" s="17">
        <v>25</v>
      </c>
      <c r="E381" s="17"/>
      <c r="F381" s="17"/>
      <c r="G381" s="17"/>
      <c r="H381" s="33">
        <f t="shared" si="37"/>
        <v>538.78314009064957</v>
      </c>
      <c r="I381" s="57">
        <f t="shared" si="38"/>
        <v>317357.41257081996</v>
      </c>
      <c r="J381" s="57">
        <f t="shared" si="39"/>
        <v>8927.0720835673674</v>
      </c>
      <c r="K381" s="106">
        <v>11770</v>
      </c>
      <c r="L381" s="96">
        <f t="shared" si="40"/>
        <v>24.269862999201294</v>
      </c>
      <c r="M381" s="96"/>
      <c r="N381" s="96"/>
      <c r="O381" s="96"/>
      <c r="P381" s="96"/>
      <c r="Q381" s="96"/>
      <c r="R381" s="96"/>
      <c r="S381" s="17">
        <v>634700</v>
      </c>
      <c r="T381">
        <v>17850</v>
      </c>
    </row>
    <row r="382" spans="1:20" x14ac:dyDescent="0.25">
      <c r="A382" s="17" t="str">
        <f t="shared" si="41"/>
        <v>CIRC  711*30</v>
      </c>
      <c r="B382" s="33">
        <f t="shared" si="36"/>
        <v>503.83449261578994</v>
      </c>
      <c r="C382" s="17">
        <v>711</v>
      </c>
      <c r="D382" s="17">
        <v>30</v>
      </c>
      <c r="E382" s="17"/>
      <c r="F382" s="17"/>
      <c r="G382" s="17"/>
      <c r="H382" s="33">
        <f t="shared" si="37"/>
        <v>641.8273791283948</v>
      </c>
      <c r="I382" s="57">
        <f t="shared" si="38"/>
        <v>372790.18976647378</v>
      </c>
      <c r="J382" s="57">
        <f t="shared" si="39"/>
        <v>10486.362581335407</v>
      </c>
      <c r="K382" s="106">
        <v>13922</v>
      </c>
      <c r="L382" s="96">
        <f t="shared" si="40"/>
        <v>24.100337134571376</v>
      </c>
      <c r="M382" s="96"/>
      <c r="N382" s="96"/>
      <c r="O382" s="96"/>
      <c r="P382" s="96"/>
      <c r="Q382" s="96"/>
      <c r="R382" s="96"/>
      <c r="S382" s="17">
        <v>745600</v>
      </c>
      <c r="T382">
        <v>20970</v>
      </c>
    </row>
    <row r="383" spans="1:20" x14ac:dyDescent="0.25">
      <c r="A383" s="17" t="str">
        <f t="shared" si="41"/>
        <v>CIRC  711*40</v>
      </c>
      <c r="B383" s="33">
        <f t="shared" si="36"/>
        <v>661.91472255544795</v>
      </c>
      <c r="C383" s="17">
        <v>711</v>
      </c>
      <c r="D383" s="17">
        <v>40</v>
      </c>
      <c r="E383" s="17"/>
      <c r="F383" s="17"/>
      <c r="G383" s="17"/>
      <c r="H383" s="33">
        <f t="shared" si="37"/>
        <v>843.20346822350052</v>
      </c>
      <c r="I383" s="57">
        <f t="shared" si="38"/>
        <v>476242.37285696832</v>
      </c>
      <c r="J383" s="57">
        <f t="shared" si="39"/>
        <v>13396.409925653115</v>
      </c>
      <c r="K383" s="106">
        <v>18031</v>
      </c>
      <c r="L383" s="96">
        <f t="shared" si="40"/>
        <v>23.765547542608818</v>
      </c>
      <c r="M383" s="96"/>
      <c r="N383" s="96"/>
      <c r="O383" s="96"/>
      <c r="P383" s="96"/>
      <c r="Q383" s="96"/>
      <c r="R383" s="96"/>
      <c r="S383" s="17">
        <v>952500</v>
      </c>
      <c r="T383">
        <v>26790</v>
      </c>
    </row>
    <row r="384" spans="1:20" x14ac:dyDescent="0.25">
      <c r="A384" s="17" t="str">
        <f t="shared" si="41"/>
        <v>CIRC  711*50</v>
      </c>
      <c r="B384" s="33">
        <f t="shared" si="36"/>
        <v>815.06265202896998</v>
      </c>
      <c r="C384" s="17">
        <v>711</v>
      </c>
      <c r="D384" s="17">
        <v>50</v>
      </c>
      <c r="E384" s="17"/>
      <c r="F384" s="17"/>
      <c r="G384" s="17"/>
      <c r="H384" s="33">
        <f t="shared" si="37"/>
        <v>1038.2963720114267</v>
      </c>
      <c r="I384" s="57">
        <f t="shared" si="38"/>
        <v>570311.53760704142</v>
      </c>
      <c r="J384" s="57">
        <f t="shared" si="39"/>
        <v>16042.518638735341</v>
      </c>
      <c r="K384" s="106">
        <v>21888</v>
      </c>
      <c r="L384" s="96">
        <f t="shared" si="40"/>
        <v>23.436643317676701</v>
      </c>
      <c r="M384" s="96"/>
      <c r="N384" s="96"/>
      <c r="O384" s="96"/>
      <c r="P384" s="96"/>
      <c r="Q384" s="96"/>
      <c r="R384" s="96"/>
      <c r="S384" s="17">
        <v>1141000</v>
      </c>
      <c r="T384">
        <v>32090</v>
      </c>
    </row>
    <row r="385" spans="1:20" x14ac:dyDescent="0.25">
      <c r="A385" s="17" t="str">
        <f t="shared" si="41"/>
        <v>CIRC  711*60</v>
      </c>
      <c r="B385" s="33">
        <f t="shared" si="36"/>
        <v>963.27828103635602</v>
      </c>
      <c r="C385" s="17">
        <v>711</v>
      </c>
      <c r="D385" s="17">
        <v>60</v>
      </c>
      <c r="E385" s="17"/>
      <c r="F385" s="17"/>
      <c r="G385" s="17"/>
      <c r="H385" s="33">
        <f t="shared" si="37"/>
        <v>1227.1060904921733</v>
      </c>
      <c r="I385" s="57">
        <f t="shared" si="38"/>
        <v>655582.96272805671</v>
      </c>
      <c r="J385" s="57">
        <f t="shared" si="39"/>
        <v>18441.152256766713</v>
      </c>
      <c r="K385" s="106">
        <v>25500</v>
      </c>
      <c r="L385" s="96">
        <f t="shared" si="40"/>
        <v>23.113875702702913</v>
      </c>
      <c r="M385" s="96"/>
      <c r="N385" s="96"/>
      <c r="O385" s="96"/>
      <c r="P385" s="96"/>
      <c r="Q385" s="96"/>
      <c r="R385" s="96"/>
      <c r="S385" s="17">
        <v>1311000</v>
      </c>
      <c r="T385">
        <v>36880</v>
      </c>
    </row>
    <row r="386" spans="1:20" x14ac:dyDescent="0.25">
      <c r="A386" s="97" t="str">
        <f t="shared" si="41"/>
        <v>CIRC  762*6.3</v>
      </c>
      <c r="B386" s="38">
        <f t="shared" si="36"/>
        <v>117.41119306115722</v>
      </c>
      <c r="C386" s="37">
        <v>762</v>
      </c>
      <c r="D386" s="37">
        <v>6.3</v>
      </c>
      <c r="E386" s="37"/>
      <c r="F386" s="37"/>
      <c r="G386" s="37"/>
      <c r="H386" s="38">
        <f t="shared" si="37"/>
        <v>149.56839880402194</v>
      </c>
      <c r="I386" s="54">
        <f t="shared" si="38"/>
        <v>106777.28748007804</v>
      </c>
      <c r="J386" s="54">
        <f t="shared" si="39"/>
        <v>2802.5534771674024</v>
      </c>
      <c r="K386" s="107">
        <v>3598</v>
      </c>
      <c r="L386" s="98">
        <f t="shared" si="40"/>
        <v>26.7189581570839</v>
      </c>
      <c r="M386" s="98"/>
      <c r="N386" s="98"/>
      <c r="O386" s="98"/>
      <c r="P386" s="98"/>
      <c r="Q386" s="98"/>
      <c r="R386" s="98"/>
      <c r="S386" s="37">
        <v>213600</v>
      </c>
      <c r="T386" s="99">
        <v>5605</v>
      </c>
    </row>
    <row r="387" spans="1:20" x14ac:dyDescent="0.25">
      <c r="A387" s="100" t="str">
        <f t="shared" si="41"/>
        <v>CIRC  762*8</v>
      </c>
      <c r="B387" s="44">
        <f t="shared" si="36"/>
        <v>148.75818205866102</v>
      </c>
      <c r="C387" s="43">
        <v>762</v>
      </c>
      <c r="D387" s="43">
        <v>8</v>
      </c>
      <c r="E387" s="43"/>
      <c r="F387" s="43"/>
      <c r="G387" s="43"/>
      <c r="H387" s="44">
        <f t="shared" si="37"/>
        <v>189.50086886453633</v>
      </c>
      <c r="I387" s="55">
        <f t="shared" si="38"/>
        <v>134683.0050237476</v>
      </c>
      <c r="J387" s="55">
        <f t="shared" si="39"/>
        <v>3534.9870084973122</v>
      </c>
      <c r="K387" s="108">
        <v>4548</v>
      </c>
      <c r="L387" s="101">
        <f t="shared" si="40"/>
        <v>26.659426100349574</v>
      </c>
      <c r="M387" s="101"/>
      <c r="N387" s="101"/>
      <c r="O387" s="101"/>
      <c r="P387" s="101"/>
      <c r="Q387" s="101"/>
      <c r="R387" s="101"/>
      <c r="S387" s="43">
        <v>269400</v>
      </c>
      <c r="T387" s="102">
        <v>7070</v>
      </c>
    </row>
    <row r="388" spans="1:20" x14ac:dyDescent="0.25">
      <c r="A388" s="100" t="str">
        <f t="shared" si="41"/>
        <v>CIRC  762*10</v>
      </c>
      <c r="B388" s="44">
        <f t="shared" si="36"/>
        <v>185.45449752671269</v>
      </c>
      <c r="C388" s="43">
        <v>762</v>
      </c>
      <c r="D388" s="43">
        <v>10</v>
      </c>
      <c r="E388" s="43"/>
      <c r="F388" s="43"/>
      <c r="G388" s="43"/>
      <c r="H388" s="44">
        <f t="shared" si="37"/>
        <v>236.24776754995244</v>
      </c>
      <c r="I388" s="55">
        <f t="shared" si="38"/>
        <v>167028.35289665413</v>
      </c>
      <c r="J388" s="55">
        <f t="shared" si="39"/>
        <v>4383.9462702533892</v>
      </c>
      <c r="K388" s="108">
        <v>5655</v>
      </c>
      <c r="L388" s="101">
        <f t="shared" si="40"/>
        <v>26.589565622627234</v>
      </c>
      <c r="M388" s="101"/>
      <c r="N388" s="101"/>
      <c r="O388" s="101"/>
      <c r="P388" s="101"/>
      <c r="Q388" s="101"/>
      <c r="R388" s="101"/>
      <c r="S388" s="43">
        <v>334100</v>
      </c>
      <c r="T388" s="102">
        <v>8768</v>
      </c>
    </row>
    <row r="389" spans="1:20" x14ac:dyDescent="0.25">
      <c r="A389" s="100" t="str">
        <f t="shared" si="41"/>
        <v>CIRC  762*12.5</v>
      </c>
      <c r="B389" s="44">
        <f t="shared" si="36"/>
        <v>231.04744996055709</v>
      </c>
      <c r="C389" s="43">
        <v>762</v>
      </c>
      <c r="D389" s="43">
        <v>12.5</v>
      </c>
      <c r="E389" s="43"/>
      <c r="F389" s="43"/>
      <c r="G389" s="43"/>
      <c r="H389" s="44">
        <f t="shared" si="37"/>
        <v>294.32796173319372</v>
      </c>
      <c r="I389" s="55">
        <f t="shared" si="38"/>
        <v>206730.99353704107</v>
      </c>
      <c r="J389" s="55">
        <f t="shared" si="39"/>
        <v>5426.0103290561956</v>
      </c>
      <c r="K389" s="108">
        <v>7023</v>
      </c>
      <c r="L389" s="101">
        <f t="shared" si="40"/>
        <v>26.502511673424468</v>
      </c>
      <c r="M389" s="101"/>
      <c r="N389" s="101"/>
      <c r="O389" s="101"/>
      <c r="P389" s="101"/>
      <c r="Q389" s="101"/>
      <c r="R389" s="101"/>
      <c r="S389" s="43">
        <v>413500</v>
      </c>
      <c r="T389" s="102">
        <v>10850</v>
      </c>
    </row>
    <row r="390" spans="1:20" x14ac:dyDescent="0.25">
      <c r="A390" s="100" t="str">
        <f t="shared" si="41"/>
        <v>CIRC  762*14.2</v>
      </c>
      <c r="B390" s="44">
        <f t="shared" si="36"/>
        <v>261.8745744889298</v>
      </c>
      <c r="C390" s="43">
        <v>762</v>
      </c>
      <c r="D390" s="43">
        <v>14.2</v>
      </c>
      <c r="E390" s="43"/>
      <c r="F390" s="43"/>
      <c r="G390" s="43"/>
      <c r="H390" s="44">
        <f t="shared" si="37"/>
        <v>333.59818406233092</v>
      </c>
      <c r="I390" s="55">
        <f t="shared" si="38"/>
        <v>233271.23235087577</v>
      </c>
      <c r="J390" s="55">
        <f t="shared" si="39"/>
        <v>6122.6045236450327</v>
      </c>
      <c r="K390" s="108">
        <v>7942</v>
      </c>
      <c r="L390" s="101">
        <f t="shared" si="40"/>
        <v>26.443488801593482</v>
      </c>
      <c r="M390" s="101"/>
      <c r="N390" s="101"/>
      <c r="O390" s="101"/>
      <c r="P390" s="101"/>
      <c r="Q390" s="101"/>
      <c r="R390" s="101"/>
      <c r="S390" s="43">
        <v>466500</v>
      </c>
      <c r="T390" s="102">
        <v>12250</v>
      </c>
    </row>
    <row r="391" spans="1:20" x14ac:dyDescent="0.25">
      <c r="A391" s="100" t="str">
        <f t="shared" si="41"/>
        <v>CIRC  762*16</v>
      </c>
      <c r="B391" s="44">
        <f t="shared" si="36"/>
        <v>294.35969181899497</v>
      </c>
      <c r="C391" s="43">
        <v>762</v>
      </c>
      <c r="D391" s="43">
        <v>16</v>
      </c>
      <c r="E391" s="43"/>
      <c r="F391" s="43"/>
      <c r="G391" s="43"/>
      <c r="H391" s="44">
        <f t="shared" si="37"/>
        <v>374.98049913247769</v>
      </c>
      <c r="I391" s="55">
        <f t="shared" si="38"/>
        <v>260973.30307873484</v>
      </c>
      <c r="J391" s="55">
        <f t="shared" si="39"/>
        <v>6849.6929941925155</v>
      </c>
      <c r="K391" s="108">
        <v>8906</v>
      </c>
      <c r="L391" s="101">
        <f t="shared" si="40"/>
        <v>26.381148572418148</v>
      </c>
      <c r="M391" s="101"/>
      <c r="N391" s="101"/>
      <c r="O391" s="101"/>
      <c r="P391" s="101"/>
      <c r="Q391" s="101"/>
      <c r="R391" s="101"/>
      <c r="S391" s="43">
        <v>521900</v>
      </c>
      <c r="T391" s="102">
        <v>13700</v>
      </c>
    </row>
    <row r="392" spans="1:20" x14ac:dyDescent="0.25">
      <c r="A392" s="100" t="str">
        <f t="shared" si="41"/>
        <v>CIRC  762*20</v>
      </c>
      <c r="B392" s="44">
        <f t="shared" si="36"/>
        <v>365.97669458728939</v>
      </c>
      <c r="C392" s="43">
        <v>762</v>
      </c>
      <c r="D392" s="43">
        <v>20</v>
      </c>
      <c r="E392" s="43"/>
      <c r="F392" s="43"/>
      <c r="G392" s="43"/>
      <c r="H392" s="44">
        <f t="shared" si="37"/>
        <v>466.21234979272532</v>
      </c>
      <c r="I392" s="55">
        <f t="shared" si="38"/>
        <v>321082.77636399888</v>
      </c>
      <c r="J392" s="55">
        <f t="shared" si="39"/>
        <v>8427.3694583726738</v>
      </c>
      <c r="K392" s="108">
        <v>11014</v>
      </c>
      <c r="L392" s="101">
        <f t="shared" si="40"/>
        <v>26.243189592730531</v>
      </c>
      <c r="M392" s="101"/>
      <c r="N392" s="101"/>
      <c r="O392" s="101"/>
      <c r="P392" s="101"/>
      <c r="Q392" s="101"/>
      <c r="R392" s="101"/>
      <c r="S392" s="43">
        <v>642200</v>
      </c>
      <c r="T392" s="102">
        <v>16850</v>
      </c>
    </row>
    <row r="393" spans="1:20" x14ac:dyDescent="0.25">
      <c r="A393" s="100" t="str">
        <f>$B$225&amp;"  "&amp;C393&amp;"*"&amp;D393</f>
        <v>CIRC  762*25</v>
      </c>
      <c r="B393" s="44">
        <f>H393*0.785</f>
        <v>454.38818044277679</v>
      </c>
      <c r="C393" s="43">
        <v>762</v>
      </c>
      <c r="D393" s="43">
        <v>25</v>
      </c>
      <c r="E393" s="43"/>
      <c r="F393" s="43"/>
      <c r="G393" s="43"/>
      <c r="H393" s="44">
        <f>(C393^2-(C393-2*D393)^2)*PI()*0.01/4</f>
        <v>578.83844642391944</v>
      </c>
      <c r="I393" s="55">
        <f>(C393^4-(C393-2*D393)^4)*PI()*0.0001/64</f>
        <v>393461.09266831103</v>
      </c>
      <c r="J393" s="55">
        <f>I393/(C393*0.5*0.1)</f>
        <v>10327.062799693202</v>
      </c>
      <c r="K393" s="108">
        <v>13584</v>
      </c>
      <c r="L393" s="101">
        <f>SQRT(I393/H393)</f>
        <v>26.071871816193021</v>
      </c>
      <c r="M393" s="101"/>
      <c r="N393" s="101"/>
      <c r="O393" s="101"/>
      <c r="P393" s="101"/>
      <c r="Q393" s="101"/>
      <c r="R393" s="101"/>
      <c r="S393" s="43">
        <v>786900</v>
      </c>
      <c r="T393" s="102">
        <v>20650</v>
      </c>
    </row>
    <row r="394" spans="1:20" x14ac:dyDescent="0.25">
      <c r="A394" s="100" t="str">
        <f>$B$225&amp;"  "&amp;C394&amp;"*"&amp;D394</f>
        <v>CIRC  762*30</v>
      </c>
      <c r="B394" s="44">
        <f>H394*0.785</f>
        <v>541.56659118173013</v>
      </c>
      <c r="C394" s="43">
        <v>762</v>
      </c>
      <c r="D394" s="43">
        <v>30</v>
      </c>
      <c r="E394" s="43"/>
      <c r="F394" s="43"/>
      <c r="G394" s="43"/>
      <c r="H394" s="44">
        <f>(C394^2-(C394-2*D394)^2)*PI()*0.01/4</f>
        <v>689.89374672831855</v>
      </c>
      <c r="I394" s="55">
        <f>(C394^4-(C394-2*D394)^4)*PI()*0.0001/64</f>
        <v>462853.16414876265</v>
      </c>
      <c r="J394" s="55">
        <f>I394/(C394*0.5*0.1)</f>
        <v>12148.377011778546</v>
      </c>
      <c r="K394" s="108">
        <v>16084</v>
      </c>
      <c r="L394" s="101">
        <f>SQRT(I394/H394)</f>
        <v>25.901833911906703</v>
      </c>
      <c r="M394" s="101"/>
      <c r="N394" s="101"/>
      <c r="O394" s="101"/>
      <c r="P394" s="101"/>
      <c r="Q394" s="101"/>
      <c r="R394" s="101"/>
      <c r="S394" s="43">
        <v>925700</v>
      </c>
      <c r="T394" s="102">
        <v>24300</v>
      </c>
    </row>
    <row r="395" spans="1:20" x14ac:dyDescent="0.25">
      <c r="A395" s="100" t="str">
        <f>$B$225&amp;"  "&amp;C395&amp;"*"&amp;D395</f>
        <v>CIRC  762*40</v>
      </c>
      <c r="B395" s="44">
        <f>H395*0.785</f>
        <v>712.22418731003484</v>
      </c>
      <c r="C395" s="43">
        <v>762</v>
      </c>
      <c r="D395" s="43">
        <v>40</v>
      </c>
      <c r="E395" s="43"/>
      <c r="F395" s="43"/>
      <c r="G395" s="43"/>
      <c r="H395" s="44">
        <f>(C395^2-(C395-2*D395)^2)*PI()*0.01/4</f>
        <v>907.29195835673227</v>
      </c>
      <c r="I395" s="55">
        <f>(C395^4-(C395-2*D395)^4)*PI()*0.0001/64</f>
        <v>593010.56044175196</v>
      </c>
      <c r="J395" s="55">
        <f>I395/(C395*0.5*0.1)</f>
        <v>15564.581638891126</v>
      </c>
      <c r="K395" s="108">
        <v>20873</v>
      </c>
      <c r="L395" s="101">
        <f>SQRT(I395/H395)</f>
        <v>25.565699677497584</v>
      </c>
      <c r="M395" s="101"/>
      <c r="N395" s="101"/>
      <c r="O395" s="101"/>
      <c r="P395" s="101"/>
      <c r="Q395" s="101"/>
      <c r="R395" s="101"/>
      <c r="S395" s="43">
        <v>1186000</v>
      </c>
      <c r="T395" s="102">
        <v>31130</v>
      </c>
    </row>
    <row r="396" spans="1:20" x14ac:dyDescent="0.25">
      <c r="A396" s="103" t="str">
        <f>$B$225&amp;"  "&amp;C396&amp;"*"&amp;D396</f>
        <v>CIRC  762*50</v>
      </c>
      <c r="B396" s="50">
        <f>H396*0.785</f>
        <v>877.94948297220367</v>
      </c>
      <c r="C396" s="49">
        <v>762</v>
      </c>
      <c r="D396" s="49">
        <v>50</v>
      </c>
      <c r="E396" s="49"/>
      <c r="F396" s="49"/>
      <c r="G396" s="49"/>
      <c r="H396" s="50">
        <f>(C396^2-(C396-2*D396)^2)*PI()*0.01/4</f>
        <v>1118.4069846779664</v>
      </c>
      <c r="I396" s="56">
        <f>(C396^4-(C396-2*D396)^4)*PI()*0.0001/64</f>
        <v>712207.15987785242</v>
      </c>
      <c r="J396" s="56">
        <f>I396/(C396*0.5*0.1)</f>
        <v>18693.101309129983</v>
      </c>
      <c r="K396" s="109">
        <v>25389</v>
      </c>
      <c r="L396" s="104">
        <f>SQRT(I396/H396)</f>
        <v>25.23499554190569</v>
      </c>
      <c r="M396" s="104"/>
      <c r="N396" s="104"/>
      <c r="O396" s="104"/>
      <c r="P396" s="104"/>
      <c r="Q396" s="104"/>
      <c r="R396" s="104"/>
      <c r="S396" s="49">
        <v>1424000</v>
      </c>
      <c r="T396" s="105">
        <v>37390</v>
      </c>
    </row>
    <row r="397" spans="1:20" x14ac:dyDescent="0.25">
      <c r="A397" s="17" t="str">
        <f t="shared" si="41"/>
        <v>CIRC  813*8</v>
      </c>
      <c r="B397" s="33">
        <f t="shared" si="36"/>
        <v>158.8200750095784</v>
      </c>
      <c r="C397" s="17">
        <v>813</v>
      </c>
      <c r="D397" s="17">
        <v>8</v>
      </c>
      <c r="E397" s="17"/>
      <c r="F397" s="17"/>
      <c r="G397" s="17"/>
      <c r="H397" s="33">
        <f t="shared" si="37"/>
        <v>202.31856689118268</v>
      </c>
      <c r="I397" s="57">
        <f t="shared" si="38"/>
        <v>163900.54712242461</v>
      </c>
      <c r="J397" s="57">
        <f t="shared" si="39"/>
        <v>4031.9937791494363</v>
      </c>
      <c r="K397" s="106">
        <v>5184</v>
      </c>
      <c r="L397" s="96">
        <f t="shared" si="40"/>
        <v>28.462453337686824</v>
      </c>
      <c r="M397" s="96"/>
      <c r="N397" s="96"/>
      <c r="O397" s="96"/>
      <c r="P397" s="96"/>
      <c r="Q397" s="96"/>
      <c r="R397" s="96"/>
      <c r="S397" s="17">
        <v>327800</v>
      </c>
      <c r="T397">
        <v>8064</v>
      </c>
    </row>
    <row r="398" spans="1:20" x14ac:dyDescent="0.25">
      <c r="A398" s="17" t="str">
        <f t="shared" si="41"/>
        <v>CIRC  813*10</v>
      </c>
      <c r="B398" s="33">
        <f t="shared" si="36"/>
        <v>198.03186371535944</v>
      </c>
      <c r="C398" s="17">
        <v>813</v>
      </c>
      <c r="D398" s="17">
        <v>10</v>
      </c>
      <c r="E398" s="17"/>
      <c r="F398" s="17"/>
      <c r="G398" s="17"/>
      <c r="H398" s="33">
        <f t="shared" si="37"/>
        <v>252.26989008326041</v>
      </c>
      <c r="I398" s="57">
        <f t="shared" si="38"/>
        <v>203363.90317963171</v>
      </c>
      <c r="J398" s="57">
        <f t="shared" si="39"/>
        <v>5002.8020462394015</v>
      </c>
      <c r="K398" s="106">
        <v>6448</v>
      </c>
      <c r="L398" s="96">
        <f t="shared" si="40"/>
        <v>28.392538632535132</v>
      </c>
      <c r="M398" s="96"/>
      <c r="N398" s="96"/>
      <c r="O398" s="96"/>
      <c r="P398" s="96"/>
      <c r="Q398" s="96"/>
      <c r="R398" s="96"/>
      <c r="S398" s="17">
        <v>406700</v>
      </c>
      <c r="T398">
        <v>10010</v>
      </c>
    </row>
    <row r="399" spans="1:20" x14ac:dyDescent="0.25">
      <c r="A399" s="17" t="str">
        <f t="shared" si="41"/>
        <v>CIRC  813*12.5</v>
      </c>
      <c r="B399" s="33">
        <f t="shared" si="36"/>
        <v>246.76915769636554</v>
      </c>
      <c r="C399" s="17">
        <v>813</v>
      </c>
      <c r="D399" s="17">
        <v>12.5</v>
      </c>
      <c r="E399" s="17"/>
      <c r="F399" s="17"/>
      <c r="G399" s="17"/>
      <c r="H399" s="33">
        <f t="shared" si="37"/>
        <v>314.35561489982871</v>
      </c>
      <c r="I399" s="57">
        <f t="shared" si="38"/>
        <v>251860.34335192759</v>
      </c>
      <c r="J399" s="57">
        <f t="shared" si="39"/>
        <v>6195.8264047214652</v>
      </c>
      <c r="K399" s="106">
        <v>8011</v>
      </c>
      <c r="L399" s="96">
        <f t="shared" si="40"/>
        <v>28.305399219936824</v>
      </c>
      <c r="M399" s="96"/>
      <c r="N399" s="96"/>
      <c r="O399" s="96"/>
      <c r="P399" s="96"/>
      <c r="Q399" s="96"/>
      <c r="R399" s="96"/>
      <c r="S399" s="17">
        <v>503700</v>
      </c>
      <c r="T399">
        <v>12390</v>
      </c>
    </row>
    <row r="400" spans="1:20" x14ac:dyDescent="0.25">
      <c r="A400" s="17" t="str">
        <f t="shared" si="41"/>
        <v>CIRC  813*14.2</v>
      </c>
      <c r="B400" s="33">
        <f t="shared" si="36"/>
        <v>279.73443447680842</v>
      </c>
      <c r="C400" s="17">
        <v>813</v>
      </c>
      <c r="D400" s="17">
        <v>14.2</v>
      </c>
      <c r="E400" s="17"/>
      <c r="F400" s="17"/>
      <c r="G400" s="17"/>
      <c r="H400" s="33">
        <f t="shared" si="37"/>
        <v>356.34959805962853</v>
      </c>
      <c r="I400" s="57">
        <f t="shared" si="38"/>
        <v>284314.89875782729</v>
      </c>
      <c r="J400" s="57">
        <f t="shared" si="39"/>
        <v>6994.2164516070661</v>
      </c>
      <c r="K400" s="106">
        <v>9062</v>
      </c>
      <c r="L400" s="96">
        <f t="shared" si="40"/>
        <v>28.246306838239942</v>
      </c>
      <c r="M400" s="96"/>
      <c r="N400" s="96"/>
      <c r="O400" s="96"/>
      <c r="P400" s="96"/>
      <c r="Q400" s="96"/>
      <c r="R400" s="96"/>
      <c r="S400" s="17">
        <v>568600</v>
      </c>
      <c r="T400">
        <v>13990</v>
      </c>
    </row>
    <row r="401" spans="1:20" x14ac:dyDescent="0.25">
      <c r="A401" s="17" t="str">
        <f t="shared" si="41"/>
        <v>CIRC  813*16</v>
      </c>
      <c r="B401" s="33">
        <f t="shared" si="36"/>
        <v>314.4834777208298</v>
      </c>
      <c r="C401" s="17">
        <v>813</v>
      </c>
      <c r="D401" s="17">
        <v>16</v>
      </c>
      <c r="E401" s="17"/>
      <c r="F401" s="17"/>
      <c r="G401" s="17"/>
      <c r="H401" s="33">
        <f t="shared" si="37"/>
        <v>400.61589518577046</v>
      </c>
      <c r="I401" s="57">
        <f t="shared" si="38"/>
        <v>318221.72479278204</v>
      </c>
      <c r="J401" s="57">
        <f t="shared" si="39"/>
        <v>7828.3327132295699</v>
      </c>
      <c r="K401" s="106">
        <v>10165</v>
      </c>
      <c r="L401" s="96">
        <f t="shared" si="40"/>
        <v>28.183882805603631</v>
      </c>
      <c r="M401" s="96"/>
      <c r="N401" s="96"/>
      <c r="O401" s="96"/>
      <c r="P401" s="96"/>
      <c r="Q401" s="96"/>
      <c r="R401" s="96"/>
      <c r="S401" s="17">
        <v>636400</v>
      </c>
      <c r="T401">
        <v>15660</v>
      </c>
    </row>
    <row r="402" spans="1:20" x14ac:dyDescent="0.25">
      <c r="A402" s="17" t="str">
        <f t="shared" si="41"/>
        <v>CIRC  813*20</v>
      </c>
      <c r="B402" s="33">
        <f t="shared" si="36"/>
        <v>391.13142696458283</v>
      </c>
      <c r="C402" s="17">
        <v>813</v>
      </c>
      <c r="D402" s="17">
        <v>20</v>
      </c>
      <c r="E402" s="17"/>
      <c r="F402" s="17"/>
      <c r="G402" s="17"/>
      <c r="H402" s="33">
        <f t="shared" si="37"/>
        <v>498.25659485934119</v>
      </c>
      <c r="I402" s="57">
        <f t="shared" si="38"/>
        <v>391909.33007330704</v>
      </c>
      <c r="J402" s="57">
        <f t="shared" si="39"/>
        <v>9641.065930462657</v>
      </c>
      <c r="K402" s="106">
        <v>12580</v>
      </c>
      <c r="L402" s="96">
        <f t="shared" si="40"/>
        <v>28.045699313798544</v>
      </c>
      <c r="M402" s="96"/>
      <c r="N402" s="96"/>
      <c r="O402" s="96"/>
      <c r="P402" s="96"/>
      <c r="Q402" s="96"/>
      <c r="R402" s="96"/>
      <c r="S402" s="17">
        <v>783800</v>
      </c>
      <c r="T402">
        <v>19280</v>
      </c>
    </row>
    <row r="403" spans="1:20" x14ac:dyDescent="0.25">
      <c r="A403" s="17" t="str">
        <f t="shared" si="41"/>
        <v>CIRC  813*25</v>
      </c>
      <c r="B403" s="33">
        <f t="shared" si="36"/>
        <v>485.83159591439352</v>
      </c>
      <c r="C403" s="17">
        <v>813</v>
      </c>
      <c r="D403" s="17">
        <v>25</v>
      </c>
      <c r="E403" s="17"/>
      <c r="F403" s="17"/>
      <c r="G403" s="17"/>
      <c r="H403" s="33">
        <f t="shared" si="37"/>
        <v>618.89375275718919</v>
      </c>
      <c r="I403" s="57">
        <f t="shared" si="38"/>
        <v>480856.46375941671</v>
      </c>
      <c r="J403" s="57">
        <f t="shared" si="39"/>
        <v>11829.187300354653</v>
      </c>
      <c r="K403" s="106">
        <v>15529</v>
      </c>
      <c r="L403" s="96">
        <f t="shared" si="40"/>
        <v>27.874024646613197</v>
      </c>
      <c r="M403" s="96"/>
      <c r="N403" s="96"/>
      <c r="O403" s="96"/>
      <c r="P403" s="96"/>
      <c r="Q403" s="96"/>
      <c r="R403" s="96"/>
      <c r="S403" s="17">
        <v>961700</v>
      </c>
      <c r="T403">
        <v>23660</v>
      </c>
    </row>
    <row r="404" spans="1:20" x14ac:dyDescent="0.25">
      <c r="A404" s="17" t="str">
        <f t="shared" si="41"/>
        <v>CIRC  813*30</v>
      </c>
      <c r="B404" s="33">
        <f t="shared" si="36"/>
        <v>579.29868974767032</v>
      </c>
      <c r="C404" s="17">
        <v>813</v>
      </c>
      <c r="D404" s="17">
        <v>30</v>
      </c>
      <c r="E404" s="17"/>
      <c r="F404" s="17"/>
      <c r="G404" s="17"/>
      <c r="H404" s="33">
        <f t="shared" si="37"/>
        <v>737.96011432824241</v>
      </c>
      <c r="I404" s="57">
        <f t="shared" si="38"/>
        <v>566374.24079535401</v>
      </c>
      <c r="J404" s="57">
        <f t="shared" si="39"/>
        <v>13932.945653022236</v>
      </c>
      <c r="K404" s="106">
        <v>18402</v>
      </c>
      <c r="L404" s="96">
        <f t="shared" si="40"/>
        <v>27.70354219229014</v>
      </c>
      <c r="M404" s="96"/>
      <c r="N404" s="96"/>
      <c r="O404" s="96"/>
      <c r="P404" s="96"/>
      <c r="Q404" s="96"/>
      <c r="R404" s="96"/>
      <c r="S404" s="17">
        <v>1133000</v>
      </c>
      <c r="T404">
        <v>27870</v>
      </c>
    </row>
    <row r="405" spans="1:20" x14ac:dyDescent="0.25">
      <c r="A405" s="97" t="str">
        <f t="shared" si="41"/>
        <v>CIRC  914*8</v>
      </c>
      <c r="B405" s="38">
        <f t="shared" si="36"/>
        <v>178.74656889276775</v>
      </c>
      <c r="C405" s="37">
        <v>914</v>
      </c>
      <c r="D405" s="37">
        <v>8</v>
      </c>
      <c r="E405" s="37"/>
      <c r="F405" s="37"/>
      <c r="G405" s="37"/>
      <c r="H405" s="38">
        <f t="shared" si="37"/>
        <v>227.70263553218822</v>
      </c>
      <c r="I405" s="54">
        <f t="shared" si="38"/>
        <v>233651.36688546665</v>
      </c>
      <c r="J405" s="54">
        <f t="shared" si="39"/>
        <v>5112.7213760495979</v>
      </c>
      <c r="K405" s="107">
        <v>6567</v>
      </c>
      <c r="L405" s="98">
        <f t="shared" si="40"/>
        <v>32.0331859171079</v>
      </c>
      <c r="M405" s="98"/>
      <c r="N405" s="98"/>
      <c r="O405" s="98"/>
      <c r="P405" s="98"/>
      <c r="Q405" s="98"/>
      <c r="R405" s="98"/>
      <c r="S405" s="37">
        <v>467300</v>
      </c>
      <c r="T405" s="99">
        <v>10230</v>
      </c>
    </row>
    <row r="406" spans="1:20" x14ac:dyDescent="0.25">
      <c r="A406" s="100" t="str">
        <f t="shared" si="41"/>
        <v>CIRC  914*10</v>
      </c>
      <c r="B406" s="44">
        <f t="shared" si="36"/>
        <v>222.93998106934609</v>
      </c>
      <c r="C406" s="43">
        <v>914</v>
      </c>
      <c r="D406" s="43">
        <v>10</v>
      </c>
      <c r="E406" s="43"/>
      <c r="F406" s="43"/>
      <c r="G406" s="43"/>
      <c r="H406" s="44">
        <f t="shared" si="37"/>
        <v>283.99997588451731</v>
      </c>
      <c r="I406" s="55">
        <f t="shared" si="38"/>
        <v>290147.15536253771</v>
      </c>
      <c r="J406" s="55">
        <f t="shared" si="39"/>
        <v>6348.9530713903214</v>
      </c>
      <c r="K406" s="108">
        <v>8172</v>
      </c>
      <c r="L406" s="101">
        <f t="shared" si="40"/>
        <v>31.963181944230772</v>
      </c>
      <c r="M406" s="101"/>
      <c r="N406" s="101"/>
      <c r="O406" s="101"/>
      <c r="P406" s="101"/>
      <c r="Q406" s="101"/>
      <c r="R406" s="101"/>
      <c r="S406" s="43">
        <v>580300</v>
      </c>
      <c r="T406" s="102">
        <v>12700</v>
      </c>
    </row>
    <row r="407" spans="1:20" x14ac:dyDescent="0.25">
      <c r="A407" s="100" t="str">
        <f t="shared" si="41"/>
        <v>CIRC  914*12.5</v>
      </c>
      <c r="B407" s="44">
        <f t="shared" si="36"/>
        <v>277.90430438884886</v>
      </c>
      <c r="C407" s="43">
        <v>914</v>
      </c>
      <c r="D407" s="43">
        <v>12.5</v>
      </c>
      <c r="E407" s="43"/>
      <c r="F407" s="43"/>
      <c r="G407" s="43"/>
      <c r="H407" s="44">
        <f t="shared" si="37"/>
        <v>354.01822215139981</v>
      </c>
      <c r="I407" s="55">
        <f t="shared" si="38"/>
        <v>359708.40128831705</v>
      </c>
      <c r="J407" s="55">
        <f t="shared" si="39"/>
        <v>7871.0809909916197</v>
      </c>
      <c r="K407" s="108">
        <v>10159</v>
      </c>
      <c r="L407" s="101">
        <f t="shared" si="40"/>
        <v>31.875901948023369</v>
      </c>
      <c r="M407" s="101"/>
      <c r="N407" s="101"/>
      <c r="O407" s="101"/>
      <c r="P407" s="101"/>
      <c r="Q407" s="101"/>
      <c r="R407" s="101"/>
      <c r="S407" s="43">
        <v>719400</v>
      </c>
      <c r="T407" s="102">
        <v>15740</v>
      </c>
    </row>
    <row r="408" spans="1:20" x14ac:dyDescent="0.25">
      <c r="A408" s="100" t="str">
        <f t="shared" si="41"/>
        <v>CIRC  914*14.2</v>
      </c>
      <c r="B408" s="44">
        <f t="shared" si="36"/>
        <v>315.10396111946977</v>
      </c>
      <c r="C408" s="43">
        <v>914</v>
      </c>
      <c r="D408" s="43">
        <v>14.2</v>
      </c>
      <c r="E408" s="43"/>
      <c r="F408" s="43"/>
      <c r="G408" s="43"/>
      <c r="H408" s="44">
        <f t="shared" si="37"/>
        <v>401.40631989741371</v>
      </c>
      <c r="I408" s="55">
        <f t="shared" si="38"/>
        <v>406344.46058542392</v>
      </c>
      <c r="J408" s="55">
        <f t="shared" si="39"/>
        <v>8891.5636889589478</v>
      </c>
      <c r="K408" s="108">
        <v>11498</v>
      </c>
      <c r="L408" s="101">
        <f t="shared" si="40"/>
        <v>31.816695302938058</v>
      </c>
      <c r="M408" s="101"/>
      <c r="N408" s="101"/>
      <c r="O408" s="101"/>
      <c r="P408" s="101"/>
      <c r="Q408" s="101"/>
      <c r="R408" s="101"/>
      <c r="S408" s="43">
        <v>812700</v>
      </c>
      <c r="T408" s="102">
        <v>17780</v>
      </c>
    </row>
    <row r="409" spans="1:20" x14ac:dyDescent="0.25">
      <c r="A409" s="100" t="str">
        <f t="shared" si="41"/>
        <v>CIRC  914*16</v>
      </c>
      <c r="B409" s="44">
        <f t="shared" si="36"/>
        <v>354.3364654872085</v>
      </c>
      <c r="C409" s="43">
        <v>914</v>
      </c>
      <c r="D409" s="43">
        <v>16</v>
      </c>
      <c r="E409" s="43"/>
      <c r="F409" s="43"/>
      <c r="G409" s="43"/>
      <c r="H409" s="44">
        <f t="shared" si="37"/>
        <v>451.38403246778154</v>
      </c>
      <c r="I409" s="55">
        <f t="shared" si="38"/>
        <v>455141.80453807575</v>
      </c>
      <c r="J409" s="55">
        <f t="shared" si="39"/>
        <v>9959.3392677915908</v>
      </c>
      <c r="K409" s="108">
        <v>12904</v>
      </c>
      <c r="L409" s="101">
        <f t="shared" si="40"/>
        <v>31.754133589188037</v>
      </c>
      <c r="M409" s="101"/>
      <c r="N409" s="101"/>
      <c r="O409" s="101"/>
      <c r="P409" s="101"/>
      <c r="Q409" s="101"/>
      <c r="R409" s="101"/>
      <c r="S409" s="43">
        <v>910300</v>
      </c>
      <c r="T409" s="102">
        <v>19920</v>
      </c>
    </row>
    <row r="410" spans="1:20" x14ac:dyDescent="0.25">
      <c r="A410" s="100" t="str">
        <f t="shared" si="41"/>
        <v>CIRC  914*20</v>
      </c>
      <c r="B410" s="44">
        <f t="shared" si="36"/>
        <v>440.94766167255625</v>
      </c>
      <c r="C410" s="43">
        <v>914</v>
      </c>
      <c r="D410" s="43">
        <v>20</v>
      </c>
      <c r="E410" s="43"/>
      <c r="F410" s="43"/>
      <c r="G410" s="43"/>
      <c r="H410" s="44">
        <f t="shared" si="37"/>
        <v>561.71676646185506</v>
      </c>
      <c r="I410" s="55">
        <f t="shared" si="38"/>
        <v>561461.18533311493</v>
      </c>
      <c r="J410" s="55">
        <f t="shared" si="39"/>
        <v>12285.802742518925</v>
      </c>
      <c r="K410" s="108">
        <v>15987</v>
      </c>
      <c r="L410" s="101">
        <f t="shared" si="40"/>
        <v>31.615581601482521</v>
      </c>
      <c r="M410" s="101"/>
      <c r="N410" s="101"/>
      <c r="O410" s="101"/>
      <c r="P410" s="101"/>
      <c r="Q410" s="101"/>
      <c r="R410" s="101"/>
      <c r="S410" s="43">
        <v>1123000</v>
      </c>
      <c r="T410" s="102">
        <v>24570</v>
      </c>
    </row>
    <row r="411" spans="1:20" x14ac:dyDescent="0.25">
      <c r="A411" s="100" t="str">
        <f t="shared" si="41"/>
        <v>CIRC  914*25</v>
      </c>
      <c r="B411" s="44">
        <f t="shared" ref="B411:B439" si="42">H411*0.785</f>
        <v>548.10188929936032</v>
      </c>
      <c r="C411" s="43">
        <v>914</v>
      </c>
      <c r="D411" s="43">
        <v>25</v>
      </c>
      <c r="E411" s="43"/>
      <c r="F411" s="43"/>
      <c r="G411" s="43"/>
      <c r="H411" s="44">
        <f t="shared" ref="H411:H439" si="43">(C411^2-(C411-2*D411)^2)*PI()*0.01/4</f>
        <v>698.21896726033162</v>
      </c>
      <c r="I411" s="55">
        <f t="shared" ref="I411:I439" si="44">(C411^4-(C411-2*D411)^4)*PI()*0.0001/64</f>
        <v>690316.87409836275</v>
      </c>
      <c r="J411" s="55">
        <f t="shared" ref="J411:J439" si="45">I411/(C411*0.5*0.1)</f>
        <v>15105.402059045136</v>
      </c>
      <c r="K411" s="108">
        <v>19763</v>
      </c>
      <c r="L411" s="101">
        <f t="shared" ref="L411:L439" si="46">SQRT(I411/H411)</f>
        <v>31.443322025511232</v>
      </c>
      <c r="M411" s="101"/>
      <c r="N411" s="101"/>
      <c r="O411" s="101"/>
      <c r="P411" s="101"/>
      <c r="Q411" s="101"/>
      <c r="R411" s="101"/>
      <c r="S411" s="43">
        <v>1381000</v>
      </c>
      <c r="T411" s="102">
        <v>30210</v>
      </c>
    </row>
    <row r="412" spans="1:20" x14ac:dyDescent="0.25">
      <c r="A412" s="103" t="str">
        <f t="shared" si="41"/>
        <v>CIRC  914*30</v>
      </c>
      <c r="B412" s="50">
        <f t="shared" si="42"/>
        <v>654.02304180963029</v>
      </c>
      <c r="C412" s="49">
        <v>914</v>
      </c>
      <c r="D412" s="49">
        <v>30</v>
      </c>
      <c r="E412" s="49"/>
      <c r="F412" s="49"/>
      <c r="G412" s="49"/>
      <c r="H412" s="50">
        <f t="shared" si="43"/>
        <v>833.15037173201313</v>
      </c>
      <c r="I412" s="56">
        <f t="shared" si="44"/>
        <v>814775.24028346362</v>
      </c>
      <c r="J412" s="56">
        <f t="shared" si="45"/>
        <v>17828.779874911674</v>
      </c>
      <c r="K412" s="109">
        <v>23453</v>
      </c>
      <c r="L412" s="104">
        <f t="shared" si="46"/>
        <v>31.272112176826177</v>
      </c>
      <c r="M412" s="104"/>
      <c r="N412" s="104"/>
      <c r="O412" s="104"/>
      <c r="P412" s="104"/>
      <c r="Q412" s="104"/>
      <c r="R412" s="104"/>
      <c r="S412" s="49">
        <v>1630000</v>
      </c>
      <c r="T412" s="105">
        <v>35660</v>
      </c>
    </row>
    <row r="413" spans="1:20" x14ac:dyDescent="0.25">
      <c r="A413" s="17" t="str">
        <f t="shared" si="41"/>
        <v>CIRC  1016*8</v>
      </c>
      <c r="B413" s="33">
        <f t="shared" si="42"/>
        <v>198.87035479460255</v>
      </c>
      <c r="C413" s="17">
        <v>1016</v>
      </c>
      <c r="D413" s="17">
        <v>8</v>
      </c>
      <c r="E413" s="17"/>
      <c r="F413" s="17"/>
      <c r="G413" s="17"/>
      <c r="H413" s="33">
        <f t="shared" si="43"/>
        <v>253.33803158548093</v>
      </c>
      <c r="I413" s="57">
        <f t="shared" si="44"/>
        <v>321779.83419861447</v>
      </c>
      <c r="J413" s="57">
        <f t="shared" si="45"/>
        <v>6334.2487046971346</v>
      </c>
      <c r="K413" s="106">
        <v>8129</v>
      </c>
      <c r="L413" s="96">
        <f t="shared" si="46"/>
        <v>35.639304145844378</v>
      </c>
      <c r="M413" s="96"/>
      <c r="N413" s="96"/>
      <c r="O413" s="96"/>
      <c r="P413" s="96"/>
      <c r="Q413" s="96"/>
      <c r="R413" s="96"/>
      <c r="S413" s="17">
        <v>643600</v>
      </c>
      <c r="T413">
        <v>12670</v>
      </c>
    </row>
    <row r="414" spans="1:20" x14ac:dyDescent="0.25">
      <c r="A414" s="17" t="str">
        <f t="shared" si="41"/>
        <v>CIRC  1016*10</v>
      </c>
      <c r="B414" s="33">
        <f t="shared" si="42"/>
        <v>248.09471344663956</v>
      </c>
      <c r="C414" s="17">
        <v>1016</v>
      </c>
      <c r="D414" s="17">
        <v>10</v>
      </c>
      <c r="E414" s="17"/>
      <c r="F414" s="17"/>
      <c r="G414" s="17"/>
      <c r="H414" s="33">
        <f t="shared" si="43"/>
        <v>316.04422095113318</v>
      </c>
      <c r="I414" s="57">
        <f t="shared" si="44"/>
        <v>399849.66702074523</v>
      </c>
      <c r="J414" s="57">
        <f t="shared" si="45"/>
        <v>7871.0564374162441</v>
      </c>
      <c r="K414" s="106">
        <v>10121</v>
      </c>
      <c r="L414" s="96">
        <f t="shared" si="46"/>
        <v>35.569228273888655</v>
      </c>
      <c r="M414" s="96"/>
      <c r="N414" s="96"/>
      <c r="O414" s="96"/>
      <c r="P414" s="96"/>
      <c r="Q414" s="96"/>
      <c r="R414" s="96"/>
      <c r="S414" s="17">
        <v>799700</v>
      </c>
      <c r="T414">
        <v>15740</v>
      </c>
    </row>
    <row r="415" spans="1:20" x14ac:dyDescent="0.25">
      <c r="A415" s="17" t="str">
        <f t="shared" si="41"/>
        <v>CIRC  1016*12.5</v>
      </c>
      <c r="B415" s="33">
        <f t="shared" si="42"/>
        <v>309.3477198604657</v>
      </c>
      <c r="C415" s="17">
        <v>1016</v>
      </c>
      <c r="D415" s="17">
        <v>12.5</v>
      </c>
      <c r="E415" s="17"/>
      <c r="F415" s="17"/>
      <c r="G415" s="17"/>
      <c r="H415" s="33">
        <f t="shared" si="43"/>
        <v>394.07352848466968</v>
      </c>
      <c r="I415" s="57">
        <f t="shared" si="44"/>
        <v>496123.05571701512</v>
      </c>
      <c r="J415" s="57">
        <f t="shared" si="45"/>
        <v>9766.2018841932095</v>
      </c>
      <c r="K415" s="106">
        <v>12588</v>
      </c>
      <c r="L415" s="96">
        <f t="shared" si="46"/>
        <v>35.481835141379037</v>
      </c>
      <c r="M415" s="96"/>
      <c r="N415" s="96"/>
      <c r="O415" s="96"/>
      <c r="P415" s="96"/>
      <c r="Q415" s="96"/>
      <c r="R415" s="96"/>
      <c r="S415" s="17">
        <v>992200</v>
      </c>
      <c r="T415">
        <v>19530</v>
      </c>
    </row>
    <row r="416" spans="1:20" x14ac:dyDescent="0.25">
      <c r="A416" s="17" t="str">
        <f t="shared" si="41"/>
        <v>CIRC  1016*14.2</v>
      </c>
      <c r="B416" s="33">
        <f t="shared" si="42"/>
        <v>350.82368109522639</v>
      </c>
      <c r="C416" s="17">
        <v>1016</v>
      </c>
      <c r="D416" s="17">
        <v>14.2</v>
      </c>
      <c r="E416" s="17"/>
      <c r="F416" s="17"/>
      <c r="G416" s="17"/>
      <c r="H416" s="33">
        <f t="shared" si="43"/>
        <v>446.90914789200815</v>
      </c>
      <c r="I416" s="57">
        <f t="shared" si="44"/>
        <v>560761.97946329962</v>
      </c>
      <c r="J416" s="57">
        <f t="shared" si="45"/>
        <v>11038.621642978338</v>
      </c>
      <c r="K416" s="106">
        <v>14252</v>
      </c>
      <c r="L416" s="96">
        <f t="shared" si="46"/>
        <v>35.422536611597998</v>
      </c>
      <c r="M416" s="96"/>
      <c r="N416" s="96"/>
      <c r="O416" s="96"/>
      <c r="P416" s="96"/>
      <c r="Q416" s="96"/>
      <c r="R416" s="96"/>
      <c r="S416" s="17">
        <v>1122000</v>
      </c>
      <c r="T416">
        <v>22080</v>
      </c>
    </row>
    <row r="417" spans="1:20" x14ac:dyDescent="0.25">
      <c r="A417" s="17" t="str">
        <f t="shared" si="41"/>
        <v>CIRC  1016*16</v>
      </c>
      <c r="B417" s="33">
        <f t="shared" si="42"/>
        <v>394.58403729087803</v>
      </c>
      <c r="C417" s="17">
        <v>1016</v>
      </c>
      <c r="D417" s="17">
        <v>16</v>
      </c>
      <c r="E417" s="17"/>
      <c r="F417" s="17"/>
      <c r="G417" s="17"/>
      <c r="H417" s="33">
        <f t="shared" si="43"/>
        <v>502.6548245743669</v>
      </c>
      <c r="I417" s="57">
        <f t="shared" si="44"/>
        <v>628479.38026182249</v>
      </c>
      <c r="J417" s="57">
        <f t="shared" si="45"/>
        <v>12371.641343736663</v>
      </c>
      <c r="K417" s="106">
        <v>16001</v>
      </c>
      <c r="L417" s="96">
        <f t="shared" si="46"/>
        <v>35.359864253133104</v>
      </c>
      <c r="M417" s="96"/>
      <c r="N417" s="96"/>
      <c r="O417" s="96"/>
      <c r="P417" s="96"/>
      <c r="Q417" s="96"/>
      <c r="R417" s="96"/>
      <c r="S417" s="17">
        <v>1257000</v>
      </c>
      <c r="T417">
        <v>24740</v>
      </c>
    </row>
    <row r="418" spans="1:20" x14ac:dyDescent="0.25">
      <c r="A418" s="17" t="str">
        <f t="shared" si="41"/>
        <v>CIRC  1016*20</v>
      </c>
      <c r="B418" s="33">
        <f t="shared" si="42"/>
        <v>491.25712642714313</v>
      </c>
      <c r="C418" s="17">
        <v>1016</v>
      </c>
      <c r="D418" s="17">
        <v>20</v>
      </c>
      <c r="E418" s="17"/>
      <c r="F418" s="17"/>
      <c r="G418" s="17"/>
      <c r="H418" s="33">
        <f t="shared" si="43"/>
        <v>625.8052565950868</v>
      </c>
      <c r="I418" s="57">
        <f t="shared" si="44"/>
        <v>776323.93691133708</v>
      </c>
      <c r="J418" s="57">
        <f t="shared" si="45"/>
        <v>15281.967262034193</v>
      </c>
      <c r="K418" s="106">
        <v>19843</v>
      </c>
      <c r="L418" s="96">
        <f t="shared" si="46"/>
        <v>35.221016453248481</v>
      </c>
      <c r="M418" s="96"/>
      <c r="N418" s="96"/>
      <c r="O418" s="96"/>
      <c r="P418" s="96"/>
      <c r="Q418" s="96"/>
      <c r="R418" s="96"/>
      <c r="S418" s="17">
        <v>1553000</v>
      </c>
      <c r="T418">
        <v>30560</v>
      </c>
    </row>
    <row r="419" spans="1:20" x14ac:dyDescent="0.25">
      <c r="A419" s="17" t="str">
        <f t="shared" si="41"/>
        <v>CIRC  1016*25</v>
      </c>
      <c r="B419" s="33">
        <f t="shared" si="42"/>
        <v>610.9887202425939</v>
      </c>
      <c r="C419" s="17">
        <v>1016</v>
      </c>
      <c r="D419" s="17">
        <v>25</v>
      </c>
      <c r="E419" s="17"/>
      <c r="F419" s="17"/>
      <c r="G419" s="17"/>
      <c r="H419" s="33">
        <f t="shared" si="43"/>
        <v>778.32957992687125</v>
      </c>
      <c r="I419" s="57">
        <f t="shared" si="44"/>
        <v>956086.43521451997</v>
      </c>
      <c r="J419" s="57">
        <f t="shared" si="45"/>
        <v>18820.599118396061</v>
      </c>
      <c r="K419" s="106">
        <v>24557</v>
      </c>
      <c r="L419" s="96">
        <f t="shared" si="46"/>
        <v>35.048288117966621</v>
      </c>
      <c r="M419" s="96"/>
      <c r="N419" s="96"/>
      <c r="O419" s="96"/>
      <c r="P419" s="96"/>
      <c r="Q419" s="96"/>
      <c r="R419" s="96"/>
      <c r="S419" s="17">
        <v>1912000</v>
      </c>
      <c r="T419">
        <v>37640</v>
      </c>
    </row>
    <row r="420" spans="1:20" x14ac:dyDescent="0.25">
      <c r="A420" s="17" t="str">
        <f t="shared" si="41"/>
        <v>CIRC  1016*30</v>
      </c>
      <c r="B420" s="33">
        <f t="shared" si="42"/>
        <v>729.48723894151078</v>
      </c>
      <c r="C420" s="17">
        <v>1016</v>
      </c>
      <c r="D420" s="17">
        <v>30</v>
      </c>
      <c r="E420" s="17"/>
      <c r="F420" s="17"/>
      <c r="G420" s="17"/>
      <c r="H420" s="33">
        <f t="shared" si="43"/>
        <v>929.28310693186086</v>
      </c>
      <c r="I420" s="57">
        <f t="shared" si="44"/>
        <v>1130352.0927787076</v>
      </c>
      <c r="J420" s="57">
        <f t="shared" si="45"/>
        <v>22251.025448399756</v>
      </c>
      <c r="K420" s="106">
        <v>29175</v>
      </c>
      <c r="L420" s="96">
        <f t="shared" si="46"/>
        <v>34.876496383667899</v>
      </c>
      <c r="M420" s="96"/>
      <c r="N420" s="96"/>
      <c r="O420" s="96"/>
      <c r="P420" s="96"/>
      <c r="Q420" s="96"/>
      <c r="R420" s="96"/>
      <c r="S420" s="17">
        <v>2261000</v>
      </c>
      <c r="T420">
        <v>44500</v>
      </c>
    </row>
    <row r="421" spans="1:20" x14ac:dyDescent="0.25">
      <c r="A421" s="97" t="str">
        <f t="shared" si="41"/>
        <v>CIRC  1067*10</v>
      </c>
      <c r="B421" s="38">
        <f t="shared" si="42"/>
        <v>260.67207963528631</v>
      </c>
      <c r="C421" s="37">
        <v>1067</v>
      </c>
      <c r="D421" s="37">
        <v>10</v>
      </c>
      <c r="E421" s="37"/>
      <c r="F421" s="37"/>
      <c r="G421" s="37"/>
      <c r="H421" s="38">
        <f t="shared" si="43"/>
        <v>332.06634348444118</v>
      </c>
      <c r="I421" s="54">
        <f t="shared" si="44"/>
        <v>463792.49603249598</v>
      </c>
      <c r="J421" s="54">
        <f t="shared" si="45"/>
        <v>8693.3926154169822</v>
      </c>
      <c r="K421" s="107">
        <v>11173</v>
      </c>
      <c r="L421" s="98">
        <f t="shared" si="46"/>
        <v>37.37226578627525</v>
      </c>
      <c r="M421" s="98"/>
      <c r="N421" s="98"/>
      <c r="O421" s="98"/>
      <c r="P421" s="98"/>
      <c r="Q421" s="98"/>
      <c r="R421" s="98"/>
      <c r="S421" s="37">
        <v>927600</v>
      </c>
      <c r="T421" s="99">
        <v>17390</v>
      </c>
    </row>
    <row r="422" spans="1:20" x14ac:dyDescent="0.25">
      <c r="A422" s="100" t="str">
        <f t="shared" si="41"/>
        <v>CIRC  1067*12.5</v>
      </c>
      <c r="B422" s="44">
        <f t="shared" si="42"/>
        <v>325.06942759627412</v>
      </c>
      <c r="C422" s="43">
        <v>1067</v>
      </c>
      <c r="D422" s="43">
        <v>12.5</v>
      </c>
      <c r="E422" s="43"/>
      <c r="F422" s="43"/>
      <c r="G422" s="43"/>
      <c r="H422" s="44">
        <f t="shared" si="43"/>
        <v>414.10118165130461</v>
      </c>
      <c r="I422" s="55">
        <f t="shared" si="44"/>
        <v>575666.12224466202</v>
      </c>
      <c r="J422" s="55">
        <f t="shared" si="45"/>
        <v>10790.367802149241</v>
      </c>
      <c r="K422" s="108">
        <v>13900</v>
      </c>
      <c r="L422" s="101">
        <f t="shared" si="46"/>
        <v>37.284824325722653</v>
      </c>
      <c r="M422" s="101"/>
      <c r="N422" s="101"/>
      <c r="O422" s="101"/>
      <c r="P422" s="101"/>
      <c r="Q422" s="101"/>
      <c r="R422" s="101"/>
      <c r="S422" s="43">
        <v>1151000</v>
      </c>
      <c r="T422" s="102">
        <v>21580</v>
      </c>
    </row>
    <row r="423" spans="1:20" x14ac:dyDescent="0.25">
      <c r="A423" s="100" t="str">
        <f t="shared" si="41"/>
        <v>CIRC  1067*14.2</v>
      </c>
      <c r="B423" s="44">
        <f t="shared" si="42"/>
        <v>368.68354108310649</v>
      </c>
      <c r="C423" s="43">
        <v>1067</v>
      </c>
      <c r="D423" s="43">
        <v>14.2</v>
      </c>
      <c r="E423" s="43"/>
      <c r="F423" s="43"/>
      <c r="G423" s="43"/>
      <c r="H423" s="44">
        <f t="shared" si="43"/>
        <v>469.66056188930759</v>
      </c>
      <c r="I423" s="55">
        <f t="shared" si="44"/>
        <v>650825.94760171906</v>
      </c>
      <c r="J423" s="55">
        <f t="shared" si="45"/>
        <v>12199.174275571117</v>
      </c>
      <c r="K423" s="108">
        <v>15740</v>
      </c>
      <c r="L423" s="101">
        <f t="shared" si="46"/>
        <v>37.225486564986625</v>
      </c>
      <c r="M423" s="101"/>
      <c r="N423" s="101"/>
      <c r="O423" s="101"/>
      <c r="P423" s="101"/>
      <c r="Q423" s="101"/>
      <c r="R423" s="101"/>
      <c r="S423" s="43">
        <v>1302000</v>
      </c>
      <c r="T423" s="102">
        <v>24400</v>
      </c>
    </row>
    <row r="424" spans="1:20" x14ac:dyDescent="0.25">
      <c r="A424" s="100" t="str">
        <f t="shared" si="41"/>
        <v>CIRC  1067*16</v>
      </c>
      <c r="B424" s="44">
        <f t="shared" si="42"/>
        <v>414.70782319271274</v>
      </c>
      <c r="C424" s="43">
        <v>1067</v>
      </c>
      <c r="D424" s="43">
        <v>16</v>
      </c>
      <c r="E424" s="43"/>
      <c r="F424" s="43"/>
      <c r="G424" s="43"/>
      <c r="H424" s="44">
        <f t="shared" si="43"/>
        <v>528.29022062765955</v>
      </c>
      <c r="I424" s="55">
        <f t="shared" si="44"/>
        <v>729606.43536501762</v>
      </c>
      <c r="J424" s="55">
        <f t="shared" si="45"/>
        <v>13675.846960918792</v>
      </c>
      <c r="K424" s="108">
        <v>17675</v>
      </c>
      <c r="L424" s="101">
        <f t="shared" si="46"/>
        <v>37.162766985250173</v>
      </c>
      <c r="M424" s="101"/>
      <c r="N424" s="101"/>
      <c r="O424" s="101"/>
      <c r="P424" s="101"/>
      <c r="Q424" s="101"/>
      <c r="R424" s="101"/>
      <c r="S424" s="43">
        <v>1459000</v>
      </c>
      <c r="T424" s="102">
        <v>27350</v>
      </c>
    </row>
    <row r="425" spans="1:20" x14ac:dyDescent="0.25">
      <c r="A425" s="100" t="str">
        <f t="shared" si="41"/>
        <v>CIRC  1067*20</v>
      </c>
      <c r="B425" s="44">
        <f t="shared" si="42"/>
        <v>516.41185880443663</v>
      </c>
      <c r="C425" s="43">
        <v>1067</v>
      </c>
      <c r="D425" s="43">
        <v>20</v>
      </c>
      <c r="E425" s="43"/>
      <c r="F425" s="43"/>
      <c r="G425" s="43"/>
      <c r="H425" s="44">
        <f t="shared" si="43"/>
        <v>657.84950166170267</v>
      </c>
      <c r="I425" s="55">
        <f t="shared" si="44"/>
        <v>901754.60520967259</v>
      </c>
      <c r="J425" s="55">
        <f t="shared" si="45"/>
        <v>16902.616779937631</v>
      </c>
      <c r="K425" s="108">
        <v>21927</v>
      </c>
      <c r="L425" s="101">
        <f t="shared" si="46"/>
        <v>37.023793025566683</v>
      </c>
      <c r="M425" s="101"/>
      <c r="N425" s="101"/>
      <c r="O425" s="101"/>
      <c r="P425" s="101"/>
      <c r="Q425" s="101"/>
      <c r="R425" s="101"/>
      <c r="S425" s="43">
        <v>1804000</v>
      </c>
      <c r="T425" s="102">
        <v>33810</v>
      </c>
    </row>
    <row r="426" spans="1:20" x14ac:dyDescent="0.25">
      <c r="A426" s="100" t="str">
        <f t="shared" ref="A426:A439" si="47">$B$225&amp;"  "&amp;C426&amp;"*"&amp;D426</f>
        <v>CIRC  1067*25</v>
      </c>
      <c r="B426" s="44">
        <f t="shared" si="42"/>
        <v>642.43213571421074</v>
      </c>
      <c r="C426" s="43">
        <v>1067</v>
      </c>
      <c r="D426" s="43">
        <v>25</v>
      </c>
      <c r="E426" s="43"/>
      <c r="F426" s="43"/>
      <c r="G426" s="43"/>
      <c r="H426" s="44">
        <f t="shared" si="43"/>
        <v>818.38488626014112</v>
      </c>
      <c r="I426" s="55">
        <f t="shared" si="44"/>
        <v>1111355.4227490856</v>
      </c>
      <c r="J426" s="55">
        <f t="shared" si="45"/>
        <v>20831.404362682017</v>
      </c>
      <c r="K426" s="108">
        <v>27149</v>
      </c>
      <c r="L426" s="101">
        <f t="shared" si="46"/>
        <v>36.850864983063829</v>
      </c>
      <c r="M426" s="101"/>
      <c r="N426" s="101"/>
      <c r="O426" s="101"/>
      <c r="P426" s="101"/>
      <c r="Q426" s="101"/>
      <c r="R426" s="101"/>
      <c r="S426" s="43">
        <v>2223000</v>
      </c>
      <c r="T426" s="102">
        <v>41660</v>
      </c>
    </row>
    <row r="427" spans="1:20" x14ac:dyDescent="0.25">
      <c r="A427" s="103" t="str">
        <f t="shared" si="47"/>
        <v>CIRC  1067*30</v>
      </c>
      <c r="B427" s="50">
        <f t="shared" si="42"/>
        <v>767.21933750745109</v>
      </c>
      <c r="C427" s="49">
        <v>1067</v>
      </c>
      <c r="D427" s="49">
        <v>30</v>
      </c>
      <c r="E427" s="49"/>
      <c r="F427" s="49"/>
      <c r="G427" s="49"/>
      <c r="H427" s="50">
        <f t="shared" si="43"/>
        <v>977.34947453178472</v>
      </c>
      <c r="I427" s="56">
        <f t="shared" si="44"/>
        <v>1314863.6770060619</v>
      </c>
      <c r="J427" s="56">
        <f t="shared" si="45"/>
        <v>24645.992071341367</v>
      </c>
      <c r="K427" s="109">
        <v>32270</v>
      </c>
      <c r="L427" s="104">
        <f t="shared" si="46"/>
        <v>36.678825635508019</v>
      </c>
      <c r="M427" s="104"/>
      <c r="N427" s="104"/>
      <c r="O427" s="104"/>
      <c r="P427" s="104"/>
      <c r="Q427" s="104"/>
      <c r="R427" s="104"/>
      <c r="S427" s="49">
        <v>2630000</v>
      </c>
      <c r="T427" s="105">
        <v>49290</v>
      </c>
    </row>
    <row r="428" spans="1:20" x14ac:dyDescent="0.25">
      <c r="A428" s="17" t="str">
        <f t="shared" si="47"/>
        <v>CIRC  1168*10</v>
      </c>
      <c r="B428" s="33">
        <f t="shared" si="42"/>
        <v>285.58019698927296</v>
      </c>
      <c r="C428" s="17">
        <v>1168</v>
      </c>
      <c r="D428" s="17">
        <v>10</v>
      </c>
      <c r="E428" s="17"/>
      <c r="F428" s="17"/>
      <c r="G428" s="17"/>
      <c r="H428" s="33">
        <f t="shared" si="43"/>
        <v>363.79642928569803</v>
      </c>
      <c r="I428" s="57">
        <f t="shared" si="44"/>
        <v>609842.86830449419</v>
      </c>
      <c r="J428" s="57">
        <f t="shared" si="45"/>
        <v>10442.514868227639</v>
      </c>
      <c r="K428" s="106">
        <v>13410</v>
      </c>
      <c r="L428" s="96">
        <f t="shared" si="46"/>
        <v>40.943009171285887</v>
      </c>
      <c r="M428" s="96"/>
      <c r="N428" s="96"/>
      <c r="O428" s="96"/>
      <c r="P428" s="96"/>
      <c r="Q428" s="96"/>
      <c r="R428" s="96"/>
      <c r="S428" s="17">
        <v>1220000</v>
      </c>
      <c r="T428">
        <v>20890</v>
      </c>
    </row>
    <row r="429" spans="1:20" x14ac:dyDescent="0.25">
      <c r="A429" s="17" t="str">
        <f t="shared" si="47"/>
        <v>CIRC  1168*12.5</v>
      </c>
      <c r="B429" s="33">
        <f t="shared" si="42"/>
        <v>356.2045742887575</v>
      </c>
      <c r="C429" s="17">
        <v>1168</v>
      </c>
      <c r="D429" s="17">
        <v>12.5</v>
      </c>
      <c r="E429" s="17"/>
      <c r="F429" s="17"/>
      <c r="G429" s="17"/>
      <c r="H429" s="33">
        <f t="shared" si="43"/>
        <v>453.76378890287577</v>
      </c>
      <c r="I429" s="57">
        <f t="shared" si="44"/>
        <v>757409.1871253812</v>
      </c>
      <c r="J429" s="57">
        <f t="shared" si="45"/>
        <v>12969.335395982553</v>
      </c>
      <c r="K429" s="106">
        <v>16690</v>
      </c>
      <c r="L429" s="96">
        <f t="shared" si="46"/>
        <v>40.855484637928356</v>
      </c>
      <c r="M429" s="96"/>
      <c r="N429" s="96"/>
      <c r="O429" s="96"/>
      <c r="P429" s="96"/>
      <c r="Q429" s="96"/>
      <c r="R429" s="96"/>
      <c r="S429" s="17">
        <v>1515000</v>
      </c>
      <c r="T429">
        <v>25940</v>
      </c>
    </row>
    <row r="430" spans="1:20" x14ac:dyDescent="0.25">
      <c r="A430" s="17" t="str">
        <f t="shared" si="47"/>
        <v>CIRC  1168*14.2</v>
      </c>
      <c r="B430" s="33">
        <f t="shared" si="42"/>
        <v>404.05306772576785</v>
      </c>
      <c r="C430" s="17">
        <v>1168</v>
      </c>
      <c r="D430" s="17">
        <v>14.2</v>
      </c>
      <c r="E430" s="17"/>
      <c r="F430" s="17"/>
      <c r="G430" s="17"/>
      <c r="H430" s="33">
        <f t="shared" si="43"/>
        <v>514.71728372709276</v>
      </c>
      <c r="I430" s="57">
        <f t="shared" si="44"/>
        <v>856654.32112440316</v>
      </c>
      <c r="J430" s="57">
        <f t="shared" si="45"/>
        <v>14668.738375417861</v>
      </c>
      <c r="K430" s="106">
        <v>18905</v>
      </c>
      <c r="L430" s="96">
        <f t="shared" si="46"/>
        <v>40.796079468497943</v>
      </c>
      <c r="M430" s="96"/>
      <c r="N430" s="96"/>
      <c r="O430" s="96"/>
      <c r="P430" s="96"/>
      <c r="Q430" s="96"/>
      <c r="R430" s="96"/>
      <c r="S430" s="17">
        <v>1713000</v>
      </c>
      <c r="T430">
        <v>29340</v>
      </c>
    </row>
    <row r="431" spans="1:20" x14ac:dyDescent="0.25">
      <c r="A431" s="17" t="str">
        <f t="shared" si="47"/>
        <v>CIRC  1168*16</v>
      </c>
      <c r="B431" s="33">
        <f t="shared" si="42"/>
        <v>454.5608109590915</v>
      </c>
      <c r="C431" s="17">
        <v>1168</v>
      </c>
      <c r="D431" s="17">
        <v>16</v>
      </c>
      <c r="E431" s="17"/>
      <c r="F431" s="17"/>
      <c r="G431" s="17"/>
      <c r="H431" s="33">
        <f t="shared" si="43"/>
        <v>579.05835790967069</v>
      </c>
      <c r="I431" s="57">
        <f t="shared" si="44"/>
        <v>960773.62744372559</v>
      </c>
      <c r="J431" s="57">
        <f t="shared" si="45"/>
        <v>16451.603209652832</v>
      </c>
      <c r="K431" s="106">
        <v>21235</v>
      </c>
      <c r="L431" s="96">
        <f t="shared" si="46"/>
        <v>40.733278777923097</v>
      </c>
      <c r="M431" s="96"/>
      <c r="N431" s="96"/>
      <c r="O431" s="96"/>
      <c r="P431" s="96"/>
      <c r="Q431" s="96"/>
      <c r="R431" s="96"/>
      <c r="S431" s="17">
        <v>1922000</v>
      </c>
      <c r="T431">
        <v>32900</v>
      </c>
    </row>
    <row r="432" spans="1:20" x14ac:dyDescent="0.25">
      <c r="A432" s="17" t="str">
        <f t="shared" si="47"/>
        <v>CIRC  1168*20</v>
      </c>
      <c r="B432" s="33">
        <f t="shared" si="42"/>
        <v>566.22809351241006</v>
      </c>
      <c r="C432" s="17">
        <v>1168</v>
      </c>
      <c r="D432" s="17">
        <v>20</v>
      </c>
      <c r="E432" s="17"/>
      <c r="F432" s="17"/>
      <c r="G432" s="17"/>
      <c r="H432" s="33">
        <f t="shared" si="43"/>
        <v>721.3096732642166</v>
      </c>
      <c r="I432" s="57">
        <f t="shared" si="44"/>
        <v>1188631.7843786371</v>
      </c>
      <c r="J432" s="57">
        <f t="shared" si="45"/>
        <v>20353.283979086249</v>
      </c>
      <c r="K432" s="106">
        <v>26361</v>
      </c>
      <c r="L432" s="96">
        <f t="shared" si="46"/>
        <v>40.594088239545421</v>
      </c>
      <c r="M432" s="96"/>
      <c r="N432" s="96"/>
      <c r="O432" s="96"/>
      <c r="P432" s="96"/>
      <c r="Q432" s="96"/>
      <c r="R432" s="96"/>
      <c r="S432" s="17">
        <v>2377000</v>
      </c>
      <c r="T432">
        <v>40710</v>
      </c>
    </row>
    <row r="433" spans="1:20" x14ac:dyDescent="0.25">
      <c r="A433" s="17" t="str">
        <f t="shared" si="47"/>
        <v>CIRC  1168*25</v>
      </c>
      <c r="B433" s="33">
        <f t="shared" si="42"/>
        <v>704.70242909917749</v>
      </c>
      <c r="C433" s="17">
        <v>1168</v>
      </c>
      <c r="D433" s="17">
        <v>25</v>
      </c>
      <c r="E433" s="17"/>
      <c r="F433" s="17"/>
      <c r="G433" s="17"/>
      <c r="H433" s="33">
        <f t="shared" si="43"/>
        <v>897.71010076328344</v>
      </c>
      <c r="I433" s="57">
        <f t="shared" si="44"/>
        <v>1466716.9153063348</v>
      </c>
      <c r="J433" s="57">
        <f t="shared" si="45"/>
        <v>25115.015673053676</v>
      </c>
      <c r="K433" s="106">
        <v>32666</v>
      </c>
      <c r="L433" s="96">
        <f t="shared" si="46"/>
        <v>40.420817656252325</v>
      </c>
      <c r="M433" s="96"/>
      <c r="N433" s="96"/>
      <c r="O433" s="96"/>
      <c r="P433" s="96"/>
      <c r="Q433" s="96"/>
      <c r="R433" s="96"/>
      <c r="S433" s="17">
        <v>2933000</v>
      </c>
      <c r="T433">
        <v>50230</v>
      </c>
    </row>
    <row r="434" spans="1:20" x14ac:dyDescent="0.25">
      <c r="A434" s="97" t="str">
        <f t="shared" si="47"/>
        <v>CIRC  1219*10</v>
      </c>
      <c r="B434" s="38">
        <f t="shared" si="42"/>
        <v>298.15756317791971</v>
      </c>
      <c r="C434" s="37">
        <v>1219</v>
      </c>
      <c r="D434" s="37">
        <v>10</v>
      </c>
      <c r="E434" s="37"/>
      <c r="F434" s="37"/>
      <c r="G434" s="37"/>
      <c r="H434" s="38">
        <f t="shared" si="43"/>
        <v>379.81855181900596</v>
      </c>
      <c r="I434" s="54">
        <f t="shared" si="44"/>
        <v>694014.42812067305</v>
      </c>
      <c r="J434" s="54">
        <f t="shared" si="45"/>
        <v>11386.619001159524</v>
      </c>
      <c r="K434" s="107">
        <v>14617</v>
      </c>
      <c r="L434" s="98">
        <f t="shared" si="46"/>
        <v>42.746067070550481</v>
      </c>
      <c r="M434" s="98"/>
      <c r="N434" s="98"/>
      <c r="O434" s="98"/>
      <c r="P434" s="98"/>
      <c r="Q434" s="98"/>
      <c r="R434" s="98"/>
      <c r="S434" s="37">
        <v>1388000</v>
      </c>
      <c r="T434" s="99">
        <v>22770</v>
      </c>
    </row>
    <row r="435" spans="1:20" x14ac:dyDescent="0.25">
      <c r="A435" s="100" t="str">
        <f t="shared" si="47"/>
        <v>CIRC  1219*12.5</v>
      </c>
      <c r="B435" s="44">
        <f t="shared" si="42"/>
        <v>371.92628202456586</v>
      </c>
      <c r="C435" s="43">
        <v>1219</v>
      </c>
      <c r="D435" s="43">
        <v>12.5</v>
      </c>
      <c r="E435" s="43"/>
      <c r="F435" s="43"/>
      <c r="G435" s="43"/>
      <c r="H435" s="44">
        <f t="shared" si="43"/>
        <v>473.79144206951065</v>
      </c>
      <c r="I435" s="55">
        <f t="shared" si="44"/>
        <v>862181.08834703814</v>
      </c>
      <c r="J435" s="55">
        <f t="shared" si="45"/>
        <v>14145.711047531388</v>
      </c>
      <c r="K435" s="108">
        <v>18196</v>
      </c>
      <c r="L435" s="101">
        <f t="shared" si="46"/>
        <v>42.65850589272906</v>
      </c>
      <c r="M435" s="101"/>
      <c r="N435" s="101"/>
      <c r="O435" s="101"/>
      <c r="P435" s="101"/>
      <c r="Q435" s="101"/>
      <c r="R435" s="101"/>
      <c r="S435" s="43">
        <v>1724000</v>
      </c>
      <c r="T435" s="102">
        <v>28290</v>
      </c>
    </row>
    <row r="436" spans="1:20" x14ac:dyDescent="0.25">
      <c r="A436" s="100" t="str">
        <f t="shared" si="47"/>
        <v>CIRC  1219*14.2</v>
      </c>
      <c r="B436" s="44">
        <f t="shared" si="42"/>
        <v>421.91292771364505</v>
      </c>
      <c r="C436" s="43">
        <v>1219</v>
      </c>
      <c r="D436" s="43">
        <v>14.2</v>
      </c>
      <c r="E436" s="43"/>
      <c r="F436" s="43"/>
      <c r="G436" s="43"/>
      <c r="H436" s="44">
        <f t="shared" si="43"/>
        <v>537.46869772438856</v>
      </c>
      <c r="I436" s="55">
        <f t="shared" si="44"/>
        <v>975334.15323488624</v>
      </c>
      <c r="J436" s="55">
        <f t="shared" si="45"/>
        <v>16002.201037487879</v>
      </c>
      <c r="K436" s="108">
        <v>20613</v>
      </c>
      <c r="L436" s="101">
        <f t="shared" si="46"/>
        <v>42.599070999260057</v>
      </c>
      <c r="M436" s="101"/>
      <c r="N436" s="101"/>
      <c r="O436" s="101"/>
      <c r="P436" s="101"/>
      <c r="Q436" s="101"/>
      <c r="R436" s="101"/>
      <c r="S436" s="43">
        <v>1951000</v>
      </c>
      <c r="T436" s="102">
        <v>32000</v>
      </c>
    </row>
    <row r="437" spans="1:20" x14ac:dyDescent="0.25">
      <c r="A437" s="100" t="str">
        <f t="shared" si="47"/>
        <v>CIRC  1219*16</v>
      </c>
      <c r="B437" s="44">
        <f t="shared" si="42"/>
        <v>474.68459686092626</v>
      </c>
      <c r="C437" s="43">
        <v>1219</v>
      </c>
      <c r="D437" s="43">
        <v>16</v>
      </c>
      <c r="E437" s="43"/>
      <c r="F437" s="43"/>
      <c r="G437" s="43"/>
      <c r="H437" s="44">
        <f t="shared" si="43"/>
        <v>604.69375396296334</v>
      </c>
      <c r="I437" s="55">
        <f t="shared" si="44"/>
        <v>1094091.305725001</v>
      </c>
      <c r="J437" s="55">
        <f t="shared" si="45"/>
        <v>17950.636681296161</v>
      </c>
      <c r="K437" s="108">
        <v>23157</v>
      </c>
      <c r="L437" s="101">
        <f t="shared" si="46"/>
        <v>42.536234553613234</v>
      </c>
      <c r="M437" s="101"/>
      <c r="N437" s="101"/>
      <c r="O437" s="101"/>
      <c r="P437" s="101"/>
      <c r="Q437" s="101"/>
      <c r="R437" s="101"/>
      <c r="S437" s="43">
        <v>2188000</v>
      </c>
      <c r="T437" s="102">
        <v>35900</v>
      </c>
    </row>
    <row r="438" spans="1:20" x14ac:dyDescent="0.25">
      <c r="A438" s="100" t="str">
        <f t="shared" si="47"/>
        <v>CIRC  1219*20</v>
      </c>
      <c r="B438" s="44">
        <f t="shared" si="42"/>
        <v>591.38282588970344</v>
      </c>
      <c r="C438" s="43">
        <v>1219</v>
      </c>
      <c r="D438" s="43">
        <v>20</v>
      </c>
      <c r="E438" s="43"/>
      <c r="F438" s="43"/>
      <c r="G438" s="43"/>
      <c r="H438" s="44">
        <f t="shared" si="43"/>
        <v>753.35391833083236</v>
      </c>
      <c r="I438" s="55">
        <f t="shared" si="44"/>
        <v>1354154.6098920691</v>
      </c>
      <c r="J438" s="55">
        <f t="shared" si="45"/>
        <v>22217.466938344038</v>
      </c>
      <c r="K438" s="108">
        <v>28755</v>
      </c>
      <c r="L438" s="101">
        <f t="shared" si="46"/>
        <v>42.396948593029663</v>
      </c>
      <c r="M438" s="101"/>
      <c r="N438" s="101"/>
      <c r="O438" s="101"/>
      <c r="P438" s="101"/>
      <c r="Q438" s="101"/>
      <c r="R438" s="101"/>
      <c r="S438" s="43">
        <v>2708000</v>
      </c>
      <c r="T438" s="102">
        <v>44430</v>
      </c>
    </row>
    <row r="439" spans="1:20" x14ac:dyDescent="0.25">
      <c r="A439" s="103" t="str">
        <f t="shared" si="47"/>
        <v>CIRC  1219*25</v>
      </c>
      <c r="B439" s="50">
        <f t="shared" si="42"/>
        <v>736.14584457079434</v>
      </c>
      <c r="C439" s="49">
        <v>1219</v>
      </c>
      <c r="D439" s="49">
        <v>25</v>
      </c>
      <c r="E439" s="49"/>
      <c r="F439" s="49"/>
      <c r="G439" s="49"/>
      <c r="H439" s="50">
        <f t="shared" si="43"/>
        <v>937.7654070965533</v>
      </c>
      <c r="I439" s="56">
        <f t="shared" si="44"/>
        <v>1671872.7841136716</v>
      </c>
      <c r="J439" s="56">
        <f t="shared" si="45"/>
        <v>27430.234357894529</v>
      </c>
      <c r="K439" s="109">
        <v>35646</v>
      </c>
      <c r="L439" s="104">
        <f t="shared" si="46"/>
        <v>42.223527209365159</v>
      </c>
      <c r="M439" s="104"/>
      <c r="N439" s="104"/>
      <c r="O439" s="104"/>
      <c r="P439" s="104"/>
      <c r="Q439" s="104"/>
      <c r="R439" s="104"/>
      <c r="S439" s="49">
        <v>3344000</v>
      </c>
      <c r="T439" s="105">
        <v>54860</v>
      </c>
    </row>
  </sheetData>
  <sheetProtection algorithmName="SHA-512" hashValue="9ifS2Q+WPspGhmq0AIwIrCCPZvRCjl9qRZkWr8NawXw4NasfHmAS72FILbdPdE4F2wM2281cf0MtScLIvSt2Ew==" saltValue="cBmRUsx6POrSKwWYYcoFVg==" spinCount="100000" sheet="1" objects="1" scenarios="1"/>
  <mergeCells count="2">
    <mergeCell ref="C1:D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2</vt:i4>
      </vt:variant>
    </vt:vector>
  </HeadingPairs>
  <TitlesOfParts>
    <vt:vector size="7" baseType="lpstr">
      <vt:lpstr>Informations</vt:lpstr>
      <vt:lpstr>Vérif GC Complète</vt:lpstr>
      <vt:lpstr>Tubes_SHS</vt:lpstr>
      <vt:lpstr>Tubes_RHS</vt:lpstr>
      <vt:lpstr>Tubes_CHS</vt:lpstr>
      <vt:lpstr>Informations!Zone_d_impression</vt:lpstr>
      <vt:lpstr>'Vérif GC Complète'!Zone_d_impression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RIQUE Guillaume</cp:lastModifiedBy>
  <cp:lastPrinted>2024-04-02T16:50:49Z</cp:lastPrinted>
  <dcterms:created xsi:type="dcterms:W3CDTF">2021-06-29T17:47:33Z</dcterms:created>
  <dcterms:modified xsi:type="dcterms:W3CDTF">2025-11-24T12:21:50Z</dcterms:modified>
</cp:coreProperties>
</file>