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lob1\Desktop\CoursConstructionAcier\Feuille de Calculs\"/>
    </mc:Choice>
  </mc:AlternateContent>
  <xr:revisionPtr revIDLastSave="0" documentId="13_ncr:1_{FD00F4E4-1DB9-414F-88F0-468812DD4CA5}" xr6:coauthVersionLast="45" xr6:coauthVersionMax="45" xr10:uidLastSave="{00000000-0000-0000-0000-000000000000}"/>
  <workbookProtection workbookAlgorithmName="SHA-512" workbookHashValue="tkLWQYUZo7p+rHJ/uZgrrvp4VFSNSY4PftOMv11EHtBuOH3bODApf1vstkuUB/LTFA+yZ0Q/l4tRgvJWfbG78A==" workbookSaltValue="dN3t5I5is9CkpnNfCLgaKg==" workbookSpinCount="100000" lockStructure="1"/>
  <bookViews>
    <workbookView xWindow="-120" yWindow="-120" windowWidth="29040" windowHeight="15990" firstSheet="3" activeTab="3" xr2:uid="{2205A7F2-EE8B-42BB-94F6-F8098E3D5C85}"/>
  </bookViews>
  <sheets>
    <sheet name="Données d'Entrées" sheetId="8" state="hidden" r:id="rId1"/>
    <sheet name="NdC Détaillée" sheetId="14" state="hidden" r:id="rId2"/>
    <sheet name="NdC Simplifiée" sheetId="15" state="hidden" r:id="rId3"/>
    <sheet name="Informations" sheetId="17" r:id="rId4"/>
    <sheet name="PRS" sheetId="16" r:id="rId5"/>
    <sheet name="Data" sheetId="7" r:id="rId6"/>
    <sheet name="Profilés" sheetId="2" state="hidden" r:id="rId7"/>
    <sheet name="Cornières" sheetId="3" state="hidden" r:id="rId8"/>
    <sheet name="Tubes_SHS" sheetId="4" state="hidden" r:id="rId9"/>
    <sheet name="Tubes_RHS" sheetId="5" state="hidden" r:id="rId10"/>
    <sheet name="Tubes_CHS" sheetId="6" state="hidden" r:id="rId11"/>
  </sheets>
  <externalReferences>
    <externalReference r:id="rId12"/>
  </externalReferences>
  <definedNames>
    <definedName name="_xlnm._FilterDatabase" localSheetId="7" hidden="1">Cornières!$A$2:$Z$153</definedName>
    <definedName name="Ac">[1]Corniere!$X$25</definedName>
    <definedName name="alpha">[1]Corniere!$N$39</definedName>
    <definedName name="Asb">[1]Corniere!$T$49</definedName>
    <definedName name="bc">#REF!</definedName>
    <definedName name="beta2">[1]Corniere!$U$101</definedName>
    <definedName name="beta3">[1]Corniere!$U$102</definedName>
    <definedName name="cdg">[1]Corniere!$AC$25</definedName>
    <definedName name="classe">[1]Corniere!$R$22</definedName>
    <definedName name="d0">[1]Corniere!$G$16</definedName>
    <definedName name="db">[1]Corniere!$Q$49</definedName>
    <definedName name="e0">#REF!</definedName>
    <definedName name="emini">#REF!</definedName>
    <definedName name="entraxe">[1]Corniere!$G$24</definedName>
    <definedName name="fub">[1]Corniere!$S$22</definedName>
    <definedName name="fuc">[1]Corniere!$U$26</definedName>
    <definedName name="fup">[1]Corniere!$U$27</definedName>
    <definedName name="fyb">#REF!</definedName>
    <definedName name="fyc">[1]Corniere!$S$26</definedName>
    <definedName name="fyp">[1]Corniere!$S$27</definedName>
    <definedName name="g0_">Data!$O$4</definedName>
    <definedName name="g1_">Data!$O$5</definedName>
    <definedName name="g2_">Data!$O$6</definedName>
    <definedName name="g3_">Data!$O$7</definedName>
    <definedName name="gamma0">[1]Corniere!$Q$7</definedName>
    <definedName name="gamma1">#REF!</definedName>
    <definedName name="gamma2">[1]Corniere!$Q$9</definedName>
    <definedName name="gamma3">[1]Corniere!$Q$10</definedName>
    <definedName name="gamma7">[1]Corniere!$Q$11</definedName>
    <definedName name="hc">#REF!</definedName>
    <definedName name="mu">[1]Corniere!#REF!</definedName>
    <definedName name="nb">[1]Corniere!$G$33</definedName>
    <definedName name="nc">[1]Corniere!$Q$28</definedName>
    <definedName name="Ned">[1]Corniere!$I$41</definedName>
    <definedName name="pas">#REF!</definedName>
    <definedName name="Prin_PRS" localSheetId="4">PRS!$B$2:$H$33</definedName>
    <definedName name="taux">[1]Corniere!$Q$18</definedName>
    <definedName name="tc">[1]Corniere!$T$25</definedName>
    <definedName name="tp">[1]Corniere!$J$15</definedName>
    <definedName name="trusq">[1]Corniere!$Y$25</definedName>
    <definedName name="_xlnm.Print_Area" localSheetId="0">'Données d''Entrées'!$B$2:$AC$61</definedName>
    <definedName name="_xlnm.Print_Area" localSheetId="3">Informations!$B$2:$AC$67</definedName>
    <definedName name="_xlnm.Print_Area" localSheetId="1">'NdC Détaillée'!$B$2:$AC$793</definedName>
    <definedName name="_xlnm.Print_Area" localSheetId="2">'NdC Simplifiée'!$B$2:$AC$133</definedName>
    <definedName name="_xlnm.Print_Area" localSheetId="4">PRS!$B$2:$M$79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6" l="1"/>
  <c r="K35" i="16"/>
  <c r="G35" i="16"/>
  <c r="K58" i="16"/>
  <c r="G58" i="16"/>
  <c r="F182" i="2"/>
  <c r="E182" i="2"/>
  <c r="D182" i="2"/>
  <c r="C182" i="2"/>
  <c r="A182" i="2" l="1"/>
  <c r="O59" i="16"/>
  <c r="O36" i="16"/>
  <c r="O11" i="16"/>
  <c r="P5" i="16"/>
  <c r="F181" i="2" l="1"/>
  <c r="E181" i="2"/>
  <c r="D181" i="2"/>
  <c r="C181" i="2"/>
  <c r="F180" i="2"/>
  <c r="E180" i="2"/>
  <c r="D180" i="2"/>
  <c r="C180" i="2"/>
  <c r="A180" i="2" l="1"/>
  <c r="A181" i="2"/>
  <c r="C68" i="16"/>
  <c r="C67" i="16"/>
  <c r="G66" i="16"/>
  <c r="M182" i="2" s="1"/>
  <c r="O65" i="16"/>
  <c r="N65" i="16"/>
  <c r="R60" i="16"/>
  <c r="R59" i="16"/>
  <c r="O60" i="16"/>
  <c r="C45" i="16"/>
  <c r="C44" i="16"/>
  <c r="G43" i="16"/>
  <c r="M181" i="2" s="1"/>
  <c r="O42" i="16"/>
  <c r="N42" i="16"/>
  <c r="R37" i="16"/>
  <c r="R36" i="16"/>
  <c r="O37" i="16"/>
  <c r="O46" i="16" s="1"/>
  <c r="O47" i="16" s="1"/>
  <c r="G29" i="16"/>
  <c r="S180" i="2" s="1"/>
  <c r="G26" i="16"/>
  <c r="R180" i="2" s="1"/>
  <c r="D25" i="16"/>
  <c r="G30" i="16" s="1"/>
  <c r="T180" i="2" s="1"/>
  <c r="D24" i="16"/>
  <c r="G23" i="16"/>
  <c r="N180" i="2" s="1"/>
  <c r="G18" i="16"/>
  <c r="M180" i="2" s="1"/>
  <c r="P17" i="16"/>
  <c r="O17" i="16"/>
  <c r="N17" i="16"/>
  <c r="R15" i="16"/>
  <c r="R12" i="16"/>
  <c r="R11" i="16"/>
  <c r="O12" i="16"/>
  <c r="G11" i="16"/>
  <c r="G8" i="16"/>
  <c r="G7" i="16"/>
  <c r="G5" i="16"/>
  <c r="D4" i="16"/>
  <c r="G77" i="16" l="1"/>
  <c r="S182" i="2" s="1"/>
  <c r="L51" i="16"/>
  <c r="R40" i="16"/>
  <c r="R44" i="16" s="1"/>
  <c r="G50" i="16" s="1"/>
  <c r="P181" i="2" s="1"/>
  <c r="G54" i="16"/>
  <c r="S181" i="2" s="1"/>
  <c r="R14" i="16"/>
  <c r="R18" i="16" s="1"/>
  <c r="G24" i="16"/>
  <c r="O180" i="2" s="1"/>
  <c r="G74" i="16"/>
  <c r="R182" i="2" s="1"/>
  <c r="G20" i="16"/>
  <c r="H180" i="2"/>
  <c r="G13" i="16"/>
  <c r="B180" i="2" s="1"/>
  <c r="G21" i="16"/>
  <c r="G59" i="16"/>
  <c r="H182" i="2" s="1"/>
  <c r="P65" i="16"/>
  <c r="D78" i="16" s="1"/>
  <c r="L74" i="16"/>
  <c r="D73" i="16"/>
  <c r="G78" i="16" s="1"/>
  <c r="T182" i="2" s="1"/>
  <c r="G71" i="16"/>
  <c r="D29" i="16"/>
  <c r="R13" i="16"/>
  <c r="G27" i="16"/>
  <c r="Q180" i="2" s="1"/>
  <c r="D77" i="16"/>
  <c r="D72" i="16"/>
  <c r="O66" i="16"/>
  <c r="L65" i="16" s="1"/>
  <c r="E76" i="16"/>
  <c r="D54" i="16"/>
  <c r="E28" i="16"/>
  <c r="D30" i="16"/>
  <c r="E53" i="16"/>
  <c r="O50" i="16"/>
  <c r="O48" i="16"/>
  <c r="L43" i="16" s="1"/>
  <c r="R17" i="16"/>
  <c r="R19" i="16"/>
  <c r="G25" i="16" s="1"/>
  <c r="P180" i="2" s="1"/>
  <c r="R63" i="16"/>
  <c r="O69" i="16"/>
  <c r="D76" i="16"/>
  <c r="D28" i="16"/>
  <c r="G36" i="16"/>
  <c r="H181" i="2" s="1"/>
  <c r="D49" i="16"/>
  <c r="D50" i="16"/>
  <c r="G51" i="16"/>
  <c r="R181" i="2" s="1"/>
  <c r="D53" i="16"/>
  <c r="L54" i="16"/>
  <c r="G15" i="16"/>
  <c r="I180" i="2" s="1"/>
  <c r="P42" i="16"/>
  <c r="D55" i="16" s="1"/>
  <c r="G48" i="16"/>
  <c r="N181" i="2" s="1"/>
  <c r="O70" i="16"/>
  <c r="O71" i="16"/>
  <c r="D35" i="7"/>
  <c r="H35" i="7" s="1"/>
  <c r="D34" i="7"/>
  <c r="E34" i="7" s="1"/>
  <c r="D33" i="7"/>
  <c r="H33" i="7" s="1"/>
  <c r="D32" i="7"/>
  <c r="H32" i="7" s="1"/>
  <c r="E31" i="7"/>
  <c r="G31" i="7" s="1"/>
  <c r="D31" i="7"/>
  <c r="H31" i="7" s="1"/>
  <c r="E30" i="7"/>
  <c r="D30" i="7"/>
  <c r="H30" i="7" s="1"/>
  <c r="E29" i="7"/>
  <c r="F29" i="7" s="1"/>
  <c r="D29" i="7"/>
  <c r="H29" i="7" s="1"/>
  <c r="E28" i="7"/>
  <c r="G28" i="7" s="1"/>
  <c r="D28" i="7"/>
  <c r="H28" i="7" s="1"/>
  <c r="E27" i="7"/>
  <c r="G27" i="7" s="1"/>
  <c r="D27" i="7"/>
  <c r="H27" i="7" s="1"/>
  <c r="E26" i="7"/>
  <c r="D26" i="7"/>
  <c r="H26" i="7" s="1"/>
  <c r="E25" i="7"/>
  <c r="F25" i="7" s="1"/>
  <c r="D25" i="7"/>
  <c r="H25" i="7" s="1"/>
  <c r="K16" i="7"/>
  <c r="I16" i="7"/>
  <c r="J16" i="7" s="1"/>
  <c r="H16" i="7"/>
  <c r="K15" i="7"/>
  <c r="I15" i="7"/>
  <c r="J15" i="7" s="1"/>
  <c r="H15" i="7"/>
  <c r="K14" i="7"/>
  <c r="I14" i="7"/>
  <c r="J14" i="7" s="1"/>
  <c r="H14" i="7"/>
  <c r="K13" i="7"/>
  <c r="I13" i="7"/>
  <c r="J13" i="7" s="1"/>
  <c r="H13" i="7"/>
  <c r="K12" i="7"/>
  <c r="I12" i="7"/>
  <c r="J12" i="7" s="1"/>
  <c r="H12" i="7"/>
  <c r="K11" i="7"/>
  <c r="I11" i="7"/>
  <c r="J11" i="7" s="1"/>
  <c r="H11" i="7"/>
  <c r="K10" i="7"/>
  <c r="I10" i="7"/>
  <c r="J10" i="7" s="1"/>
  <c r="H10" i="7"/>
  <c r="K9" i="7"/>
  <c r="I9" i="7"/>
  <c r="J9" i="7" s="1"/>
  <c r="H9" i="7"/>
  <c r="K8" i="7"/>
  <c r="I8" i="7"/>
  <c r="J8" i="7" s="1"/>
  <c r="H8" i="7"/>
  <c r="K7" i="7"/>
  <c r="I7" i="7"/>
  <c r="J7" i="7" s="1"/>
  <c r="H7" i="7"/>
  <c r="K6" i="7"/>
  <c r="I6" i="7"/>
  <c r="J6" i="7" s="1"/>
  <c r="H6" i="7"/>
  <c r="K5" i="7"/>
  <c r="I5" i="7"/>
  <c r="J5" i="7" s="1"/>
  <c r="H5" i="7"/>
  <c r="K4" i="7"/>
  <c r="I4" i="7"/>
  <c r="J4" i="7" s="1"/>
  <c r="H4" i="7"/>
  <c r="K3" i="7"/>
  <c r="I3" i="7"/>
  <c r="J3" i="7" s="1"/>
  <c r="H3" i="7"/>
  <c r="I439" i="6"/>
  <c r="H439" i="6"/>
  <c r="B439" i="6" s="1"/>
  <c r="A439" i="6"/>
  <c r="I438" i="6"/>
  <c r="J438" i="6" s="1"/>
  <c r="H438" i="6"/>
  <c r="B438" i="6" s="1"/>
  <c r="A438" i="6"/>
  <c r="I437" i="6"/>
  <c r="H437" i="6"/>
  <c r="B437" i="6" s="1"/>
  <c r="A437" i="6"/>
  <c r="I436" i="6"/>
  <c r="H436" i="6"/>
  <c r="B436" i="6" s="1"/>
  <c r="A436" i="6"/>
  <c r="I435" i="6"/>
  <c r="L435" i="6" s="1"/>
  <c r="H435" i="6"/>
  <c r="B435" i="6" s="1"/>
  <c r="A435" i="6"/>
  <c r="L434" i="6"/>
  <c r="J434" i="6"/>
  <c r="I434" i="6"/>
  <c r="H434" i="6"/>
  <c r="B434" i="6"/>
  <c r="A434" i="6"/>
  <c r="I433" i="6"/>
  <c r="L433" i="6" s="1"/>
  <c r="H433" i="6"/>
  <c r="B433" i="6" s="1"/>
  <c r="A433" i="6"/>
  <c r="L432" i="6"/>
  <c r="J432" i="6"/>
  <c r="I432" i="6"/>
  <c r="H432" i="6"/>
  <c r="B432" i="6"/>
  <c r="A432" i="6"/>
  <c r="I431" i="6"/>
  <c r="H431" i="6"/>
  <c r="B431" i="6" s="1"/>
  <c r="A431" i="6"/>
  <c r="I430" i="6"/>
  <c r="L430" i="6" s="1"/>
  <c r="H430" i="6"/>
  <c r="B430" i="6" s="1"/>
  <c r="A430" i="6"/>
  <c r="I429" i="6"/>
  <c r="H429" i="6"/>
  <c r="B429" i="6" s="1"/>
  <c r="A429" i="6"/>
  <c r="I428" i="6"/>
  <c r="H428" i="6"/>
  <c r="B428" i="6" s="1"/>
  <c r="A428" i="6"/>
  <c r="I427" i="6"/>
  <c r="L427" i="6" s="1"/>
  <c r="H427" i="6"/>
  <c r="B427" i="6" s="1"/>
  <c r="A427" i="6"/>
  <c r="L426" i="6"/>
  <c r="J426" i="6"/>
  <c r="I426" i="6"/>
  <c r="H426" i="6"/>
  <c r="B426" i="6"/>
  <c r="A426" i="6"/>
  <c r="I425" i="6"/>
  <c r="L425" i="6" s="1"/>
  <c r="H425" i="6"/>
  <c r="B425" i="6" s="1"/>
  <c r="A425" i="6"/>
  <c r="L424" i="6"/>
  <c r="J424" i="6"/>
  <c r="I424" i="6"/>
  <c r="H424" i="6"/>
  <c r="B424" i="6"/>
  <c r="A424" i="6"/>
  <c r="I423" i="6"/>
  <c r="H423" i="6"/>
  <c r="B423" i="6" s="1"/>
  <c r="A423" i="6"/>
  <c r="I422" i="6"/>
  <c r="H422" i="6"/>
  <c r="B422" i="6" s="1"/>
  <c r="A422" i="6"/>
  <c r="I421" i="6"/>
  <c r="H421" i="6"/>
  <c r="B421" i="6" s="1"/>
  <c r="A421" i="6"/>
  <c r="I420" i="6"/>
  <c r="H420" i="6"/>
  <c r="B420" i="6" s="1"/>
  <c r="A420" i="6"/>
  <c r="I419" i="6"/>
  <c r="L419" i="6" s="1"/>
  <c r="H419" i="6"/>
  <c r="B419" i="6" s="1"/>
  <c r="A419" i="6"/>
  <c r="L418" i="6"/>
  <c r="J418" i="6"/>
  <c r="I418" i="6"/>
  <c r="H418" i="6"/>
  <c r="B418" i="6"/>
  <c r="A418" i="6"/>
  <c r="I417" i="6"/>
  <c r="H417" i="6"/>
  <c r="B417" i="6" s="1"/>
  <c r="A417" i="6"/>
  <c r="L416" i="6"/>
  <c r="I416" i="6"/>
  <c r="J416" i="6" s="1"/>
  <c r="H416" i="6"/>
  <c r="B416" i="6"/>
  <c r="A416" i="6"/>
  <c r="I415" i="6"/>
  <c r="H415" i="6"/>
  <c r="B415" i="6" s="1"/>
  <c r="A415" i="6"/>
  <c r="I414" i="6"/>
  <c r="H414" i="6"/>
  <c r="B414" i="6" s="1"/>
  <c r="A414" i="6"/>
  <c r="I413" i="6"/>
  <c r="H413" i="6"/>
  <c r="B413" i="6" s="1"/>
  <c r="A413" i="6"/>
  <c r="I412" i="6"/>
  <c r="H412" i="6"/>
  <c r="B412" i="6"/>
  <c r="A412" i="6"/>
  <c r="I411" i="6"/>
  <c r="L411" i="6" s="1"/>
  <c r="H411" i="6"/>
  <c r="B411" i="6" s="1"/>
  <c r="A411" i="6"/>
  <c r="L410" i="6"/>
  <c r="J410" i="6"/>
  <c r="I410" i="6"/>
  <c r="H410" i="6"/>
  <c r="B410" i="6"/>
  <c r="A410" i="6"/>
  <c r="I409" i="6"/>
  <c r="H409" i="6"/>
  <c r="B409" i="6" s="1"/>
  <c r="A409" i="6"/>
  <c r="L408" i="6"/>
  <c r="I408" i="6"/>
  <c r="J408" i="6" s="1"/>
  <c r="H408" i="6"/>
  <c r="B408" i="6"/>
  <c r="A408" i="6"/>
  <c r="I407" i="6"/>
  <c r="H407" i="6"/>
  <c r="B407" i="6" s="1"/>
  <c r="A407" i="6"/>
  <c r="I406" i="6"/>
  <c r="H406" i="6"/>
  <c r="B406" i="6" s="1"/>
  <c r="A406" i="6"/>
  <c r="I405" i="6"/>
  <c r="H405" i="6"/>
  <c r="B405" i="6" s="1"/>
  <c r="A405" i="6"/>
  <c r="I404" i="6"/>
  <c r="H404" i="6"/>
  <c r="B404" i="6"/>
  <c r="A404" i="6"/>
  <c r="I403" i="6"/>
  <c r="L403" i="6" s="1"/>
  <c r="H403" i="6"/>
  <c r="B403" i="6" s="1"/>
  <c r="A403" i="6"/>
  <c r="L402" i="6"/>
  <c r="J402" i="6"/>
  <c r="I402" i="6"/>
  <c r="H402" i="6"/>
  <c r="B402" i="6"/>
  <c r="A402" i="6"/>
  <c r="I401" i="6"/>
  <c r="H401" i="6"/>
  <c r="B401" i="6" s="1"/>
  <c r="A401" i="6"/>
  <c r="L400" i="6"/>
  <c r="I400" i="6"/>
  <c r="J400" i="6" s="1"/>
  <c r="H400" i="6"/>
  <c r="B400" i="6"/>
  <c r="A400" i="6"/>
  <c r="I399" i="6"/>
  <c r="H399" i="6"/>
  <c r="B399" i="6" s="1"/>
  <c r="A399" i="6"/>
  <c r="I398" i="6"/>
  <c r="H398" i="6"/>
  <c r="B398" i="6" s="1"/>
  <c r="A398" i="6"/>
  <c r="I397" i="6"/>
  <c r="H397" i="6"/>
  <c r="B397" i="6" s="1"/>
  <c r="A397" i="6"/>
  <c r="I396" i="6"/>
  <c r="H396" i="6"/>
  <c r="B396" i="6"/>
  <c r="A396" i="6"/>
  <c r="I395" i="6"/>
  <c r="L395" i="6" s="1"/>
  <c r="H395" i="6"/>
  <c r="B395" i="6" s="1"/>
  <c r="A395" i="6"/>
  <c r="L394" i="6"/>
  <c r="J394" i="6"/>
  <c r="I394" i="6"/>
  <c r="H394" i="6"/>
  <c r="B394" i="6"/>
  <c r="A394" i="6"/>
  <c r="I393" i="6"/>
  <c r="H393" i="6"/>
  <c r="B393" i="6" s="1"/>
  <c r="A393" i="6"/>
  <c r="L392" i="6"/>
  <c r="I392" i="6"/>
  <c r="J392" i="6" s="1"/>
  <c r="H392" i="6"/>
  <c r="B392" i="6"/>
  <c r="A392" i="6"/>
  <c r="I391" i="6"/>
  <c r="H391" i="6"/>
  <c r="B391" i="6" s="1"/>
  <c r="A391" i="6"/>
  <c r="I390" i="6"/>
  <c r="H390" i="6"/>
  <c r="B390" i="6" s="1"/>
  <c r="A390" i="6"/>
  <c r="I389" i="6"/>
  <c r="H389" i="6"/>
  <c r="B389" i="6" s="1"/>
  <c r="A389" i="6"/>
  <c r="I388" i="6"/>
  <c r="H388" i="6"/>
  <c r="B388" i="6"/>
  <c r="A388" i="6"/>
  <c r="I387" i="6"/>
  <c r="H387" i="6"/>
  <c r="B387" i="6" s="1"/>
  <c r="A387" i="6"/>
  <c r="L386" i="6"/>
  <c r="J386" i="6"/>
  <c r="I386" i="6"/>
  <c r="H386" i="6"/>
  <c r="B386" i="6"/>
  <c r="A386" i="6"/>
  <c r="I385" i="6"/>
  <c r="H385" i="6"/>
  <c r="B385" i="6" s="1"/>
  <c r="A385" i="6"/>
  <c r="L384" i="6"/>
  <c r="I384" i="6"/>
  <c r="J384" i="6" s="1"/>
  <c r="H384" i="6"/>
  <c r="B384" i="6"/>
  <c r="A384" i="6"/>
  <c r="I383" i="6"/>
  <c r="H383" i="6"/>
  <c r="B383" i="6" s="1"/>
  <c r="A383" i="6"/>
  <c r="I382" i="6"/>
  <c r="H382" i="6"/>
  <c r="B382" i="6" s="1"/>
  <c r="A382" i="6"/>
  <c r="I381" i="6"/>
  <c r="H381" i="6"/>
  <c r="B381" i="6" s="1"/>
  <c r="A381" i="6"/>
  <c r="I380" i="6"/>
  <c r="J380" i="6" s="1"/>
  <c r="H380" i="6"/>
  <c r="A380" i="6"/>
  <c r="I379" i="6"/>
  <c r="H379" i="6"/>
  <c r="B379" i="6" s="1"/>
  <c r="A379" i="6"/>
  <c r="I378" i="6"/>
  <c r="J378" i="6" s="1"/>
  <c r="H378" i="6"/>
  <c r="L378" i="6" s="1"/>
  <c r="A378" i="6"/>
  <c r="I377" i="6"/>
  <c r="H377" i="6"/>
  <c r="B377" i="6" s="1"/>
  <c r="A377" i="6"/>
  <c r="I376" i="6"/>
  <c r="J376" i="6" s="1"/>
  <c r="H376" i="6"/>
  <c r="L376" i="6" s="1"/>
  <c r="A376" i="6"/>
  <c r="I375" i="6"/>
  <c r="H375" i="6"/>
  <c r="B375" i="6" s="1"/>
  <c r="A375" i="6"/>
  <c r="J374" i="6"/>
  <c r="I374" i="6"/>
  <c r="H374" i="6"/>
  <c r="L374" i="6" s="1"/>
  <c r="A374" i="6"/>
  <c r="I373" i="6"/>
  <c r="L373" i="6" s="1"/>
  <c r="H373" i="6"/>
  <c r="B373" i="6" s="1"/>
  <c r="A373" i="6"/>
  <c r="I372" i="6"/>
  <c r="J372" i="6" s="1"/>
  <c r="H372" i="6"/>
  <c r="A372" i="6"/>
  <c r="I371" i="6"/>
  <c r="H371" i="6"/>
  <c r="B371" i="6" s="1"/>
  <c r="A371" i="6"/>
  <c r="I370" i="6"/>
  <c r="J370" i="6" s="1"/>
  <c r="H370" i="6"/>
  <c r="L370" i="6" s="1"/>
  <c r="A370" i="6"/>
  <c r="I369" i="6"/>
  <c r="H369" i="6"/>
  <c r="B369" i="6" s="1"/>
  <c r="A369" i="6"/>
  <c r="I368" i="6"/>
  <c r="J368" i="6" s="1"/>
  <c r="H368" i="6"/>
  <c r="L368" i="6" s="1"/>
  <c r="A368" i="6"/>
  <c r="I367" i="6"/>
  <c r="H367" i="6"/>
  <c r="B367" i="6" s="1"/>
  <c r="A367" i="6"/>
  <c r="J366" i="6"/>
  <c r="I366" i="6"/>
  <c r="H366" i="6"/>
  <c r="L366" i="6" s="1"/>
  <c r="A366" i="6"/>
  <c r="I365" i="6"/>
  <c r="L365" i="6" s="1"/>
  <c r="H365" i="6"/>
  <c r="B365" i="6" s="1"/>
  <c r="A365" i="6"/>
  <c r="I364" i="6"/>
  <c r="J364" i="6" s="1"/>
  <c r="H364" i="6"/>
  <c r="A364" i="6"/>
  <c r="I363" i="6"/>
  <c r="H363" i="6"/>
  <c r="B363" i="6" s="1"/>
  <c r="A363" i="6"/>
  <c r="I362" i="6"/>
  <c r="J362" i="6" s="1"/>
  <c r="H362" i="6"/>
  <c r="L362" i="6" s="1"/>
  <c r="A362" i="6"/>
  <c r="I361" i="6"/>
  <c r="H361" i="6"/>
  <c r="B361" i="6" s="1"/>
  <c r="A361" i="6"/>
  <c r="I360" i="6"/>
  <c r="J360" i="6" s="1"/>
  <c r="H360" i="6"/>
  <c r="L360" i="6" s="1"/>
  <c r="A360" i="6"/>
  <c r="I359" i="6"/>
  <c r="H359" i="6"/>
  <c r="B359" i="6" s="1"/>
  <c r="A359" i="6"/>
  <c r="J358" i="6"/>
  <c r="I358" i="6"/>
  <c r="H358" i="6"/>
  <c r="L358" i="6" s="1"/>
  <c r="A358" i="6"/>
  <c r="I357" i="6"/>
  <c r="L357" i="6" s="1"/>
  <c r="H357" i="6"/>
  <c r="B357" i="6" s="1"/>
  <c r="A357" i="6"/>
  <c r="I356" i="6"/>
  <c r="J356" i="6" s="1"/>
  <c r="H356" i="6"/>
  <c r="A356" i="6"/>
  <c r="I355" i="6"/>
  <c r="H355" i="6"/>
  <c r="B355" i="6" s="1"/>
  <c r="A355" i="6"/>
  <c r="I354" i="6"/>
  <c r="H354" i="6"/>
  <c r="B354" i="6"/>
  <c r="A354" i="6"/>
  <c r="I353" i="6"/>
  <c r="H353" i="6"/>
  <c r="B353" i="6"/>
  <c r="A353" i="6"/>
  <c r="L352" i="6"/>
  <c r="I352" i="6"/>
  <c r="J352" i="6" s="1"/>
  <c r="H352" i="6"/>
  <c r="B352" i="6"/>
  <c r="A352" i="6"/>
  <c r="I351" i="6"/>
  <c r="H351" i="6"/>
  <c r="B351" i="6"/>
  <c r="A351" i="6"/>
  <c r="I350" i="6"/>
  <c r="J350" i="6" s="1"/>
  <c r="H350" i="6"/>
  <c r="B350" i="6"/>
  <c r="A350" i="6"/>
  <c r="I349" i="6"/>
  <c r="H349" i="6"/>
  <c r="B349" i="6"/>
  <c r="A349" i="6"/>
  <c r="I348" i="6"/>
  <c r="J348" i="6" s="1"/>
  <c r="H348" i="6"/>
  <c r="B348" i="6" s="1"/>
  <c r="A348" i="6"/>
  <c r="I347" i="6"/>
  <c r="H347" i="6"/>
  <c r="B347" i="6" s="1"/>
  <c r="A347" i="6"/>
  <c r="I346" i="6"/>
  <c r="H346" i="6"/>
  <c r="B346" i="6"/>
  <c r="A346" i="6"/>
  <c r="I345" i="6"/>
  <c r="H345" i="6"/>
  <c r="B345" i="6"/>
  <c r="A345" i="6"/>
  <c r="L344" i="6"/>
  <c r="I344" i="6"/>
  <c r="J344" i="6" s="1"/>
  <c r="H344" i="6"/>
  <c r="B344" i="6"/>
  <c r="A344" i="6"/>
  <c r="I343" i="6"/>
  <c r="H343" i="6"/>
  <c r="B343" i="6"/>
  <c r="A343" i="6"/>
  <c r="I342" i="6"/>
  <c r="J342" i="6" s="1"/>
  <c r="H342" i="6"/>
  <c r="B342" i="6"/>
  <c r="A342" i="6"/>
  <c r="I341" i="6"/>
  <c r="H341" i="6"/>
  <c r="B341" i="6"/>
  <c r="A341" i="6"/>
  <c r="I340" i="6"/>
  <c r="J340" i="6" s="1"/>
  <c r="H340" i="6"/>
  <c r="B340" i="6" s="1"/>
  <c r="A340" i="6"/>
  <c r="I339" i="6"/>
  <c r="H339" i="6"/>
  <c r="B339" i="6" s="1"/>
  <c r="A339" i="6"/>
  <c r="I338" i="6"/>
  <c r="H338" i="6"/>
  <c r="B338" i="6"/>
  <c r="A338" i="6"/>
  <c r="I337" i="6"/>
  <c r="H337" i="6"/>
  <c r="B337" i="6"/>
  <c r="A337" i="6"/>
  <c r="L336" i="6"/>
  <c r="I336" i="6"/>
  <c r="J336" i="6" s="1"/>
  <c r="H336" i="6"/>
  <c r="B336" i="6"/>
  <c r="A336" i="6"/>
  <c r="I335" i="6"/>
  <c r="H335" i="6"/>
  <c r="B335" i="6"/>
  <c r="A335" i="6"/>
  <c r="I334" i="6"/>
  <c r="J334" i="6" s="1"/>
  <c r="H334" i="6"/>
  <c r="B334" i="6"/>
  <c r="A334" i="6"/>
  <c r="I333" i="6"/>
  <c r="H333" i="6"/>
  <c r="B333" i="6"/>
  <c r="A333" i="6"/>
  <c r="I332" i="6"/>
  <c r="J332" i="6" s="1"/>
  <c r="H332" i="6"/>
  <c r="B332" i="6" s="1"/>
  <c r="A332" i="6"/>
  <c r="I331" i="6"/>
  <c r="H331" i="6"/>
  <c r="B331" i="6" s="1"/>
  <c r="A331" i="6"/>
  <c r="I330" i="6"/>
  <c r="H330" i="6"/>
  <c r="B330" i="6"/>
  <c r="A330" i="6"/>
  <c r="I329" i="6"/>
  <c r="H329" i="6"/>
  <c r="B329" i="6"/>
  <c r="A329" i="6"/>
  <c r="L328" i="6"/>
  <c r="I328" i="6"/>
  <c r="J328" i="6" s="1"/>
  <c r="H328" i="6"/>
  <c r="B328" i="6"/>
  <c r="A328" i="6"/>
  <c r="I327" i="6"/>
  <c r="H327" i="6"/>
  <c r="B327" i="6"/>
  <c r="A327" i="6"/>
  <c r="I326" i="6"/>
  <c r="J326" i="6" s="1"/>
  <c r="H326" i="6"/>
  <c r="B326" i="6"/>
  <c r="A326" i="6"/>
  <c r="I325" i="6"/>
  <c r="H325" i="6"/>
  <c r="B325" i="6"/>
  <c r="A325" i="6"/>
  <c r="I324" i="6"/>
  <c r="J324" i="6" s="1"/>
  <c r="H324" i="6"/>
  <c r="B324" i="6" s="1"/>
  <c r="A324" i="6"/>
  <c r="I323" i="6"/>
  <c r="H323" i="6"/>
  <c r="B323" i="6" s="1"/>
  <c r="A323" i="6"/>
  <c r="I322" i="6"/>
  <c r="H322" i="6"/>
  <c r="B322" i="6"/>
  <c r="A322" i="6"/>
  <c r="I321" i="6"/>
  <c r="H321" i="6"/>
  <c r="B321" i="6"/>
  <c r="A321" i="6"/>
  <c r="L320" i="6"/>
  <c r="I320" i="6"/>
  <c r="J320" i="6" s="1"/>
  <c r="H320" i="6"/>
  <c r="B320" i="6"/>
  <c r="A320" i="6"/>
  <c r="I319" i="6"/>
  <c r="H319" i="6"/>
  <c r="B319" i="6"/>
  <c r="A319" i="6"/>
  <c r="I318" i="6"/>
  <c r="J318" i="6" s="1"/>
  <c r="H318" i="6"/>
  <c r="B318" i="6"/>
  <c r="A318" i="6"/>
  <c r="I317" i="6"/>
  <c r="H317" i="6"/>
  <c r="B317" i="6"/>
  <c r="A317" i="6"/>
  <c r="I316" i="6"/>
  <c r="J316" i="6" s="1"/>
  <c r="H316" i="6"/>
  <c r="B316" i="6" s="1"/>
  <c r="A316" i="6"/>
  <c r="I315" i="6"/>
  <c r="H315" i="6"/>
  <c r="B315" i="6" s="1"/>
  <c r="A315" i="6"/>
  <c r="I314" i="6"/>
  <c r="J314" i="6" s="1"/>
  <c r="H314" i="6"/>
  <c r="B314" i="6" s="1"/>
  <c r="A314" i="6"/>
  <c r="I313" i="6"/>
  <c r="H313" i="6"/>
  <c r="B313" i="6" s="1"/>
  <c r="A313" i="6"/>
  <c r="I312" i="6"/>
  <c r="H312" i="6"/>
  <c r="B312" i="6" s="1"/>
  <c r="A312" i="6"/>
  <c r="I311" i="6"/>
  <c r="H311" i="6"/>
  <c r="B311" i="6" s="1"/>
  <c r="A311" i="6"/>
  <c r="L310" i="6"/>
  <c r="J310" i="6"/>
  <c r="I310" i="6"/>
  <c r="H310" i="6"/>
  <c r="B310" i="6"/>
  <c r="A310" i="6"/>
  <c r="I309" i="6"/>
  <c r="H309" i="6"/>
  <c r="B309" i="6" s="1"/>
  <c r="A309" i="6"/>
  <c r="L308" i="6"/>
  <c r="I308" i="6"/>
  <c r="J308" i="6" s="1"/>
  <c r="H308" i="6"/>
  <c r="B308" i="6"/>
  <c r="A308" i="6"/>
  <c r="I307" i="6"/>
  <c r="H307" i="6"/>
  <c r="B307" i="6" s="1"/>
  <c r="A307" i="6"/>
  <c r="I306" i="6"/>
  <c r="L306" i="6" s="1"/>
  <c r="H306" i="6"/>
  <c r="B306" i="6" s="1"/>
  <c r="A306" i="6"/>
  <c r="I305" i="6"/>
  <c r="H305" i="6"/>
  <c r="B305" i="6" s="1"/>
  <c r="A305" i="6"/>
  <c r="I304" i="6"/>
  <c r="H304" i="6"/>
  <c r="B304" i="6" s="1"/>
  <c r="A304" i="6"/>
  <c r="I303" i="6"/>
  <c r="H303" i="6"/>
  <c r="B303" i="6" s="1"/>
  <c r="A303" i="6"/>
  <c r="L302" i="6"/>
  <c r="J302" i="6"/>
  <c r="I302" i="6"/>
  <c r="H302" i="6"/>
  <c r="B302" i="6"/>
  <c r="A302" i="6"/>
  <c r="I301" i="6"/>
  <c r="H301" i="6"/>
  <c r="B301" i="6" s="1"/>
  <c r="A301" i="6"/>
  <c r="L300" i="6"/>
  <c r="I300" i="6"/>
  <c r="J300" i="6" s="1"/>
  <c r="H300" i="6"/>
  <c r="B300" i="6"/>
  <c r="A300" i="6"/>
  <c r="I299" i="6"/>
  <c r="H299" i="6"/>
  <c r="B299" i="6" s="1"/>
  <c r="A299" i="6"/>
  <c r="I298" i="6"/>
  <c r="H298" i="6"/>
  <c r="B298" i="6" s="1"/>
  <c r="A298" i="6"/>
  <c r="I297" i="6"/>
  <c r="H297" i="6"/>
  <c r="B297" i="6" s="1"/>
  <c r="A297" i="6"/>
  <c r="I296" i="6"/>
  <c r="H296" i="6"/>
  <c r="B296" i="6" s="1"/>
  <c r="A296" i="6"/>
  <c r="I295" i="6"/>
  <c r="H295" i="6"/>
  <c r="B295" i="6" s="1"/>
  <c r="A295" i="6"/>
  <c r="L294" i="6"/>
  <c r="J294" i="6"/>
  <c r="I294" i="6"/>
  <c r="H294" i="6"/>
  <c r="B294" i="6"/>
  <c r="A294" i="6"/>
  <c r="I293" i="6"/>
  <c r="H293" i="6"/>
  <c r="B293" i="6" s="1"/>
  <c r="A293" i="6"/>
  <c r="L292" i="6"/>
  <c r="I292" i="6"/>
  <c r="J292" i="6" s="1"/>
  <c r="H292" i="6"/>
  <c r="B292" i="6"/>
  <c r="A292" i="6"/>
  <c r="I291" i="6"/>
  <c r="H291" i="6"/>
  <c r="B291" i="6" s="1"/>
  <c r="A291" i="6"/>
  <c r="I290" i="6"/>
  <c r="L290" i="6" s="1"/>
  <c r="H290" i="6"/>
  <c r="B290" i="6" s="1"/>
  <c r="A290" i="6"/>
  <c r="I289" i="6"/>
  <c r="H289" i="6"/>
  <c r="B289" i="6" s="1"/>
  <c r="A289" i="6"/>
  <c r="I288" i="6"/>
  <c r="H288" i="6"/>
  <c r="B288" i="6" s="1"/>
  <c r="A288" i="6"/>
  <c r="I287" i="6"/>
  <c r="H287" i="6"/>
  <c r="B287" i="6" s="1"/>
  <c r="A287" i="6"/>
  <c r="L286" i="6"/>
  <c r="J286" i="6"/>
  <c r="I286" i="6"/>
  <c r="H286" i="6"/>
  <c r="B286" i="6"/>
  <c r="A286" i="6"/>
  <c r="I285" i="6"/>
  <c r="H285" i="6"/>
  <c r="B285" i="6" s="1"/>
  <c r="A285" i="6"/>
  <c r="I284" i="6"/>
  <c r="J284" i="6" s="1"/>
  <c r="H284" i="6"/>
  <c r="L284" i="6" s="1"/>
  <c r="B284" i="6"/>
  <c r="A284" i="6"/>
  <c r="I283" i="6"/>
  <c r="H283" i="6"/>
  <c r="B283" i="6" s="1"/>
  <c r="A283" i="6"/>
  <c r="I282" i="6"/>
  <c r="H282" i="6"/>
  <c r="B282" i="6" s="1"/>
  <c r="A282" i="6"/>
  <c r="I281" i="6"/>
  <c r="H281" i="6"/>
  <c r="B281" i="6" s="1"/>
  <c r="A281" i="6"/>
  <c r="I280" i="6"/>
  <c r="H280" i="6"/>
  <c r="B280" i="6" s="1"/>
  <c r="A280" i="6"/>
  <c r="I279" i="6"/>
  <c r="H279" i="6"/>
  <c r="B279" i="6" s="1"/>
  <c r="A279" i="6"/>
  <c r="J278" i="6"/>
  <c r="I278" i="6"/>
  <c r="H278" i="6"/>
  <c r="A278" i="6"/>
  <c r="I277" i="6"/>
  <c r="L277" i="6" s="1"/>
  <c r="H277" i="6"/>
  <c r="B277" i="6" s="1"/>
  <c r="A277" i="6"/>
  <c r="I276" i="6"/>
  <c r="J276" i="6" s="1"/>
  <c r="H276" i="6"/>
  <c r="L276" i="6" s="1"/>
  <c r="A276" i="6"/>
  <c r="I275" i="6"/>
  <c r="H275" i="6"/>
  <c r="B275" i="6" s="1"/>
  <c r="A275" i="6"/>
  <c r="J274" i="6"/>
  <c r="I274" i="6"/>
  <c r="H274" i="6"/>
  <c r="L274" i="6" s="1"/>
  <c r="A274" i="6"/>
  <c r="I273" i="6"/>
  <c r="L273" i="6" s="1"/>
  <c r="H273" i="6"/>
  <c r="B273" i="6" s="1"/>
  <c r="A273" i="6"/>
  <c r="J272" i="6"/>
  <c r="I272" i="6"/>
  <c r="H272" i="6"/>
  <c r="A272" i="6"/>
  <c r="I271" i="6"/>
  <c r="L271" i="6" s="1"/>
  <c r="H271" i="6"/>
  <c r="B271" i="6" s="1"/>
  <c r="A271" i="6"/>
  <c r="I270" i="6"/>
  <c r="J270" i="6" s="1"/>
  <c r="H270" i="6"/>
  <c r="A270" i="6"/>
  <c r="I269" i="6"/>
  <c r="H269" i="6"/>
  <c r="B269" i="6" s="1"/>
  <c r="A269" i="6"/>
  <c r="I268" i="6"/>
  <c r="J268" i="6" s="1"/>
  <c r="H268" i="6"/>
  <c r="A268" i="6"/>
  <c r="I267" i="6"/>
  <c r="H267" i="6"/>
  <c r="B267" i="6" s="1"/>
  <c r="A267" i="6"/>
  <c r="J266" i="6"/>
  <c r="I266" i="6"/>
  <c r="H266" i="6"/>
  <c r="L266" i="6" s="1"/>
  <c r="A266" i="6"/>
  <c r="I265" i="6"/>
  <c r="L265" i="6" s="1"/>
  <c r="H265" i="6"/>
  <c r="B265" i="6" s="1"/>
  <c r="A265" i="6"/>
  <c r="J264" i="6"/>
  <c r="I264" i="6"/>
  <c r="H264" i="6"/>
  <c r="A264" i="6"/>
  <c r="I263" i="6"/>
  <c r="L263" i="6" s="1"/>
  <c r="H263" i="6"/>
  <c r="B263" i="6" s="1"/>
  <c r="A263" i="6"/>
  <c r="J262" i="6"/>
  <c r="I262" i="6"/>
  <c r="H262" i="6"/>
  <c r="A262" i="6"/>
  <c r="I261" i="6"/>
  <c r="L261" i="6" s="1"/>
  <c r="H261" i="6"/>
  <c r="B261" i="6" s="1"/>
  <c r="A261" i="6"/>
  <c r="I260" i="6"/>
  <c r="J260" i="6" s="1"/>
  <c r="H260" i="6"/>
  <c r="L260" i="6" s="1"/>
  <c r="A260" i="6"/>
  <c r="I259" i="6"/>
  <c r="H259" i="6"/>
  <c r="B259" i="6" s="1"/>
  <c r="A259" i="6"/>
  <c r="J258" i="6"/>
  <c r="I258" i="6"/>
  <c r="H258" i="6"/>
  <c r="L258" i="6" s="1"/>
  <c r="A258" i="6"/>
  <c r="I257" i="6"/>
  <c r="L257" i="6" s="1"/>
  <c r="H257" i="6"/>
  <c r="B257" i="6" s="1"/>
  <c r="A257" i="6"/>
  <c r="J256" i="6"/>
  <c r="I256" i="6"/>
  <c r="H256" i="6"/>
  <c r="A256" i="6"/>
  <c r="I255" i="6"/>
  <c r="L255" i="6" s="1"/>
  <c r="H255" i="6"/>
  <c r="B255" i="6" s="1"/>
  <c r="A255" i="6"/>
  <c r="I254" i="6"/>
  <c r="J254" i="6" s="1"/>
  <c r="H254" i="6"/>
  <c r="A254" i="6"/>
  <c r="I253" i="6"/>
  <c r="H253" i="6"/>
  <c r="B253" i="6" s="1"/>
  <c r="A253" i="6"/>
  <c r="I252" i="6"/>
  <c r="J252" i="6" s="1"/>
  <c r="H252" i="6"/>
  <c r="A252" i="6"/>
  <c r="I251" i="6"/>
  <c r="H251" i="6"/>
  <c r="B251" i="6" s="1"/>
  <c r="A251" i="6"/>
  <c r="J250" i="6"/>
  <c r="I250" i="6"/>
  <c r="H250" i="6"/>
  <c r="B250" i="6" s="1"/>
  <c r="A250" i="6"/>
  <c r="J249" i="6"/>
  <c r="I249" i="6"/>
  <c r="H249" i="6"/>
  <c r="L249" i="6" s="1"/>
  <c r="A249" i="6"/>
  <c r="J248" i="6"/>
  <c r="I248" i="6"/>
  <c r="H248" i="6"/>
  <c r="B248" i="6" s="1"/>
  <c r="A248" i="6"/>
  <c r="J247" i="6"/>
  <c r="I247" i="6"/>
  <c r="H247" i="6"/>
  <c r="L247" i="6" s="1"/>
  <c r="A247" i="6"/>
  <c r="J246" i="6"/>
  <c r="I246" i="6"/>
  <c r="H246" i="6"/>
  <c r="B246" i="6" s="1"/>
  <c r="A246" i="6"/>
  <c r="I245" i="6"/>
  <c r="J245" i="6" s="1"/>
  <c r="H245" i="6"/>
  <c r="L245" i="6" s="1"/>
  <c r="A245" i="6"/>
  <c r="I244" i="6"/>
  <c r="H244" i="6"/>
  <c r="B244" i="6" s="1"/>
  <c r="A244" i="6"/>
  <c r="I243" i="6"/>
  <c r="J243" i="6" s="1"/>
  <c r="H243" i="6"/>
  <c r="L243" i="6" s="1"/>
  <c r="A243" i="6"/>
  <c r="I242" i="6"/>
  <c r="H242" i="6"/>
  <c r="B242" i="6" s="1"/>
  <c r="A242" i="6"/>
  <c r="I241" i="6"/>
  <c r="J241" i="6" s="1"/>
  <c r="H241" i="6"/>
  <c r="A241" i="6"/>
  <c r="I240" i="6"/>
  <c r="H240" i="6"/>
  <c r="B240" i="6" s="1"/>
  <c r="A240" i="6"/>
  <c r="I239" i="6"/>
  <c r="J239" i="6" s="1"/>
  <c r="H239" i="6"/>
  <c r="A239" i="6"/>
  <c r="I238" i="6"/>
  <c r="H238" i="6"/>
  <c r="B238" i="6" s="1"/>
  <c r="A238" i="6"/>
  <c r="I237" i="6"/>
  <c r="J237" i="6" s="1"/>
  <c r="H237" i="6"/>
  <c r="A237" i="6"/>
  <c r="I236" i="6"/>
  <c r="H236" i="6"/>
  <c r="B236" i="6" s="1"/>
  <c r="A236" i="6"/>
  <c r="I235" i="6"/>
  <c r="J235" i="6" s="1"/>
  <c r="H235" i="6"/>
  <c r="A235" i="6"/>
  <c r="I234" i="6"/>
  <c r="J234" i="6" s="1"/>
  <c r="H234" i="6"/>
  <c r="B234" i="6" s="1"/>
  <c r="A234" i="6"/>
  <c r="I233" i="6"/>
  <c r="J233" i="6" s="1"/>
  <c r="H233" i="6"/>
  <c r="A233" i="6"/>
  <c r="I232" i="6"/>
  <c r="J232" i="6" s="1"/>
  <c r="H232" i="6"/>
  <c r="B232" i="6" s="1"/>
  <c r="A232" i="6"/>
  <c r="I231" i="6"/>
  <c r="J231" i="6" s="1"/>
  <c r="H231" i="6"/>
  <c r="A231" i="6"/>
  <c r="I230" i="6"/>
  <c r="J230" i="6" s="1"/>
  <c r="H230" i="6"/>
  <c r="B230" i="6" s="1"/>
  <c r="A230" i="6"/>
  <c r="I229" i="6"/>
  <c r="J229" i="6" s="1"/>
  <c r="H229" i="6"/>
  <c r="A229" i="6"/>
  <c r="I228" i="6"/>
  <c r="J228" i="6" s="1"/>
  <c r="H228" i="6"/>
  <c r="B228" i="6" s="1"/>
  <c r="A228" i="6"/>
  <c r="I227" i="6"/>
  <c r="J227" i="6" s="1"/>
  <c r="H227" i="6"/>
  <c r="A227" i="6"/>
  <c r="I226" i="6"/>
  <c r="J226" i="6" s="1"/>
  <c r="H226" i="6"/>
  <c r="B226" i="6" s="1"/>
  <c r="A226" i="6"/>
  <c r="I224" i="6"/>
  <c r="J224" i="6" s="1"/>
  <c r="H224" i="6"/>
  <c r="A224" i="6"/>
  <c r="I223" i="6"/>
  <c r="J223" i="6" s="1"/>
  <c r="H223" i="6"/>
  <c r="B223" i="6" s="1"/>
  <c r="A223" i="6"/>
  <c r="I222" i="6"/>
  <c r="J222" i="6" s="1"/>
  <c r="H222" i="6"/>
  <c r="A222" i="6"/>
  <c r="I221" i="6"/>
  <c r="J221" i="6" s="1"/>
  <c r="H221" i="6"/>
  <c r="B221" i="6" s="1"/>
  <c r="A221" i="6"/>
  <c r="I220" i="6"/>
  <c r="J220" i="6" s="1"/>
  <c r="H220" i="6"/>
  <c r="A220" i="6"/>
  <c r="I219" i="6"/>
  <c r="J219" i="6" s="1"/>
  <c r="H219" i="6"/>
  <c r="B219" i="6" s="1"/>
  <c r="A219" i="6"/>
  <c r="I218" i="6"/>
  <c r="J218" i="6" s="1"/>
  <c r="H218" i="6"/>
  <c r="A218" i="6"/>
  <c r="I217" i="6"/>
  <c r="J217" i="6" s="1"/>
  <c r="H217" i="6"/>
  <c r="B217" i="6" s="1"/>
  <c r="A217" i="6"/>
  <c r="I216" i="6"/>
  <c r="J216" i="6" s="1"/>
  <c r="H216" i="6"/>
  <c r="A216" i="6"/>
  <c r="I215" i="6"/>
  <c r="J215" i="6" s="1"/>
  <c r="H215" i="6"/>
  <c r="B215" i="6" s="1"/>
  <c r="A215" i="6"/>
  <c r="I214" i="6"/>
  <c r="J214" i="6" s="1"/>
  <c r="H214" i="6"/>
  <c r="A214" i="6"/>
  <c r="I213" i="6"/>
  <c r="J213" i="6" s="1"/>
  <c r="H213" i="6"/>
  <c r="B213" i="6" s="1"/>
  <c r="A213" i="6"/>
  <c r="I212" i="6"/>
  <c r="J212" i="6" s="1"/>
  <c r="H212" i="6"/>
  <c r="A212" i="6"/>
  <c r="I211" i="6"/>
  <c r="J211" i="6" s="1"/>
  <c r="H211" i="6"/>
  <c r="B211" i="6" s="1"/>
  <c r="A211" i="6"/>
  <c r="I210" i="6"/>
  <c r="J210" i="6" s="1"/>
  <c r="H210" i="6"/>
  <c r="A210" i="6"/>
  <c r="I209" i="6"/>
  <c r="J209" i="6" s="1"/>
  <c r="H209" i="6"/>
  <c r="B209" i="6" s="1"/>
  <c r="A209" i="6"/>
  <c r="I208" i="6"/>
  <c r="J208" i="6" s="1"/>
  <c r="H208" i="6"/>
  <c r="A208" i="6"/>
  <c r="I207" i="6"/>
  <c r="J207" i="6" s="1"/>
  <c r="H207" i="6"/>
  <c r="B207" i="6" s="1"/>
  <c r="A207" i="6"/>
  <c r="I206" i="6"/>
  <c r="J206" i="6" s="1"/>
  <c r="H206" i="6"/>
  <c r="A206" i="6"/>
  <c r="I205" i="6"/>
  <c r="J205" i="6" s="1"/>
  <c r="H205" i="6"/>
  <c r="B205" i="6" s="1"/>
  <c r="A205" i="6"/>
  <c r="I204" i="6"/>
  <c r="J204" i="6" s="1"/>
  <c r="H204" i="6"/>
  <c r="A204" i="6"/>
  <c r="I203" i="6"/>
  <c r="J203" i="6" s="1"/>
  <c r="H203" i="6"/>
  <c r="B203" i="6" s="1"/>
  <c r="A203" i="6"/>
  <c r="I202" i="6"/>
  <c r="J202" i="6" s="1"/>
  <c r="H202" i="6"/>
  <c r="A202" i="6"/>
  <c r="I201" i="6"/>
  <c r="J201" i="6" s="1"/>
  <c r="H201" i="6"/>
  <c r="B201" i="6" s="1"/>
  <c r="A201" i="6"/>
  <c r="I200" i="6"/>
  <c r="J200" i="6" s="1"/>
  <c r="H200" i="6"/>
  <c r="A200" i="6"/>
  <c r="I199" i="6"/>
  <c r="J199" i="6" s="1"/>
  <c r="H199" i="6"/>
  <c r="B199" i="6" s="1"/>
  <c r="A199" i="6"/>
  <c r="I198" i="6"/>
  <c r="J198" i="6" s="1"/>
  <c r="H198" i="6"/>
  <c r="A198" i="6"/>
  <c r="I197" i="6"/>
  <c r="J197" i="6" s="1"/>
  <c r="H197" i="6"/>
  <c r="B197" i="6" s="1"/>
  <c r="A197" i="6"/>
  <c r="I196" i="6"/>
  <c r="J196" i="6" s="1"/>
  <c r="H196" i="6"/>
  <c r="A196" i="6"/>
  <c r="I195" i="6"/>
  <c r="J195" i="6" s="1"/>
  <c r="H195" i="6"/>
  <c r="B195" i="6" s="1"/>
  <c r="A195" i="6"/>
  <c r="I194" i="6"/>
  <c r="J194" i="6" s="1"/>
  <c r="H194" i="6"/>
  <c r="A194" i="6"/>
  <c r="I193" i="6"/>
  <c r="J193" i="6" s="1"/>
  <c r="H193" i="6"/>
  <c r="B193" i="6" s="1"/>
  <c r="A193" i="6"/>
  <c r="I192" i="6"/>
  <c r="J192" i="6" s="1"/>
  <c r="H192" i="6"/>
  <c r="A192" i="6"/>
  <c r="I191" i="6"/>
  <c r="J191" i="6" s="1"/>
  <c r="H191" i="6"/>
  <c r="B191" i="6" s="1"/>
  <c r="A191" i="6"/>
  <c r="I190" i="6"/>
  <c r="J190" i="6" s="1"/>
  <c r="H190" i="6"/>
  <c r="A190" i="6"/>
  <c r="I189" i="6"/>
  <c r="J189" i="6" s="1"/>
  <c r="H189" i="6"/>
  <c r="B189" i="6" s="1"/>
  <c r="A189" i="6"/>
  <c r="I188" i="6"/>
  <c r="J188" i="6" s="1"/>
  <c r="H188" i="6"/>
  <c r="B188" i="6"/>
  <c r="A188" i="6"/>
  <c r="I187" i="6"/>
  <c r="J187" i="6" s="1"/>
  <c r="H187" i="6"/>
  <c r="B187" i="6" s="1"/>
  <c r="A187" i="6"/>
  <c r="I186" i="6"/>
  <c r="J186" i="6" s="1"/>
  <c r="H186" i="6"/>
  <c r="A186" i="6"/>
  <c r="I185" i="6"/>
  <c r="H185" i="6"/>
  <c r="B185" i="6" s="1"/>
  <c r="A185" i="6"/>
  <c r="J184" i="6"/>
  <c r="I184" i="6"/>
  <c r="H184" i="6"/>
  <c r="B184" i="6" s="1"/>
  <c r="A184" i="6"/>
  <c r="I183" i="6"/>
  <c r="J183" i="6" s="1"/>
  <c r="H183" i="6"/>
  <c r="B183" i="6" s="1"/>
  <c r="A183" i="6"/>
  <c r="J182" i="6"/>
  <c r="I182" i="6"/>
  <c r="H182" i="6"/>
  <c r="L182" i="6" s="1"/>
  <c r="A182" i="6"/>
  <c r="I181" i="6"/>
  <c r="H181" i="6"/>
  <c r="B181" i="6"/>
  <c r="A181" i="6"/>
  <c r="I180" i="6"/>
  <c r="J180" i="6" s="1"/>
  <c r="H180" i="6"/>
  <c r="B180" i="6" s="1"/>
  <c r="A180" i="6"/>
  <c r="J179" i="6"/>
  <c r="I179" i="6"/>
  <c r="H179" i="6"/>
  <c r="A179" i="6"/>
  <c r="I178" i="6"/>
  <c r="J178" i="6" s="1"/>
  <c r="H178" i="6"/>
  <c r="B178" i="6" s="1"/>
  <c r="A178" i="6"/>
  <c r="I177" i="6"/>
  <c r="J177" i="6" s="1"/>
  <c r="H177" i="6"/>
  <c r="B177" i="6"/>
  <c r="A177" i="6"/>
  <c r="I176" i="6"/>
  <c r="J176" i="6" s="1"/>
  <c r="H176" i="6"/>
  <c r="B176" i="6" s="1"/>
  <c r="A176" i="6"/>
  <c r="J175" i="6"/>
  <c r="I175" i="6"/>
  <c r="H175" i="6"/>
  <c r="B175" i="6" s="1"/>
  <c r="A175" i="6"/>
  <c r="I174" i="6"/>
  <c r="J174" i="6" s="1"/>
  <c r="H174" i="6"/>
  <c r="B174" i="6" s="1"/>
  <c r="A174" i="6"/>
  <c r="I173" i="6"/>
  <c r="J173" i="6" s="1"/>
  <c r="H173" i="6"/>
  <c r="B173" i="6"/>
  <c r="A173" i="6"/>
  <c r="I172" i="6"/>
  <c r="J172" i="6" s="1"/>
  <c r="H172" i="6"/>
  <c r="B172" i="6" s="1"/>
  <c r="A172" i="6"/>
  <c r="J171" i="6"/>
  <c r="I171" i="6"/>
  <c r="H171" i="6"/>
  <c r="A171" i="6"/>
  <c r="I170" i="6"/>
  <c r="J170" i="6" s="1"/>
  <c r="H170" i="6"/>
  <c r="B170" i="6" s="1"/>
  <c r="A170" i="6"/>
  <c r="L169" i="6"/>
  <c r="I169" i="6"/>
  <c r="J169" i="6" s="1"/>
  <c r="H169" i="6"/>
  <c r="B169" i="6"/>
  <c r="A169" i="6"/>
  <c r="I168" i="6"/>
  <c r="J168" i="6" s="1"/>
  <c r="H168" i="6"/>
  <c r="B168" i="6" s="1"/>
  <c r="A168" i="6"/>
  <c r="J167" i="6"/>
  <c r="I167" i="6"/>
  <c r="H167" i="6"/>
  <c r="B167" i="6" s="1"/>
  <c r="A167" i="6"/>
  <c r="I166" i="6"/>
  <c r="J166" i="6" s="1"/>
  <c r="H166" i="6"/>
  <c r="B166" i="6" s="1"/>
  <c r="A166" i="6"/>
  <c r="I165" i="6"/>
  <c r="H165" i="6"/>
  <c r="B165" i="6"/>
  <c r="A165" i="6"/>
  <c r="I164" i="6"/>
  <c r="J164" i="6" s="1"/>
  <c r="H164" i="6"/>
  <c r="B164" i="6" s="1"/>
  <c r="A164" i="6"/>
  <c r="J163" i="6"/>
  <c r="I163" i="6"/>
  <c r="H163" i="6"/>
  <c r="A163" i="6"/>
  <c r="I162" i="6"/>
  <c r="J162" i="6" s="1"/>
  <c r="H162" i="6"/>
  <c r="B162" i="6" s="1"/>
  <c r="A162" i="6"/>
  <c r="I161" i="6"/>
  <c r="J161" i="6" s="1"/>
  <c r="H161" i="6"/>
  <c r="B161" i="6"/>
  <c r="A161" i="6"/>
  <c r="I160" i="6"/>
  <c r="J160" i="6" s="1"/>
  <c r="H160" i="6"/>
  <c r="B160" i="6" s="1"/>
  <c r="A160" i="6"/>
  <c r="J159" i="6"/>
  <c r="I159" i="6"/>
  <c r="H159" i="6"/>
  <c r="B159" i="6" s="1"/>
  <c r="A159" i="6"/>
  <c r="I158" i="6"/>
  <c r="J158" i="6" s="1"/>
  <c r="H158" i="6"/>
  <c r="B158" i="6" s="1"/>
  <c r="A158" i="6"/>
  <c r="I157" i="6"/>
  <c r="J157" i="6" s="1"/>
  <c r="H157" i="6"/>
  <c r="B157" i="6"/>
  <c r="A157" i="6"/>
  <c r="I156" i="6"/>
  <c r="J156" i="6" s="1"/>
  <c r="H156" i="6"/>
  <c r="B156" i="6" s="1"/>
  <c r="A156" i="6"/>
  <c r="J155" i="6"/>
  <c r="I155" i="6"/>
  <c r="H155" i="6"/>
  <c r="A155" i="6"/>
  <c r="I154" i="6"/>
  <c r="J154" i="6" s="1"/>
  <c r="H154" i="6"/>
  <c r="B154" i="6" s="1"/>
  <c r="A154" i="6"/>
  <c r="L153" i="6"/>
  <c r="I153" i="6"/>
  <c r="J153" i="6" s="1"/>
  <c r="H153" i="6"/>
  <c r="B153" i="6"/>
  <c r="A153" i="6"/>
  <c r="I152" i="6"/>
  <c r="J152" i="6" s="1"/>
  <c r="H152" i="6"/>
  <c r="B152" i="6" s="1"/>
  <c r="A152" i="6"/>
  <c r="J151" i="6"/>
  <c r="I151" i="6"/>
  <c r="H151" i="6"/>
  <c r="B151" i="6" s="1"/>
  <c r="A151" i="6"/>
  <c r="I150" i="6"/>
  <c r="J150" i="6" s="1"/>
  <c r="H150" i="6"/>
  <c r="B150" i="6" s="1"/>
  <c r="A150" i="6"/>
  <c r="I149" i="6"/>
  <c r="H149" i="6"/>
  <c r="B149" i="6"/>
  <c r="A149" i="6"/>
  <c r="I148" i="6"/>
  <c r="J148" i="6" s="1"/>
  <c r="H148" i="6"/>
  <c r="B148" i="6" s="1"/>
  <c r="A148" i="6"/>
  <c r="J147" i="6"/>
  <c r="I147" i="6"/>
  <c r="H147" i="6"/>
  <c r="A147" i="6"/>
  <c r="I146" i="6"/>
  <c r="J146" i="6" s="1"/>
  <c r="H146" i="6"/>
  <c r="B146" i="6" s="1"/>
  <c r="A146" i="6"/>
  <c r="I145" i="6"/>
  <c r="J145" i="6" s="1"/>
  <c r="H145" i="6"/>
  <c r="B145" i="6"/>
  <c r="A145" i="6"/>
  <c r="I144" i="6"/>
  <c r="J144" i="6" s="1"/>
  <c r="H144" i="6"/>
  <c r="B144" i="6" s="1"/>
  <c r="A144" i="6"/>
  <c r="J143" i="6"/>
  <c r="I143" i="6"/>
  <c r="H143" i="6"/>
  <c r="B143" i="6" s="1"/>
  <c r="A143" i="6"/>
  <c r="I142" i="6"/>
  <c r="J142" i="6" s="1"/>
  <c r="H142" i="6"/>
  <c r="B142" i="6" s="1"/>
  <c r="A142" i="6"/>
  <c r="I141" i="6"/>
  <c r="J141" i="6" s="1"/>
  <c r="H141" i="6"/>
  <c r="B141" i="6"/>
  <c r="A141" i="6"/>
  <c r="I140" i="6"/>
  <c r="J140" i="6" s="1"/>
  <c r="H140" i="6"/>
  <c r="B140" i="6" s="1"/>
  <c r="A140" i="6"/>
  <c r="J139" i="6"/>
  <c r="I139" i="6"/>
  <c r="H139" i="6"/>
  <c r="A139" i="6"/>
  <c r="I138" i="6"/>
  <c r="J138" i="6" s="1"/>
  <c r="H138" i="6"/>
  <c r="B138" i="6" s="1"/>
  <c r="A138" i="6"/>
  <c r="L137" i="6"/>
  <c r="I137" i="6"/>
  <c r="J137" i="6" s="1"/>
  <c r="H137" i="6"/>
  <c r="B137" i="6"/>
  <c r="A137" i="6"/>
  <c r="I136" i="6"/>
  <c r="J136" i="6" s="1"/>
  <c r="H136" i="6"/>
  <c r="B136" i="6" s="1"/>
  <c r="A136" i="6"/>
  <c r="J135" i="6"/>
  <c r="I135" i="6"/>
  <c r="H135" i="6"/>
  <c r="B135" i="6" s="1"/>
  <c r="A135" i="6"/>
  <c r="I134" i="6"/>
  <c r="J134" i="6" s="1"/>
  <c r="H134" i="6"/>
  <c r="B134" i="6" s="1"/>
  <c r="A134" i="6"/>
  <c r="I133" i="6"/>
  <c r="H133" i="6"/>
  <c r="B133" i="6"/>
  <c r="A133" i="6"/>
  <c r="I132" i="6"/>
  <c r="J132" i="6" s="1"/>
  <c r="H132" i="6"/>
  <c r="B132" i="6" s="1"/>
  <c r="A132" i="6"/>
  <c r="J131" i="6"/>
  <c r="I131" i="6"/>
  <c r="H131" i="6"/>
  <c r="A131" i="6"/>
  <c r="I130" i="6"/>
  <c r="J130" i="6" s="1"/>
  <c r="H130" i="6"/>
  <c r="B130" i="6" s="1"/>
  <c r="A130" i="6"/>
  <c r="I129" i="6"/>
  <c r="J129" i="6" s="1"/>
  <c r="H129" i="6"/>
  <c r="B129" i="6"/>
  <c r="A129" i="6"/>
  <c r="I128" i="6"/>
  <c r="J128" i="6" s="1"/>
  <c r="H128" i="6"/>
  <c r="B128" i="6" s="1"/>
  <c r="A128" i="6"/>
  <c r="J127" i="6"/>
  <c r="I127" i="6"/>
  <c r="H127" i="6"/>
  <c r="B127" i="6" s="1"/>
  <c r="A127" i="6"/>
  <c r="I126" i="6"/>
  <c r="J126" i="6" s="1"/>
  <c r="H126" i="6"/>
  <c r="B126" i="6" s="1"/>
  <c r="A126" i="6"/>
  <c r="J125" i="6"/>
  <c r="I125" i="6"/>
  <c r="H125" i="6"/>
  <c r="L125" i="6" s="1"/>
  <c r="A125" i="6"/>
  <c r="I124" i="6"/>
  <c r="L124" i="6" s="1"/>
  <c r="H124" i="6"/>
  <c r="B124" i="6" s="1"/>
  <c r="A124" i="6"/>
  <c r="I123" i="6"/>
  <c r="J123" i="6" s="1"/>
  <c r="H123" i="6"/>
  <c r="A123" i="6"/>
  <c r="I122" i="6"/>
  <c r="H122" i="6"/>
  <c r="B122" i="6" s="1"/>
  <c r="A122" i="6"/>
  <c r="J121" i="6"/>
  <c r="I121" i="6"/>
  <c r="H121" i="6"/>
  <c r="L121" i="6" s="1"/>
  <c r="A121" i="6"/>
  <c r="I120" i="6"/>
  <c r="L120" i="6" s="1"/>
  <c r="H120" i="6"/>
  <c r="B120" i="6" s="1"/>
  <c r="A120" i="6"/>
  <c r="I119" i="6"/>
  <c r="J119" i="6" s="1"/>
  <c r="H119" i="6"/>
  <c r="A119" i="6"/>
  <c r="I118" i="6"/>
  <c r="H118" i="6"/>
  <c r="B118" i="6" s="1"/>
  <c r="A118" i="6"/>
  <c r="J117" i="6"/>
  <c r="I117" i="6"/>
  <c r="H117" i="6"/>
  <c r="L117" i="6" s="1"/>
  <c r="A117" i="6"/>
  <c r="I116" i="6"/>
  <c r="L116" i="6" s="1"/>
  <c r="H116" i="6"/>
  <c r="B116" i="6" s="1"/>
  <c r="A116" i="6"/>
  <c r="I115" i="6"/>
  <c r="J115" i="6" s="1"/>
  <c r="H115" i="6"/>
  <c r="L115" i="6" s="1"/>
  <c r="A115" i="6"/>
  <c r="I114" i="6"/>
  <c r="H114" i="6"/>
  <c r="B114" i="6" s="1"/>
  <c r="A114" i="6"/>
  <c r="J113" i="6"/>
  <c r="I113" i="6"/>
  <c r="H113" i="6"/>
  <c r="L113" i="6" s="1"/>
  <c r="A113" i="6"/>
  <c r="I112" i="6"/>
  <c r="L112" i="6" s="1"/>
  <c r="H112" i="6"/>
  <c r="B112" i="6" s="1"/>
  <c r="A112" i="6"/>
  <c r="J111" i="6"/>
  <c r="I111" i="6"/>
  <c r="H111" i="6"/>
  <c r="A111" i="6"/>
  <c r="I110" i="6"/>
  <c r="L110" i="6" s="1"/>
  <c r="H110" i="6"/>
  <c r="B110" i="6" s="1"/>
  <c r="A110" i="6"/>
  <c r="I109" i="6"/>
  <c r="J109" i="6" s="1"/>
  <c r="H109" i="6"/>
  <c r="A109" i="6"/>
  <c r="I108" i="6"/>
  <c r="H108" i="6"/>
  <c r="B108" i="6" s="1"/>
  <c r="A108" i="6"/>
  <c r="I107" i="6"/>
  <c r="J107" i="6" s="1"/>
  <c r="H107" i="6"/>
  <c r="L107" i="6" s="1"/>
  <c r="A107" i="6"/>
  <c r="I106" i="6"/>
  <c r="H106" i="6"/>
  <c r="B106" i="6" s="1"/>
  <c r="A106" i="6"/>
  <c r="I105" i="6"/>
  <c r="J105" i="6" s="1"/>
  <c r="H105" i="6"/>
  <c r="L105" i="6" s="1"/>
  <c r="A105" i="6"/>
  <c r="I104" i="6"/>
  <c r="H104" i="6"/>
  <c r="B104" i="6" s="1"/>
  <c r="A104" i="6"/>
  <c r="J103" i="6"/>
  <c r="I103" i="6"/>
  <c r="H103" i="6"/>
  <c r="L103" i="6" s="1"/>
  <c r="A103" i="6"/>
  <c r="I102" i="6"/>
  <c r="L102" i="6" s="1"/>
  <c r="H102" i="6"/>
  <c r="B102" i="6" s="1"/>
  <c r="A102" i="6"/>
  <c r="I101" i="6"/>
  <c r="J101" i="6" s="1"/>
  <c r="H101" i="6"/>
  <c r="A101" i="6"/>
  <c r="I100" i="6"/>
  <c r="H100" i="6"/>
  <c r="B100" i="6" s="1"/>
  <c r="A100" i="6"/>
  <c r="I99" i="6"/>
  <c r="J99" i="6" s="1"/>
  <c r="H99" i="6"/>
  <c r="L99" i="6" s="1"/>
  <c r="A99" i="6"/>
  <c r="I98" i="6"/>
  <c r="H98" i="6"/>
  <c r="B98" i="6" s="1"/>
  <c r="A98" i="6"/>
  <c r="I97" i="6"/>
  <c r="J97" i="6" s="1"/>
  <c r="H97" i="6"/>
  <c r="L97" i="6" s="1"/>
  <c r="A97" i="6"/>
  <c r="I96" i="6"/>
  <c r="H96" i="6"/>
  <c r="B96" i="6" s="1"/>
  <c r="A96" i="6"/>
  <c r="J95" i="6"/>
  <c r="I95" i="6"/>
  <c r="H95" i="6"/>
  <c r="L95" i="6" s="1"/>
  <c r="A95" i="6"/>
  <c r="I94" i="6"/>
  <c r="L94" i="6" s="1"/>
  <c r="H94" i="6"/>
  <c r="B94" i="6" s="1"/>
  <c r="A94" i="6"/>
  <c r="I93" i="6"/>
  <c r="J93" i="6" s="1"/>
  <c r="H93" i="6"/>
  <c r="A93" i="6"/>
  <c r="I92" i="6"/>
  <c r="H92" i="6"/>
  <c r="B92" i="6" s="1"/>
  <c r="A92" i="6"/>
  <c r="I91" i="6"/>
  <c r="J91" i="6" s="1"/>
  <c r="H91" i="6"/>
  <c r="L91" i="6" s="1"/>
  <c r="A91" i="6"/>
  <c r="I90" i="6"/>
  <c r="H90" i="6"/>
  <c r="B90" i="6" s="1"/>
  <c r="A90" i="6"/>
  <c r="I89" i="6"/>
  <c r="J89" i="6" s="1"/>
  <c r="H89" i="6"/>
  <c r="L89" i="6" s="1"/>
  <c r="A89" i="6"/>
  <c r="I88" i="6"/>
  <c r="H88" i="6"/>
  <c r="B88" i="6" s="1"/>
  <c r="A88" i="6"/>
  <c r="J87" i="6"/>
  <c r="I87" i="6"/>
  <c r="H87" i="6"/>
  <c r="L87" i="6" s="1"/>
  <c r="A87" i="6"/>
  <c r="I86" i="6"/>
  <c r="L86" i="6" s="1"/>
  <c r="H86" i="6"/>
  <c r="B86" i="6" s="1"/>
  <c r="A86" i="6"/>
  <c r="I85" i="6"/>
  <c r="J85" i="6" s="1"/>
  <c r="H85" i="6"/>
  <c r="A85" i="6"/>
  <c r="I84" i="6"/>
  <c r="H84" i="6"/>
  <c r="B84" i="6" s="1"/>
  <c r="A84" i="6"/>
  <c r="I83" i="6"/>
  <c r="J83" i="6" s="1"/>
  <c r="H83" i="6"/>
  <c r="L83" i="6" s="1"/>
  <c r="A83" i="6"/>
  <c r="I82" i="6"/>
  <c r="H82" i="6"/>
  <c r="B82" i="6" s="1"/>
  <c r="A82" i="6"/>
  <c r="I81" i="6"/>
  <c r="J81" i="6" s="1"/>
  <c r="H81" i="6"/>
  <c r="L81" i="6" s="1"/>
  <c r="A81" i="6"/>
  <c r="I80" i="6"/>
  <c r="H80" i="6"/>
  <c r="B80" i="6" s="1"/>
  <c r="A80" i="6"/>
  <c r="J79" i="6"/>
  <c r="I79" i="6"/>
  <c r="H79" i="6"/>
  <c r="L79" i="6" s="1"/>
  <c r="A79" i="6"/>
  <c r="I78" i="6"/>
  <c r="L78" i="6" s="1"/>
  <c r="H78" i="6"/>
  <c r="B78" i="6" s="1"/>
  <c r="A78" i="6"/>
  <c r="I77" i="6"/>
  <c r="J77" i="6" s="1"/>
  <c r="H77" i="6"/>
  <c r="A77" i="6"/>
  <c r="I76" i="6"/>
  <c r="H76" i="6"/>
  <c r="B76" i="6" s="1"/>
  <c r="A76" i="6"/>
  <c r="I75" i="6"/>
  <c r="J75" i="6" s="1"/>
  <c r="H75" i="6"/>
  <c r="L75" i="6" s="1"/>
  <c r="A75" i="6"/>
  <c r="I74" i="6"/>
  <c r="H74" i="6"/>
  <c r="B74" i="6" s="1"/>
  <c r="A74" i="6"/>
  <c r="I73" i="6"/>
  <c r="J73" i="6" s="1"/>
  <c r="H73" i="6"/>
  <c r="L73" i="6" s="1"/>
  <c r="A73" i="6"/>
  <c r="I72" i="6"/>
  <c r="H72" i="6"/>
  <c r="B72" i="6" s="1"/>
  <c r="A72" i="6"/>
  <c r="J71" i="6"/>
  <c r="I71" i="6"/>
  <c r="H71" i="6"/>
  <c r="L71" i="6" s="1"/>
  <c r="A71" i="6"/>
  <c r="I70" i="6"/>
  <c r="L70" i="6" s="1"/>
  <c r="H70" i="6"/>
  <c r="B70" i="6" s="1"/>
  <c r="A70" i="6"/>
  <c r="I69" i="6"/>
  <c r="J69" i="6" s="1"/>
  <c r="H69" i="6"/>
  <c r="A69" i="6"/>
  <c r="I68" i="6"/>
  <c r="H68" i="6"/>
  <c r="B68" i="6" s="1"/>
  <c r="A68" i="6"/>
  <c r="I67" i="6"/>
  <c r="J67" i="6" s="1"/>
  <c r="H67" i="6"/>
  <c r="L67" i="6" s="1"/>
  <c r="A67" i="6"/>
  <c r="I66" i="6"/>
  <c r="H66" i="6"/>
  <c r="B66" i="6" s="1"/>
  <c r="A66" i="6"/>
  <c r="I65" i="6"/>
  <c r="J65" i="6" s="1"/>
  <c r="H65" i="6"/>
  <c r="L65" i="6" s="1"/>
  <c r="A65" i="6"/>
  <c r="I64" i="6"/>
  <c r="H64" i="6"/>
  <c r="B64" i="6" s="1"/>
  <c r="A64" i="6"/>
  <c r="J63" i="6"/>
  <c r="I63" i="6"/>
  <c r="H63" i="6"/>
  <c r="L63" i="6" s="1"/>
  <c r="A63" i="6"/>
  <c r="I62" i="6"/>
  <c r="L62" i="6" s="1"/>
  <c r="H62" i="6"/>
  <c r="B62" i="6" s="1"/>
  <c r="A62" i="6"/>
  <c r="I61" i="6"/>
  <c r="J61" i="6" s="1"/>
  <c r="H61" i="6"/>
  <c r="A61" i="6"/>
  <c r="I60" i="6"/>
  <c r="H60" i="6"/>
  <c r="B60" i="6" s="1"/>
  <c r="A60" i="6"/>
  <c r="I59" i="6"/>
  <c r="J59" i="6" s="1"/>
  <c r="H59" i="6"/>
  <c r="L59" i="6" s="1"/>
  <c r="A59" i="6"/>
  <c r="I58" i="6"/>
  <c r="H58" i="6"/>
  <c r="B58" i="6" s="1"/>
  <c r="A58" i="6"/>
  <c r="I57" i="6"/>
  <c r="J57" i="6" s="1"/>
  <c r="H57" i="6"/>
  <c r="L57" i="6" s="1"/>
  <c r="A57" i="6"/>
  <c r="I56" i="6"/>
  <c r="H56" i="6"/>
  <c r="B56" i="6" s="1"/>
  <c r="A56" i="6"/>
  <c r="J55" i="6"/>
  <c r="I55" i="6"/>
  <c r="H55" i="6"/>
  <c r="L55" i="6" s="1"/>
  <c r="A55" i="6"/>
  <c r="I54" i="6"/>
  <c r="L54" i="6" s="1"/>
  <c r="H54" i="6"/>
  <c r="B54" i="6" s="1"/>
  <c r="A54" i="6"/>
  <c r="I53" i="6"/>
  <c r="J53" i="6" s="1"/>
  <c r="H53" i="6"/>
  <c r="A53" i="6"/>
  <c r="I52" i="6"/>
  <c r="H52" i="6"/>
  <c r="B52" i="6" s="1"/>
  <c r="A52" i="6"/>
  <c r="I51" i="6"/>
  <c r="J51" i="6" s="1"/>
  <c r="H51" i="6"/>
  <c r="L51" i="6" s="1"/>
  <c r="A51" i="6"/>
  <c r="I50" i="6"/>
  <c r="H50" i="6"/>
  <c r="B50" i="6" s="1"/>
  <c r="A50" i="6"/>
  <c r="I49" i="6"/>
  <c r="J49" i="6" s="1"/>
  <c r="H49" i="6"/>
  <c r="L49" i="6" s="1"/>
  <c r="A49" i="6"/>
  <c r="I48" i="6"/>
  <c r="H48" i="6"/>
  <c r="B48" i="6" s="1"/>
  <c r="A48" i="6"/>
  <c r="J47" i="6"/>
  <c r="I47" i="6"/>
  <c r="H47" i="6"/>
  <c r="L47" i="6" s="1"/>
  <c r="A47" i="6"/>
  <c r="I46" i="6"/>
  <c r="L46" i="6" s="1"/>
  <c r="H46" i="6"/>
  <c r="B46" i="6" s="1"/>
  <c r="A46" i="6"/>
  <c r="I45" i="6"/>
  <c r="J45" i="6" s="1"/>
  <c r="H45" i="6"/>
  <c r="A45" i="6"/>
  <c r="I44" i="6"/>
  <c r="H44" i="6"/>
  <c r="B44" i="6" s="1"/>
  <c r="A44" i="6"/>
  <c r="I43" i="6"/>
  <c r="J43" i="6" s="1"/>
  <c r="H43" i="6"/>
  <c r="L43" i="6" s="1"/>
  <c r="A43" i="6"/>
  <c r="I42" i="6"/>
  <c r="H42" i="6"/>
  <c r="B42" i="6" s="1"/>
  <c r="A42" i="6"/>
  <c r="I41" i="6"/>
  <c r="J41" i="6" s="1"/>
  <c r="H41" i="6"/>
  <c r="L41" i="6" s="1"/>
  <c r="A41" i="6"/>
  <c r="I40" i="6"/>
  <c r="H40" i="6"/>
  <c r="B40" i="6"/>
  <c r="A40" i="6"/>
  <c r="I39" i="6"/>
  <c r="J39" i="6" s="1"/>
  <c r="H39" i="6"/>
  <c r="B39" i="6"/>
  <c r="A39" i="6"/>
  <c r="I38" i="6"/>
  <c r="H38" i="6"/>
  <c r="B38" i="6"/>
  <c r="A38" i="6"/>
  <c r="I37" i="6"/>
  <c r="J37" i="6" s="1"/>
  <c r="H37" i="6"/>
  <c r="B37" i="6" s="1"/>
  <c r="A37" i="6"/>
  <c r="I36" i="6"/>
  <c r="H36" i="6"/>
  <c r="B36" i="6" s="1"/>
  <c r="A36" i="6"/>
  <c r="I35" i="6"/>
  <c r="H35" i="6"/>
  <c r="B35" i="6"/>
  <c r="A35" i="6"/>
  <c r="I34" i="6"/>
  <c r="L34" i="6" s="1"/>
  <c r="H34" i="6"/>
  <c r="B34" i="6"/>
  <c r="A34" i="6"/>
  <c r="L33" i="6"/>
  <c r="I33" i="6"/>
  <c r="J33" i="6" s="1"/>
  <c r="H33" i="6"/>
  <c r="B33" i="6"/>
  <c r="A33" i="6"/>
  <c r="I32" i="6"/>
  <c r="H32" i="6"/>
  <c r="B32" i="6"/>
  <c r="A32" i="6"/>
  <c r="I31" i="6"/>
  <c r="J31" i="6" s="1"/>
  <c r="H31" i="6"/>
  <c r="B31" i="6"/>
  <c r="A31" i="6"/>
  <c r="I30" i="6"/>
  <c r="H30" i="6"/>
  <c r="B30" i="6"/>
  <c r="A30" i="6"/>
  <c r="I29" i="6"/>
  <c r="J29" i="6" s="1"/>
  <c r="H29" i="6"/>
  <c r="B29" i="6" s="1"/>
  <c r="A29" i="6"/>
  <c r="I28" i="6"/>
  <c r="H28" i="6"/>
  <c r="B28" i="6" s="1"/>
  <c r="A28" i="6"/>
  <c r="I27" i="6"/>
  <c r="H27" i="6"/>
  <c r="B27" i="6"/>
  <c r="A27" i="6"/>
  <c r="I26" i="6"/>
  <c r="L26" i="6" s="1"/>
  <c r="H26" i="6"/>
  <c r="B26" i="6"/>
  <c r="A26" i="6"/>
  <c r="L25" i="6"/>
  <c r="I25" i="6"/>
  <c r="J25" i="6" s="1"/>
  <c r="H25" i="6"/>
  <c r="B25" i="6"/>
  <c r="A25" i="6"/>
  <c r="I24" i="6"/>
  <c r="H24" i="6"/>
  <c r="B24" i="6"/>
  <c r="A24" i="6"/>
  <c r="I23" i="6"/>
  <c r="J23" i="6" s="1"/>
  <c r="H23" i="6"/>
  <c r="B23" i="6"/>
  <c r="A23" i="6"/>
  <c r="I22" i="6"/>
  <c r="H22" i="6"/>
  <c r="B22" i="6"/>
  <c r="A22" i="6"/>
  <c r="I21" i="6"/>
  <c r="J21" i="6" s="1"/>
  <c r="H21" i="6"/>
  <c r="B21" i="6" s="1"/>
  <c r="A21" i="6"/>
  <c r="I20" i="6"/>
  <c r="H20" i="6"/>
  <c r="B20" i="6" s="1"/>
  <c r="A20" i="6"/>
  <c r="I19" i="6"/>
  <c r="H19" i="6"/>
  <c r="B19" i="6"/>
  <c r="A19" i="6"/>
  <c r="I18" i="6"/>
  <c r="L18" i="6" s="1"/>
  <c r="H18" i="6"/>
  <c r="B18" i="6"/>
  <c r="A18" i="6"/>
  <c r="L17" i="6"/>
  <c r="I17" i="6"/>
  <c r="J17" i="6" s="1"/>
  <c r="H17" i="6"/>
  <c r="B17" i="6"/>
  <c r="A17" i="6"/>
  <c r="I16" i="6"/>
  <c r="H16" i="6"/>
  <c r="B16" i="6"/>
  <c r="A16" i="6"/>
  <c r="I15" i="6"/>
  <c r="J15" i="6" s="1"/>
  <c r="H15" i="6"/>
  <c r="B15" i="6"/>
  <c r="A15" i="6"/>
  <c r="I14" i="6"/>
  <c r="H14" i="6"/>
  <c r="B14" i="6"/>
  <c r="A14" i="6"/>
  <c r="I13" i="6"/>
  <c r="J13" i="6" s="1"/>
  <c r="H13" i="6"/>
  <c r="B13" i="6" s="1"/>
  <c r="A13" i="6"/>
  <c r="I12" i="6"/>
  <c r="H12" i="6"/>
  <c r="B12" i="6" s="1"/>
  <c r="A12" i="6"/>
  <c r="I11" i="6"/>
  <c r="H11" i="6"/>
  <c r="B11" i="6"/>
  <c r="A11" i="6"/>
  <c r="I10" i="6"/>
  <c r="L10" i="6" s="1"/>
  <c r="H10" i="6"/>
  <c r="B10" i="6"/>
  <c r="A10" i="6"/>
  <c r="L9" i="6"/>
  <c r="I9" i="6"/>
  <c r="J9" i="6" s="1"/>
  <c r="H9" i="6"/>
  <c r="B9" i="6"/>
  <c r="A9" i="6"/>
  <c r="I8" i="6"/>
  <c r="H8" i="6"/>
  <c r="B8" i="6"/>
  <c r="A8" i="6"/>
  <c r="I7" i="6"/>
  <c r="J7" i="6" s="1"/>
  <c r="H7" i="6"/>
  <c r="B7" i="6"/>
  <c r="A7" i="6"/>
  <c r="I6" i="6"/>
  <c r="H6" i="6"/>
  <c r="B6" i="6"/>
  <c r="A6" i="6"/>
  <c r="I5" i="6"/>
  <c r="J5" i="6" s="1"/>
  <c r="H5" i="6"/>
  <c r="B5" i="6" s="1"/>
  <c r="A5" i="6"/>
  <c r="I4" i="6"/>
  <c r="H4" i="6"/>
  <c r="B4" i="6" s="1"/>
  <c r="A4" i="6"/>
  <c r="R281" i="5"/>
  <c r="O281" i="5"/>
  <c r="J281" i="5"/>
  <c r="G281" i="5"/>
  <c r="M281" i="5" s="1"/>
  <c r="F281" i="5"/>
  <c r="H281" i="5" s="1"/>
  <c r="A281" i="5"/>
  <c r="O280" i="5"/>
  <c r="J280" i="5"/>
  <c r="G280" i="5"/>
  <c r="M280" i="5" s="1"/>
  <c r="F280" i="5"/>
  <c r="A280" i="5"/>
  <c r="O279" i="5"/>
  <c r="J279" i="5"/>
  <c r="G279" i="5"/>
  <c r="M279" i="5" s="1"/>
  <c r="F279" i="5"/>
  <c r="A279" i="5"/>
  <c r="O278" i="5"/>
  <c r="J278" i="5"/>
  <c r="G278" i="5"/>
  <c r="F278" i="5"/>
  <c r="A278" i="5"/>
  <c r="R277" i="5"/>
  <c r="O277" i="5"/>
  <c r="J277" i="5"/>
  <c r="G277" i="5"/>
  <c r="M277" i="5" s="1"/>
  <c r="F277" i="5"/>
  <c r="H277" i="5" s="1"/>
  <c r="A277" i="5"/>
  <c r="O276" i="5"/>
  <c r="J276" i="5"/>
  <c r="G276" i="5"/>
  <c r="M276" i="5" s="1"/>
  <c r="F276" i="5"/>
  <c r="A276" i="5"/>
  <c r="O275" i="5"/>
  <c r="J275" i="5"/>
  <c r="H275" i="5"/>
  <c r="L275" i="5" s="1"/>
  <c r="G275" i="5"/>
  <c r="M275" i="5" s="1"/>
  <c r="F275" i="5"/>
  <c r="A275" i="5"/>
  <c r="O274" i="5"/>
  <c r="J274" i="5"/>
  <c r="G274" i="5"/>
  <c r="F274" i="5"/>
  <c r="A274" i="5"/>
  <c r="O273" i="5"/>
  <c r="J273" i="5"/>
  <c r="G273" i="5"/>
  <c r="F273" i="5"/>
  <c r="A273" i="5"/>
  <c r="O272" i="5"/>
  <c r="J272" i="5"/>
  <c r="G272" i="5"/>
  <c r="M272" i="5" s="1"/>
  <c r="F272" i="5"/>
  <c r="A272" i="5"/>
  <c r="O271" i="5"/>
  <c r="J271" i="5"/>
  <c r="G271" i="5"/>
  <c r="F271" i="5"/>
  <c r="A271" i="5"/>
  <c r="O270" i="5"/>
  <c r="J270" i="5"/>
  <c r="G270" i="5"/>
  <c r="F270" i="5"/>
  <c r="A270" i="5"/>
  <c r="R269" i="5"/>
  <c r="O269" i="5"/>
  <c r="J269" i="5"/>
  <c r="G269" i="5"/>
  <c r="M269" i="5" s="1"/>
  <c r="F269" i="5"/>
  <c r="H269" i="5" s="1"/>
  <c r="A269" i="5"/>
  <c r="O268" i="5"/>
  <c r="J268" i="5"/>
  <c r="G268" i="5"/>
  <c r="M268" i="5" s="1"/>
  <c r="F268" i="5"/>
  <c r="A268" i="5"/>
  <c r="O267" i="5"/>
  <c r="J267" i="5"/>
  <c r="G267" i="5"/>
  <c r="M267" i="5" s="1"/>
  <c r="F267" i="5"/>
  <c r="A267" i="5"/>
  <c r="O266" i="5"/>
  <c r="J266" i="5"/>
  <c r="G266" i="5"/>
  <c r="M266" i="5" s="1"/>
  <c r="F266" i="5"/>
  <c r="A266" i="5"/>
  <c r="R265" i="5"/>
  <c r="O265" i="5"/>
  <c r="J265" i="5"/>
  <c r="G265" i="5"/>
  <c r="M265" i="5" s="1"/>
  <c r="F265" i="5"/>
  <c r="H265" i="5" s="1"/>
  <c r="L265" i="5" s="1"/>
  <c r="A265" i="5"/>
  <c r="O264" i="5"/>
  <c r="J264" i="5"/>
  <c r="G264" i="5"/>
  <c r="M264" i="5" s="1"/>
  <c r="F264" i="5"/>
  <c r="A264" i="5"/>
  <c r="O263" i="5"/>
  <c r="J263" i="5"/>
  <c r="G263" i="5"/>
  <c r="M263" i="5" s="1"/>
  <c r="F263" i="5"/>
  <c r="A263" i="5"/>
  <c r="O262" i="5"/>
  <c r="J262" i="5"/>
  <c r="G262" i="5"/>
  <c r="M262" i="5" s="1"/>
  <c r="F262" i="5"/>
  <c r="A262" i="5"/>
  <c r="O261" i="5"/>
  <c r="J261" i="5"/>
  <c r="G261" i="5"/>
  <c r="M261" i="5" s="1"/>
  <c r="F261" i="5"/>
  <c r="H261" i="5" s="1"/>
  <c r="L261" i="5" s="1"/>
  <c r="A261" i="5"/>
  <c r="O260" i="5"/>
  <c r="J260" i="5"/>
  <c r="G260" i="5"/>
  <c r="M260" i="5" s="1"/>
  <c r="F260" i="5"/>
  <c r="A260" i="5"/>
  <c r="O259" i="5"/>
  <c r="J259" i="5"/>
  <c r="G259" i="5"/>
  <c r="M259" i="5" s="1"/>
  <c r="F259" i="5"/>
  <c r="A259" i="5"/>
  <c r="O258" i="5"/>
  <c r="M258" i="5"/>
  <c r="J258" i="5"/>
  <c r="G258" i="5"/>
  <c r="F258" i="5"/>
  <c r="A258" i="5"/>
  <c r="R257" i="5"/>
  <c r="O257" i="5"/>
  <c r="J257" i="5"/>
  <c r="G257" i="5"/>
  <c r="M257" i="5" s="1"/>
  <c r="F257" i="5"/>
  <c r="H257" i="5" s="1"/>
  <c r="A257" i="5"/>
  <c r="O256" i="5"/>
  <c r="M256" i="5"/>
  <c r="J256" i="5"/>
  <c r="G256" i="5"/>
  <c r="F256" i="5"/>
  <c r="A256" i="5"/>
  <c r="R255" i="5"/>
  <c r="O255" i="5"/>
  <c r="J255" i="5"/>
  <c r="G255" i="5"/>
  <c r="M255" i="5" s="1"/>
  <c r="F255" i="5"/>
  <c r="H255" i="5" s="1"/>
  <c r="A255" i="5"/>
  <c r="O254" i="5"/>
  <c r="M254" i="5"/>
  <c r="J254" i="5"/>
  <c r="G254" i="5"/>
  <c r="F254" i="5"/>
  <c r="A254" i="5"/>
  <c r="R253" i="5"/>
  <c r="O253" i="5"/>
  <c r="J253" i="5"/>
  <c r="G253" i="5"/>
  <c r="M253" i="5" s="1"/>
  <c r="F253" i="5"/>
  <c r="H253" i="5" s="1"/>
  <c r="A253" i="5"/>
  <c r="O252" i="5"/>
  <c r="M252" i="5"/>
  <c r="J252" i="5"/>
  <c r="G252" i="5"/>
  <c r="F252" i="5"/>
  <c r="A252" i="5"/>
  <c r="R251" i="5"/>
  <c r="O251" i="5"/>
  <c r="J251" i="5"/>
  <c r="G251" i="5"/>
  <c r="M251" i="5" s="1"/>
  <c r="F251" i="5"/>
  <c r="H251" i="5" s="1"/>
  <c r="A251" i="5"/>
  <c r="O250" i="5"/>
  <c r="M250" i="5"/>
  <c r="J250" i="5"/>
  <c r="G250" i="5"/>
  <c r="F250" i="5"/>
  <c r="A250" i="5"/>
  <c r="R249" i="5"/>
  <c r="O249" i="5"/>
  <c r="J249" i="5"/>
  <c r="G249" i="5"/>
  <c r="M249" i="5" s="1"/>
  <c r="F249" i="5"/>
  <c r="H249" i="5" s="1"/>
  <c r="A249" i="5"/>
  <c r="O248" i="5"/>
  <c r="M248" i="5"/>
  <c r="J248" i="5"/>
  <c r="G248" i="5"/>
  <c r="F248" i="5"/>
  <c r="A248" i="5"/>
  <c r="R247" i="5"/>
  <c r="O247" i="5"/>
  <c r="J247" i="5"/>
  <c r="G247" i="5"/>
  <c r="M247" i="5" s="1"/>
  <c r="F247" i="5"/>
  <c r="H247" i="5" s="1"/>
  <c r="A247" i="5"/>
  <c r="O246" i="5"/>
  <c r="M246" i="5"/>
  <c r="J246" i="5"/>
  <c r="G246" i="5"/>
  <c r="F246" i="5"/>
  <c r="A246" i="5"/>
  <c r="R245" i="5"/>
  <c r="O245" i="5"/>
  <c r="J245" i="5"/>
  <c r="G245" i="5"/>
  <c r="M245" i="5" s="1"/>
  <c r="F245" i="5"/>
  <c r="H245" i="5" s="1"/>
  <c r="A245" i="5"/>
  <c r="O244" i="5"/>
  <c r="M244" i="5"/>
  <c r="J244" i="5"/>
  <c r="G244" i="5"/>
  <c r="F244" i="5"/>
  <c r="A244" i="5"/>
  <c r="R243" i="5"/>
  <c r="O243" i="5"/>
  <c r="J243" i="5"/>
  <c r="G243" i="5"/>
  <c r="M243" i="5" s="1"/>
  <c r="F243" i="5"/>
  <c r="H243" i="5" s="1"/>
  <c r="A243" i="5"/>
  <c r="O242" i="5"/>
  <c r="M242" i="5"/>
  <c r="J242" i="5"/>
  <c r="G242" i="5"/>
  <c r="F242" i="5"/>
  <c r="A242" i="5"/>
  <c r="R241" i="5"/>
  <c r="O241" i="5"/>
  <c r="J241" i="5"/>
  <c r="G241" i="5"/>
  <c r="M241" i="5" s="1"/>
  <c r="F241" i="5"/>
  <c r="H241" i="5" s="1"/>
  <c r="A241" i="5"/>
  <c r="O240" i="5"/>
  <c r="M240" i="5"/>
  <c r="J240" i="5"/>
  <c r="G240" i="5"/>
  <c r="F240" i="5"/>
  <c r="A240" i="5"/>
  <c r="R239" i="5"/>
  <c r="O239" i="5"/>
  <c r="J239" i="5"/>
  <c r="G239" i="5"/>
  <c r="M239" i="5" s="1"/>
  <c r="F239" i="5"/>
  <c r="H239" i="5" s="1"/>
  <c r="A239" i="5"/>
  <c r="O238" i="5"/>
  <c r="M238" i="5"/>
  <c r="J238" i="5"/>
  <c r="G238" i="5"/>
  <c r="F238" i="5"/>
  <c r="A238" i="5"/>
  <c r="R237" i="5"/>
  <c r="O237" i="5"/>
  <c r="J237" i="5"/>
  <c r="G237" i="5"/>
  <c r="M237" i="5" s="1"/>
  <c r="F237" i="5"/>
  <c r="H237" i="5" s="1"/>
  <c r="A237" i="5"/>
  <c r="O236" i="5"/>
  <c r="M236" i="5"/>
  <c r="J236" i="5"/>
  <c r="G236" i="5"/>
  <c r="F236" i="5"/>
  <c r="A236" i="5"/>
  <c r="R235" i="5"/>
  <c r="O235" i="5"/>
  <c r="J235" i="5"/>
  <c r="G235" i="5"/>
  <c r="M235" i="5" s="1"/>
  <c r="F235" i="5"/>
  <c r="H235" i="5" s="1"/>
  <c r="A235" i="5"/>
  <c r="O234" i="5"/>
  <c r="M234" i="5"/>
  <c r="J234" i="5"/>
  <c r="G234" i="5"/>
  <c r="F234" i="5"/>
  <c r="A234" i="5"/>
  <c r="R233" i="5"/>
  <c r="O233" i="5"/>
  <c r="J233" i="5"/>
  <c r="G233" i="5"/>
  <c r="M233" i="5" s="1"/>
  <c r="F233" i="5"/>
  <c r="H233" i="5" s="1"/>
  <c r="A233" i="5"/>
  <c r="O232" i="5"/>
  <c r="M232" i="5"/>
  <c r="J232" i="5"/>
  <c r="G232" i="5"/>
  <c r="F232" i="5"/>
  <c r="A232" i="5"/>
  <c r="R231" i="5"/>
  <c r="O231" i="5"/>
  <c r="J231" i="5"/>
  <c r="G231" i="5"/>
  <c r="M231" i="5" s="1"/>
  <c r="F231" i="5"/>
  <c r="H231" i="5" s="1"/>
  <c r="A231" i="5"/>
  <c r="O230" i="5"/>
  <c r="M230" i="5"/>
  <c r="J230" i="5"/>
  <c r="G230" i="5"/>
  <c r="F230" i="5"/>
  <c r="A230" i="5"/>
  <c r="R229" i="5"/>
  <c r="O229" i="5"/>
  <c r="J229" i="5"/>
  <c r="G229" i="5"/>
  <c r="M229" i="5" s="1"/>
  <c r="F229" i="5"/>
  <c r="H229" i="5" s="1"/>
  <c r="A229" i="5"/>
  <c r="O228" i="5"/>
  <c r="M228" i="5"/>
  <c r="J228" i="5"/>
  <c r="G228" i="5"/>
  <c r="F228" i="5"/>
  <c r="A228" i="5"/>
  <c r="R227" i="5"/>
  <c r="O227" i="5"/>
  <c r="J227" i="5"/>
  <c r="G227" i="5"/>
  <c r="M227" i="5" s="1"/>
  <c r="F227" i="5"/>
  <c r="H227" i="5" s="1"/>
  <c r="A227" i="5"/>
  <c r="O226" i="5"/>
  <c r="M226" i="5"/>
  <c r="J226" i="5"/>
  <c r="G226" i="5"/>
  <c r="F226" i="5"/>
  <c r="A226" i="5"/>
  <c r="R225" i="5"/>
  <c r="O225" i="5"/>
  <c r="J225" i="5"/>
  <c r="G225" i="5"/>
  <c r="M225" i="5" s="1"/>
  <c r="F225" i="5"/>
  <c r="H225" i="5" s="1"/>
  <c r="A225" i="5"/>
  <c r="O224" i="5"/>
  <c r="M224" i="5"/>
  <c r="J224" i="5"/>
  <c r="G224" i="5"/>
  <c r="F224" i="5"/>
  <c r="A224" i="5"/>
  <c r="O223" i="5"/>
  <c r="J223" i="5"/>
  <c r="G223" i="5"/>
  <c r="F223" i="5"/>
  <c r="A223" i="5"/>
  <c r="O222" i="5"/>
  <c r="J222" i="5"/>
  <c r="G222" i="5"/>
  <c r="F222" i="5"/>
  <c r="A222" i="5"/>
  <c r="O221" i="5"/>
  <c r="J221" i="5"/>
  <c r="G221" i="5"/>
  <c r="R221" i="5" s="1"/>
  <c r="F221" i="5"/>
  <c r="A221" i="5"/>
  <c r="O220" i="5"/>
  <c r="J220" i="5"/>
  <c r="G220" i="5"/>
  <c r="H220" i="5" s="1"/>
  <c r="F220" i="5"/>
  <c r="A220" i="5"/>
  <c r="R219" i="5"/>
  <c r="O219" i="5"/>
  <c r="J219" i="5"/>
  <c r="G219" i="5"/>
  <c r="F219" i="5"/>
  <c r="A219" i="5"/>
  <c r="O218" i="5"/>
  <c r="J218" i="5"/>
  <c r="G218" i="5"/>
  <c r="M218" i="5" s="1"/>
  <c r="F218" i="5"/>
  <c r="A218" i="5"/>
  <c r="O217" i="5"/>
  <c r="J217" i="5"/>
  <c r="H217" i="5"/>
  <c r="L217" i="5" s="1"/>
  <c r="G217" i="5"/>
  <c r="R217" i="5" s="1"/>
  <c r="F217" i="5"/>
  <c r="A217" i="5"/>
  <c r="O216" i="5"/>
  <c r="J216" i="5"/>
  <c r="G216" i="5"/>
  <c r="F216" i="5"/>
  <c r="A216" i="5"/>
  <c r="O215" i="5"/>
  <c r="J215" i="5"/>
  <c r="G215" i="5"/>
  <c r="F215" i="5"/>
  <c r="A215" i="5"/>
  <c r="R214" i="5"/>
  <c r="O214" i="5"/>
  <c r="J214" i="5"/>
  <c r="G214" i="5"/>
  <c r="M214" i="5" s="1"/>
  <c r="F214" i="5"/>
  <c r="H214" i="5" s="1"/>
  <c r="A214" i="5"/>
  <c r="O213" i="5"/>
  <c r="J213" i="5"/>
  <c r="G213" i="5"/>
  <c r="R213" i="5" s="1"/>
  <c r="F213" i="5"/>
  <c r="A213" i="5"/>
  <c r="O212" i="5"/>
  <c r="J212" i="5"/>
  <c r="G212" i="5"/>
  <c r="F212" i="5"/>
  <c r="A212" i="5"/>
  <c r="R211" i="5"/>
  <c r="O211" i="5"/>
  <c r="J211" i="5"/>
  <c r="G211" i="5"/>
  <c r="F211" i="5"/>
  <c r="A211" i="5"/>
  <c r="R210" i="5"/>
  <c r="O210" i="5"/>
  <c r="J210" i="5"/>
  <c r="G210" i="5"/>
  <c r="M210" i="5" s="1"/>
  <c r="F210" i="5"/>
  <c r="H210" i="5" s="1"/>
  <c r="A210" i="5"/>
  <c r="O209" i="5"/>
  <c r="J209" i="5"/>
  <c r="G209" i="5"/>
  <c r="F209" i="5"/>
  <c r="A209" i="5"/>
  <c r="O208" i="5"/>
  <c r="J208" i="5"/>
  <c r="G208" i="5"/>
  <c r="H208" i="5" s="1"/>
  <c r="F208" i="5"/>
  <c r="A208" i="5"/>
  <c r="R207" i="5"/>
  <c r="O207" i="5"/>
  <c r="J207" i="5"/>
  <c r="G207" i="5"/>
  <c r="F207" i="5"/>
  <c r="A207" i="5"/>
  <c r="O206" i="5"/>
  <c r="J206" i="5"/>
  <c r="G206" i="5"/>
  <c r="F206" i="5"/>
  <c r="A206" i="5"/>
  <c r="O205" i="5"/>
  <c r="J205" i="5"/>
  <c r="G205" i="5"/>
  <c r="R205" i="5" s="1"/>
  <c r="F205" i="5"/>
  <c r="A205" i="5"/>
  <c r="O204" i="5"/>
  <c r="J204" i="5"/>
  <c r="G204" i="5"/>
  <c r="H204" i="5" s="1"/>
  <c r="F204" i="5"/>
  <c r="A204" i="5"/>
  <c r="R203" i="5"/>
  <c r="O203" i="5"/>
  <c r="J203" i="5"/>
  <c r="G203" i="5"/>
  <c r="F203" i="5"/>
  <c r="A203" i="5"/>
  <c r="O202" i="5"/>
  <c r="J202" i="5"/>
  <c r="G202" i="5"/>
  <c r="M202" i="5" s="1"/>
  <c r="F202" i="5"/>
  <c r="A202" i="5"/>
  <c r="O201" i="5"/>
  <c r="J201" i="5"/>
  <c r="H201" i="5"/>
  <c r="L201" i="5" s="1"/>
  <c r="G201" i="5"/>
  <c r="R201" i="5" s="1"/>
  <c r="F201" i="5"/>
  <c r="A201" i="5"/>
  <c r="O200" i="5"/>
  <c r="J200" i="5"/>
  <c r="G200" i="5"/>
  <c r="F200" i="5"/>
  <c r="A200" i="5"/>
  <c r="O199" i="5"/>
  <c r="J199" i="5"/>
  <c r="G199" i="5"/>
  <c r="F199" i="5"/>
  <c r="A199" i="5"/>
  <c r="R198" i="5"/>
  <c r="O198" i="5"/>
  <c r="J198" i="5"/>
  <c r="G198" i="5"/>
  <c r="M198" i="5" s="1"/>
  <c r="F198" i="5"/>
  <c r="H198" i="5" s="1"/>
  <c r="A198" i="5"/>
  <c r="O197" i="5"/>
  <c r="J197" i="5"/>
  <c r="G197" i="5"/>
  <c r="R197" i="5" s="1"/>
  <c r="F197" i="5"/>
  <c r="A197" i="5"/>
  <c r="O196" i="5"/>
  <c r="J196" i="5"/>
  <c r="G196" i="5"/>
  <c r="F196" i="5"/>
  <c r="A196" i="5"/>
  <c r="R195" i="5"/>
  <c r="O195" i="5"/>
  <c r="J195" i="5"/>
  <c r="G195" i="5"/>
  <c r="F195" i="5"/>
  <c r="A195" i="5"/>
  <c r="R194" i="5"/>
  <c r="O194" i="5"/>
  <c r="J194" i="5"/>
  <c r="G194" i="5"/>
  <c r="M194" i="5" s="1"/>
  <c r="F194" i="5"/>
  <c r="H194" i="5" s="1"/>
  <c r="A194" i="5"/>
  <c r="O193" i="5"/>
  <c r="J193" i="5"/>
  <c r="G193" i="5"/>
  <c r="F193" i="5"/>
  <c r="A193" i="5"/>
  <c r="O192" i="5"/>
  <c r="J192" i="5"/>
  <c r="G192" i="5"/>
  <c r="H192" i="5" s="1"/>
  <c r="F192" i="5"/>
  <c r="A192" i="5"/>
  <c r="R191" i="5"/>
  <c r="O191" i="5"/>
  <c r="J191" i="5"/>
  <c r="G191" i="5"/>
  <c r="F191" i="5"/>
  <c r="A191" i="5"/>
  <c r="O190" i="5"/>
  <c r="J190" i="5"/>
  <c r="G190" i="5"/>
  <c r="F190" i="5"/>
  <c r="A190" i="5"/>
  <c r="O189" i="5"/>
  <c r="J189" i="5"/>
  <c r="G189" i="5"/>
  <c r="R189" i="5" s="1"/>
  <c r="F189" i="5"/>
  <c r="A189" i="5"/>
  <c r="O188" i="5"/>
  <c r="J188" i="5"/>
  <c r="G188" i="5"/>
  <c r="H188" i="5" s="1"/>
  <c r="F188" i="5"/>
  <c r="A188" i="5"/>
  <c r="R187" i="5"/>
  <c r="O187" i="5"/>
  <c r="J187" i="5"/>
  <c r="G187" i="5"/>
  <c r="F187" i="5"/>
  <c r="A187" i="5"/>
  <c r="O186" i="5"/>
  <c r="J186" i="5"/>
  <c r="G186" i="5"/>
  <c r="M186" i="5" s="1"/>
  <c r="F186" i="5"/>
  <c r="A186" i="5"/>
  <c r="O185" i="5"/>
  <c r="J185" i="5"/>
  <c r="H185" i="5"/>
  <c r="L185" i="5" s="1"/>
  <c r="G185" i="5"/>
  <c r="R185" i="5" s="1"/>
  <c r="F185" i="5"/>
  <c r="A185" i="5"/>
  <c r="O184" i="5"/>
  <c r="J184" i="5"/>
  <c r="G184" i="5"/>
  <c r="F184" i="5"/>
  <c r="A184" i="5"/>
  <c r="O183" i="5"/>
  <c r="J183" i="5"/>
  <c r="G183" i="5"/>
  <c r="F183" i="5"/>
  <c r="A183" i="5"/>
  <c r="R182" i="5"/>
  <c r="O182" i="5"/>
  <c r="J182" i="5"/>
  <c r="G182" i="5"/>
  <c r="M182" i="5" s="1"/>
  <c r="F182" i="5"/>
  <c r="H182" i="5" s="1"/>
  <c r="A182" i="5"/>
  <c r="O181" i="5"/>
  <c r="J181" i="5"/>
  <c r="G181" i="5"/>
  <c r="R181" i="5" s="1"/>
  <c r="F181" i="5"/>
  <c r="A181" i="5"/>
  <c r="O180" i="5"/>
  <c r="J180" i="5"/>
  <c r="G180" i="5"/>
  <c r="F180" i="5"/>
  <c r="A180" i="5"/>
  <c r="R179" i="5"/>
  <c r="O179" i="5"/>
  <c r="J179" i="5"/>
  <c r="G179" i="5"/>
  <c r="F179" i="5"/>
  <c r="A179" i="5"/>
  <c r="R178" i="5"/>
  <c r="O178" i="5"/>
  <c r="J178" i="5"/>
  <c r="G178" i="5"/>
  <c r="M178" i="5" s="1"/>
  <c r="F178" i="5"/>
  <c r="H178" i="5" s="1"/>
  <c r="A178" i="5"/>
  <c r="O177" i="5"/>
  <c r="J177" i="5"/>
  <c r="G177" i="5"/>
  <c r="F177" i="5"/>
  <c r="A177" i="5"/>
  <c r="O176" i="5"/>
  <c r="J176" i="5"/>
  <c r="G176" i="5"/>
  <c r="H176" i="5" s="1"/>
  <c r="F176" i="5"/>
  <c r="A176" i="5"/>
  <c r="R175" i="5"/>
  <c r="O175" i="5"/>
  <c r="J175" i="5"/>
  <c r="G175" i="5"/>
  <c r="F175" i="5"/>
  <c r="A175" i="5"/>
  <c r="O174" i="5"/>
  <c r="J174" i="5"/>
  <c r="G174" i="5"/>
  <c r="F174" i="5"/>
  <c r="A174" i="5"/>
  <c r="O173" i="5"/>
  <c r="J173" i="5"/>
  <c r="G173" i="5"/>
  <c r="R173" i="5" s="1"/>
  <c r="F173" i="5"/>
  <c r="A173" i="5"/>
  <c r="O172" i="5"/>
  <c r="J172" i="5"/>
  <c r="G172" i="5"/>
  <c r="M172" i="5" s="1"/>
  <c r="F172" i="5"/>
  <c r="A172" i="5"/>
  <c r="R171" i="5"/>
  <c r="O171" i="5"/>
  <c r="J171" i="5"/>
  <c r="G171" i="5"/>
  <c r="F171" i="5"/>
  <c r="A171" i="5"/>
  <c r="O170" i="5"/>
  <c r="J170" i="5"/>
  <c r="G170" i="5"/>
  <c r="M170" i="5" s="1"/>
  <c r="F170" i="5"/>
  <c r="A170" i="5"/>
  <c r="O168" i="5"/>
  <c r="J168" i="5"/>
  <c r="G168" i="5"/>
  <c r="R168" i="5" s="1"/>
  <c r="F168" i="5"/>
  <c r="A168" i="5"/>
  <c r="O167" i="5"/>
  <c r="J167" i="5"/>
  <c r="G167" i="5"/>
  <c r="F167" i="5"/>
  <c r="A167" i="5"/>
  <c r="O166" i="5"/>
  <c r="J166" i="5"/>
  <c r="G166" i="5"/>
  <c r="F166" i="5"/>
  <c r="A166" i="5"/>
  <c r="O165" i="5"/>
  <c r="J165" i="5"/>
  <c r="G165" i="5"/>
  <c r="F165" i="5"/>
  <c r="A165" i="5"/>
  <c r="O164" i="5"/>
  <c r="J164" i="5"/>
  <c r="G164" i="5"/>
  <c r="R164" i="5" s="1"/>
  <c r="F164" i="5"/>
  <c r="A164" i="5"/>
  <c r="O163" i="5"/>
  <c r="J163" i="5"/>
  <c r="G163" i="5"/>
  <c r="M163" i="5" s="1"/>
  <c r="F163" i="5"/>
  <c r="A163" i="5"/>
  <c r="R162" i="5"/>
  <c r="O162" i="5"/>
  <c r="J162" i="5"/>
  <c r="G162" i="5"/>
  <c r="F162" i="5"/>
  <c r="A162" i="5"/>
  <c r="O161" i="5"/>
  <c r="J161" i="5"/>
  <c r="G161" i="5"/>
  <c r="F161" i="5"/>
  <c r="A161" i="5"/>
  <c r="O160" i="5"/>
  <c r="J160" i="5"/>
  <c r="G160" i="5"/>
  <c r="F160" i="5"/>
  <c r="A160" i="5"/>
  <c r="O159" i="5"/>
  <c r="M159" i="5"/>
  <c r="J159" i="5"/>
  <c r="G159" i="5"/>
  <c r="F159" i="5"/>
  <c r="A159" i="5"/>
  <c r="R158" i="5"/>
  <c r="O158" i="5"/>
  <c r="J158" i="5"/>
  <c r="G158" i="5"/>
  <c r="F158" i="5"/>
  <c r="A158" i="5"/>
  <c r="R157" i="5"/>
  <c r="O157" i="5"/>
  <c r="J157" i="5"/>
  <c r="G157" i="5"/>
  <c r="M157" i="5" s="1"/>
  <c r="F157" i="5"/>
  <c r="H157" i="5" s="1"/>
  <c r="L157" i="5" s="1"/>
  <c r="A157" i="5"/>
  <c r="O156" i="5"/>
  <c r="J156" i="5"/>
  <c r="G156" i="5"/>
  <c r="F156" i="5"/>
  <c r="A156" i="5"/>
  <c r="O155" i="5"/>
  <c r="J155" i="5"/>
  <c r="G155" i="5"/>
  <c r="M155" i="5" s="1"/>
  <c r="F155" i="5"/>
  <c r="A155" i="5"/>
  <c r="O154" i="5"/>
  <c r="J154" i="5"/>
  <c r="G154" i="5"/>
  <c r="F154" i="5"/>
  <c r="A154" i="5"/>
  <c r="R153" i="5"/>
  <c r="O153" i="5"/>
  <c r="L153" i="5"/>
  <c r="J153" i="5"/>
  <c r="G153" i="5"/>
  <c r="M153" i="5" s="1"/>
  <c r="F153" i="5"/>
  <c r="H153" i="5" s="1"/>
  <c r="Q153" i="5" s="1"/>
  <c r="B153" i="5"/>
  <c r="A153" i="5"/>
  <c r="O152" i="5"/>
  <c r="J152" i="5"/>
  <c r="H152" i="5"/>
  <c r="G152" i="5"/>
  <c r="R152" i="5" s="1"/>
  <c r="F152" i="5"/>
  <c r="B152" i="5"/>
  <c r="A152" i="5"/>
  <c r="O151" i="5"/>
  <c r="J151" i="5"/>
  <c r="G151" i="5"/>
  <c r="R151" i="5" s="1"/>
  <c r="F151" i="5"/>
  <c r="A151" i="5"/>
  <c r="O150" i="5"/>
  <c r="J150" i="5"/>
  <c r="G150" i="5"/>
  <c r="H150" i="5" s="1"/>
  <c r="L150" i="5" s="1"/>
  <c r="F150" i="5"/>
  <c r="A150" i="5"/>
  <c r="O149" i="5"/>
  <c r="J149" i="5"/>
  <c r="G149" i="5"/>
  <c r="M149" i="5" s="1"/>
  <c r="F149" i="5"/>
  <c r="A149" i="5"/>
  <c r="O148" i="5"/>
  <c r="J148" i="5"/>
  <c r="G148" i="5"/>
  <c r="R148" i="5" s="1"/>
  <c r="F148" i="5"/>
  <c r="A148" i="5"/>
  <c r="O147" i="5"/>
  <c r="J147" i="5"/>
  <c r="G147" i="5"/>
  <c r="R147" i="5" s="1"/>
  <c r="F147" i="5"/>
  <c r="A147" i="5"/>
  <c r="O146" i="5"/>
  <c r="J146" i="5"/>
  <c r="G146" i="5"/>
  <c r="H146" i="5" s="1"/>
  <c r="L146" i="5" s="1"/>
  <c r="F146" i="5"/>
  <c r="A146" i="5"/>
  <c r="O145" i="5"/>
  <c r="J145" i="5"/>
  <c r="G145" i="5"/>
  <c r="F145" i="5"/>
  <c r="H145" i="5" s="1"/>
  <c r="Q145" i="5" s="1"/>
  <c r="A145" i="5"/>
  <c r="O144" i="5"/>
  <c r="J144" i="5"/>
  <c r="G144" i="5"/>
  <c r="F144" i="5"/>
  <c r="A144" i="5"/>
  <c r="O143" i="5"/>
  <c r="J143" i="5"/>
  <c r="G143" i="5"/>
  <c r="R143" i="5" s="1"/>
  <c r="F143" i="5"/>
  <c r="A143" i="5"/>
  <c r="O142" i="5"/>
  <c r="J142" i="5"/>
  <c r="G142" i="5"/>
  <c r="F142" i="5"/>
  <c r="A142" i="5"/>
  <c r="O141" i="5"/>
  <c r="L141" i="5"/>
  <c r="J141" i="5"/>
  <c r="G141" i="5"/>
  <c r="M141" i="5" s="1"/>
  <c r="F141" i="5"/>
  <c r="H141" i="5" s="1"/>
  <c r="Q141" i="5" s="1"/>
  <c r="B141" i="5"/>
  <c r="A141" i="5"/>
  <c r="O140" i="5"/>
  <c r="J140" i="5"/>
  <c r="G140" i="5"/>
  <c r="R140" i="5" s="1"/>
  <c r="F140" i="5"/>
  <c r="A140" i="5"/>
  <c r="O139" i="5"/>
  <c r="J139" i="5"/>
  <c r="G139" i="5"/>
  <c r="R139" i="5" s="1"/>
  <c r="F139" i="5"/>
  <c r="A139" i="5"/>
  <c r="O138" i="5"/>
  <c r="J138" i="5"/>
  <c r="G138" i="5"/>
  <c r="F138" i="5"/>
  <c r="A138" i="5"/>
  <c r="R137" i="5"/>
  <c r="O137" i="5"/>
  <c r="L137" i="5"/>
  <c r="J137" i="5"/>
  <c r="G137" i="5"/>
  <c r="M137" i="5" s="1"/>
  <c r="F137" i="5"/>
  <c r="H137" i="5" s="1"/>
  <c r="Q137" i="5" s="1"/>
  <c r="B137" i="5"/>
  <c r="A137" i="5"/>
  <c r="O136" i="5"/>
  <c r="J136" i="5"/>
  <c r="H136" i="5"/>
  <c r="G136" i="5"/>
  <c r="R136" i="5" s="1"/>
  <c r="F136" i="5"/>
  <c r="A136" i="5"/>
  <c r="O135" i="5"/>
  <c r="J135" i="5"/>
  <c r="G135" i="5"/>
  <c r="R135" i="5" s="1"/>
  <c r="F135" i="5"/>
  <c r="A135" i="5"/>
  <c r="O134" i="5"/>
  <c r="J134" i="5"/>
  <c r="G134" i="5"/>
  <c r="H134" i="5" s="1"/>
  <c r="L134" i="5" s="1"/>
  <c r="F134" i="5"/>
  <c r="A134" i="5"/>
  <c r="O133" i="5"/>
  <c r="J133" i="5"/>
  <c r="G133" i="5"/>
  <c r="M133" i="5" s="1"/>
  <c r="F133" i="5"/>
  <c r="A133" i="5"/>
  <c r="O132" i="5"/>
  <c r="J132" i="5"/>
  <c r="H132" i="5"/>
  <c r="G132" i="5"/>
  <c r="R132" i="5" s="1"/>
  <c r="F132" i="5"/>
  <c r="A132" i="5"/>
  <c r="O131" i="5"/>
  <c r="J131" i="5"/>
  <c r="G131" i="5"/>
  <c r="R131" i="5" s="1"/>
  <c r="F131" i="5"/>
  <c r="A131" i="5"/>
  <c r="O130" i="5"/>
  <c r="J130" i="5"/>
  <c r="G130" i="5"/>
  <c r="F130" i="5"/>
  <c r="A130" i="5"/>
  <c r="O129" i="5"/>
  <c r="J129" i="5"/>
  <c r="G129" i="5"/>
  <c r="F129" i="5"/>
  <c r="A129" i="5"/>
  <c r="O128" i="5"/>
  <c r="J128" i="5"/>
  <c r="G128" i="5"/>
  <c r="F128" i="5"/>
  <c r="A128" i="5"/>
  <c r="O127" i="5"/>
  <c r="J127" i="5"/>
  <c r="G127" i="5"/>
  <c r="R127" i="5" s="1"/>
  <c r="F127" i="5"/>
  <c r="A127" i="5"/>
  <c r="O126" i="5"/>
  <c r="J126" i="5"/>
  <c r="G126" i="5"/>
  <c r="F126" i="5"/>
  <c r="A126" i="5"/>
  <c r="O125" i="5"/>
  <c r="J125" i="5"/>
  <c r="G125" i="5"/>
  <c r="M125" i="5" s="1"/>
  <c r="F125" i="5"/>
  <c r="H125" i="5" s="1"/>
  <c r="Q125" i="5" s="1"/>
  <c r="A125" i="5"/>
  <c r="O124" i="5"/>
  <c r="J124" i="5"/>
  <c r="G124" i="5"/>
  <c r="R124" i="5" s="1"/>
  <c r="F124" i="5"/>
  <c r="A124" i="5"/>
  <c r="O123" i="5"/>
  <c r="J123" i="5"/>
  <c r="G123" i="5"/>
  <c r="R123" i="5" s="1"/>
  <c r="F123" i="5"/>
  <c r="A123" i="5"/>
  <c r="O122" i="5"/>
  <c r="J122" i="5"/>
  <c r="G122" i="5"/>
  <c r="F122" i="5"/>
  <c r="A122" i="5"/>
  <c r="R121" i="5"/>
  <c r="O121" i="5"/>
  <c r="L121" i="5"/>
  <c r="J121" i="5"/>
  <c r="G121" i="5"/>
  <c r="M121" i="5" s="1"/>
  <c r="F121" i="5"/>
  <c r="H121" i="5" s="1"/>
  <c r="Q121" i="5" s="1"/>
  <c r="B121" i="5"/>
  <c r="A121" i="5"/>
  <c r="O120" i="5"/>
  <c r="J120" i="5"/>
  <c r="H120" i="5"/>
  <c r="G120" i="5"/>
  <c r="R120" i="5" s="1"/>
  <c r="F120" i="5"/>
  <c r="B120" i="5"/>
  <c r="A120" i="5"/>
  <c r="O119" i="5"/>
  <c r="J119" i="5"/>
  <c r="G119" i="5"/>
  <c r="R119" i="5" s="1"/>
  <c r="F119" i="5"/>
  <c r="A119" i="5"/>
  <c r="O118" i="5"/>
  <c r="J118" i="5"/>
  <c r="G118" i="5"/>
  <c r="H118" i="5" s="1"/>
  <c r="L118" i="5" s="1"/>
  <c r="F118" i="5"/>
  <c r="A118" i="5"/>
  <c r="O117" i="5"/>
  <c r="J117" i="5"/>
  <c r="G117" i="5"/>
  <c r="M117" i="5" s="1"/>
  <c r="F117" i="5"/>
  <c r="A117" i="5"/>
  <c r="O116" i="5"/>
  <c r="J116" i="5"/>
  <c r="G116" i="5"/>
  <c r="R116" i="5" s="1"/>
  <c r="F116" i="5"/>
  <c r="A116" i="5"/>
  <c r="O115" i="5"/>
  <c r="J115" i="5"/>
  <c r="G115" i="5"/>
  <c r="R115" i="5" s="1"/>
  <c r="F115" i="5"/>
  <c r="A115" i="5"/>
  <c r="O114" i="5"/>
  <c r="J114" i="5"/>
  <c r="G114" i="5"/>
  <c r="H114" i="5" s="1"/>
  <c r="L114" i="5" s="1"/>
  <c r="F114" i="5"/>
  <c r="A114" i="5"/>
  <c r="O113" i="5"/>
  <c r="J113" i="5"/>
  <c r="G113" i="5"/>
  <c r="F113" i="5"/>
  <c r="H113" i="5" s="1"/>
  <c r="Q113" i="5" s="1"/>
  <c r="A113" i="5"/>
  <c r="O112" i="5"/>
  <c r="M112" i="5"/>
  <c r="J112" i="5"/>
  <c r="G112" i="5"/>
  <c r="F112" i="5"/>
  <c r="A112" i="5"/>
  <c r="O111" i="5"/>
  <c r="J111" i="5"/>
  <c r="G111" i="5"/>
  <c r="R111" i="5" s="1"/>
  <c r="F111" i="5"/>
  <c r="A111" i="5"/>
  <c r="O110" i="5"/>
  <c r="J110" i="5"/>
  <c r="G110" i="5"/>
  <c r="F110" i="5"/>
  <c r="A110" i="5"/>
  <c r="O109" i="5"/>
  <c r="J109" i="5"/>
  <c r="G109" i="5"/>
  <c r="M109" i="5" s="1"/>
  <c r="F109" i="5"/>
  <c r="A109" i="5"/>
  <c r="R108" i="5"/>
  <c r="O108" i="5"/>
  <c r="J108" i="5"/>
  <c r="G108" i="5"/>
  <c r="M108" i="5" s="1"/>
  <c r="F108" i="5"/>
  <c r="H108" i="5" s="1"/>
  <c r="A108" i="5"/>
  <c r="O107" i="5"/>
  <c r="J107" i="5"/>
  <c r="G107" i="5"/>
  <c r="H107" i="5" s="1"/>
  <c r="F107" i="5"/>
  <c r="A107" i="5"/>
  <c r="O106" i="5"/>
  <c r="J106" i="5"/>
  <c r="G106" i="5"/>
  <c r="M106" i="5" s="1"/>
  <c r="F106" i="5"/>
  <c r="H106" i="5" s="1"/>
  <c r="L106" i="5" s="1"/>
  <c r="A106" i="5"/>
  <c r="O105" i="5"/>
  <c r="J105" i="5"/>
  <c r="G105" i="5"/>
  <c r="M105" i="5" s="1"/>
  <c r="F105" i="5"/>
  <c r="A105" i="5"/>
  <c r="O104" i="5"/>
  <c r="J104" i="5"/>
  <c r="G104" i="5"/>
  <c r="M104" i="5" s="1"/>
  <c r="F104" i="5"/>
  <c r="A104" i="5"/>
  <c r="O103" i="5"/>
  <c r="J103" i="5"/>
  <c r="G103" i="5"/>
  <c r="F103" i="5"/>
  <c r="A103" i="5"/>
  <c r="O102" i="5"/>
  <c r="J102" i="5"/>
  <c r="H102" i="5"/>
  <c r="L102" i="5" s="1"/>
  <c r="G102" i="5"/>
  <c r="M102" i="5" s="1"/>
  <c r="F102" i="5"/>
  <c r="A102" i="5"/>
  <c r="O101" i="5"/>
  <c r="J101" i="5"/>
  <c r="G101" i="5"/>
  <c r="M101" i="5" s="1"/>
  <c r="F101" i="5"/>
  <c r="A101" i="5"/>
  <c r="O100" i="5"/>
  <c r="J100" i="5"/>
  <c r="G100" i="5"/>
  <c r="F100" i="5"/>
  <c r="A100" i="5"/>
  <c r="O99" i="5"/>
  <c r="J99" i="5"/>
  <c r="G99" i="5"/>
  <c r="H99" i="5" s="1"/>
  <c r="F99" i="5"/>
  <c r="A99" i="5"/>
  <c r="O98" i="5"/>
  <c r="J98" i="5"/>
  <c r="G98" i="5"/>
  <c r="M98" i="5" s="1"/>
  <c r="F98" i="5"/>
  <c r="A98" i="5"/>
  <c r="O97" i="5"/>
  <c r="J97" i="5"/>
  <c r="G97" i="5"/>
  <c r="M97" i="5" s="1"/>
  <c r="F97" i="5"/>
  <c r="A97" i="5"/>
  <c r="R96" i="5"/>
  <c r="O96" i="5"/>
  <c r="J96" i="5"/>
  <c r="G96" i="5"/>
  <c r="M96" i="5" s="1"/>
  <c r="F96" i="5"/>
  <c r="H96" i="5" s="1"/>
  <c r="A96" i="5"/>
  <c r="O95" i="5"/>
  <c r="J95" i="5"/>
  <c r="G95" i="5"/>
  <c r="H95" i="5" s="1"/>
  <c r="F95" i="5"/>
  <c r="A95" i="5"/>
  <c r="R94" i="5"/>
  <c r="O94" i="5"/>
  <c r="J94" i="5"/>
  <c r="G94" i="5"/>
  <c r="F94" i="5"/>
  <c r="A94" i="5"/>
  <c r="O93" i="5"/>
  <c r="J93" i="5"/>
  <c r="G93" i="5"/>
  <c r="M93" i="5" s="1"/>
  <c r="F93" i="5"/>
  <c r="A93" i="5"/>
  <c r="R92" i="5"/>
  <c r="O92" i="5"/>
  <c r="J92" i="5"/>
  <c r="G92" i="5"/>
  <c r="M92" i="5" s="1"/>
  <c r="F92" i="5"/>
  <c r="H92" i="5" s="1"/>
  <c r="L92" i="5" s="1"/>
  <c r="A92" i="5"/>
  <c r="O91" i="5"/>
  <c r="J91" i="5"/>
  <c r="G91" i="5"/>
  <c r="F91" i="5"/>
  <c r="A91" i="5"/>
  <c r="O90" i="5"/>
  <c r="J90" i="5"/>
  <c r="G90" i="5"/>
  <c r="M90" i="5" s="1"/>
  <c r="F90" i="5"/>
  <c r="A90" i="5"/>
  <c r="O89" i="5"/>
  <c r="J89" i="5"/>
  <c r="G89" i="5"/>
  <c r="M89" i="5" s="1"/>
  <c r="F89" i="5"/>
  <c r="A89" i="5"/>
  <c r="R88" i="5"/>
  <c r="O88" i="5"/>
  <c r="J88" i="5"/>
  <c r="G88" i="5"/>
  <c r="M88" i="5" s="1"/>
  <c r="F88" i="5"/>
  <c r="H88" i="5" s="1"/>
  <c r="L88" i="5" s="1"/>
  <c r="A88" i="5"/>
  <c r="O87" i="5"/>
  <c r="J87" i="5"/>
  <c r="G87" i="5"/>
  <c r="H87" i="5" s="1"/>
  <c r="L87" i="5" s="1"/>
  <c r="F87" i="5"/>
  <c r="A87" i="5"/>
  <c r="R86" i="5"/>
  <c r="O86" i="5"/>
  <c r="J86" i="5"/>
  <c r="G86" i="5"/>
  <c r="F86" i="5"/>
  <c r="A86" i="5"/>
  <c r="O85" i="5"/>
  <c r="M85" i="5"/>
  <c r="J85" i="5"/>
  <c r="G85" i="5"/>
  <c r="F85" i="5"/>
  <c r="A85" i="5"/>
  <c r="O84" i="5"/>
  <c r="J84" i="5"/>
  <c r="G84" i="5"/>
  <c r="M84" i="5" s="1"/>
  <c r="F84" i="5"/>
  <c r="A84" i="5"/>
  <c r="O83" i="5"/>
  <c r="J83" i="5"/>
  <c r="G83" i="5"/>
  <c r="F83" i="5"/>
  <c r="A83" i="5"/>
  <c r="O82" i="5"/>
  <c r="J82" i="5"/>
  <c r="H82" i="5"/>
  <c r="G82" i="5"/>
  <c r="M82" i="5" s="1"/>
  <c r="F82" i="5"/>
  <c r="A82" i="5"/>
  <c r="O81" i="5"/>
  <c r="J81" i="5"/>
  <c r="G81" i="5"/>
  <c r="F81" i="5"/>
  <c r="A81" i="5"/>
  <c r="O80" i="5"/>
  <c r="J80" i="5"/>
  <c r="G80" i="5"/>
  <c r="F80" i="5"/>
  <c r="A80" i="5"/>
  <c r="O79" i="5"/>
  <c r="J79" i="5"/>
  <c r="G79" i="5"/>
  <c r="H79" i="5" s="1"/>
  <c r="L79" i="5" s="1"/>
  <c r="F79" i="5"/>
  <c r="B79" i="5"/>
  <c r="A79" i="5"/>
  <c r="O78" i="5"/>
  <c r="J78" i="5"/>
  <c r="G78" i="5"/>
  <c r="F78" i="5"/>
  <c r="A78" i="5"/>
  <c r="O77" i="5"/>
  <c r="J77" i="5"/>
  <c r="G77" i="5"/>
  <c r="M77" i="5" s="1"/>
  <c r="F77" i="5"/>
  <c r="A77" i="5"/>
  <c r="R76" i="5"/>
  <c r="O76" i="5"/>
  <c r="J76" i="5"/>
  <c r="G76" i="5"/>
  <c r="M76" i="5" s="1"/>
  <c r="F76" i="5"/>
  <c r="H76" i="5" s="1"/>
  <c r="L76" i="5" s="1"/>
  <c r="A76" i="5"/>
  <c r="O75" i="5"/>
  <c r="J75" i="5"/>
  <c r="G75" i="5"/>
  <c r="H75" i="5" s="1"/>
  <c r="L75" i="5" s="1"/>
  <c r="F75" i="5"/>
  <c r="A75" i="5"/>
  <c r="O74" i="5"/>
  <c r="J74" i="5"/>
  <c r="G74" i="5"/>
  <c r="M74" i="5" s="1"/>
  <c r="F74" i="5"/>
  <c r="H74" i="5" s="1"/>
  <c r="A74" i="5"/>
  <c r="O73" i="5"/>
  <c r="J73" i="5"/>
  <c r="G73" i="5"/>
  <c r="M73" i="5" s="1"/>
  <c r="F73" i="5"/>
  <c r="A73" i="5"/>
  <c r="O72" i="5"/>
  <c r="L72" i="5"/>
  <c r="J72" i="5"/>
  <c r="G72" i="5"/>
  <c r="M72" i="5" s="1"/>
  <c r="F72" i="5"/>
  <c r="H72" i="5" s="1"/>
  <c r="A72" i="5"/>
  <c r="O71" i="5"/>
  <c r="J71" i="5"/>
  <c r="G71" i="5"/>
  <c r="F71" i="5"/>
  <c r="A71" i="5"/>
  <c r="O70" i="5"/>
  <c r="J70" i="5"/>
  <c r="G70" i="5"/>
  <c r="R70" i="5" s="1"/>
  <c r="F70" i="5"/>
  <c r="A70" i="5"/>
  <c r="O69" i="5"/>
  <c r="J69" i="5"/>
  <c r="G69" i="5"/>
  <c r="M69" i="5" s="1"/>
  <c r="F69" i="5"/>
  <c r="A69" i="5"/>
  <c r="O68" i="5"/>
  <c r="J68" i="5"/>
  <c r="G68" i="5"/>
  <c r="M68" i="5" s="1"/>
  <c r="F68" i="5"/>
  <c r="A68" i="5"/>
  <c r="O67" i="5"/>
  <c r="J67" i="5"/>
  <c r="G67" i="5"/>
  <c r="F67" i="5"/>
  <c r="A67" i="5"/>
  <c r="O66" i="5"/>
  <c r="J66" i="5"/>
  <c r="G66" i="5"/>
  <c r="M66" i="5" s="1"/>
  <c r="F66" i="5"/>
  <c r="H66" i="5" s="1"/>
  <c r="A66" i="5"/>
  <c r="O65" i="5"/>
  <c r="J65" i="5"/>
  <c r="G65" i="5"/>
  <c r="F65" i="5"/>
  <c r="A65" i="5"/>
  <c r="O64" i="5"/>
  <c r="J64" i="5"/>
  <c r="G64" i="5"/>
  <c r="F64" i="5"/>
  <c r="A64" i="5"/>
  <c r="O63" i="5"/>
  <c r="J63" i="5"/>
  <c r="G63" i="5"/>
  <c r="F63" i="5"/>
  <c r="A63" i="5"/>
  <c r="O62" i="5"/>
  <c r="J62" i="5"/>
  <c r="G62" i="5"/>
  <c r="R62" i="5" s="1"/>
  <c r="F62" i="5"/>
  <c r="A62" i="5"/>
  <c r="O61" i="5"/>
  <c r="J61" i="5"/>
  <c r="G61" i="5"/>
  <c r="M61" i="5" s="1"/>
  <c r="F61" i="5"/>
  <c r="A61" i="5"/>
  <c r="R60" i="5"/>
  <c r="O60" i="5"/>
  <c r="J60" i="5"/>
  <c r="G60" i="5"/>
  <c r="M60" i="5" s="1"/>
  <c r="F60" i="5"/>
  <c r="H60" i="5" s="1"/>
  <c r="L60" i="5" s="1"/>
  <c r="A60" i="5"/>
  <c r="O59" i="5"/>
  <c r="J59" i="5"/>
  <c r="G59" i="5"/>
  <c r="F59" i="5"/>
  <c r="A59" i="5"/>
  <c r="O58" i="5"/>
  <c r="J58" i="5"/>
  <c r="G58" i="5"/>
  <c r="M58" i="5" s="1"/>
  <c r="F58" i="5"/>
  <c r="H58" i="5" s="1"/>
  <c r="A58" i="5"/>
  <c r="O57" i="5"/>
  <c r="J57" i="5"/>
  <c r="G57" i="5"/>
  <c r="F57" i="5"/>
  <c r="A57" i="5"/>
  <c r="O56" i="5"/>
  <c r="J56" i="5"/>
  <c r="G56" i="5"/>
  <c r="M56" i="5" s="1"/>
  <c r="F56" i="5"/>
  <c r="H56" i="5" s="1"/>
  <c r="A56" i="5"/>
  <c r="O55" i="5"/>
  <c r="J55" i="5"/>
  <c r="G55" i="5"/>
  <c r="F55" i="5"/>
  <c r="A55" i="5"/>
  <c r="O54" i="5"/>
  <c r="J54" i="5"/>
  <c r="H54" i="5"/>
  <c r="G54" i="5"/>
  <c r="M54" i="5" s="1"/>
  <c r="F54" i="5"/>
  <c r="A54" i="5"/>
  <c r="O53" i="5"/>
  <c r="J53" i="5"/>
  <c r="G53" i="5"/>
  <c r="F53" i="5"/>
  <c r="A53" i="5"/>
  <c r="O52" i="5"/>
  <c r="J52" i="5"/>
  <c r="H52" i="5"/>
  <c r="G52" i="5"/>
  <c r="M52" i="5" s="1"/>
  <c r="F52" i="5"/>
  <c r="A52" i="5"/>
  <c r="O51" i="5"/>
  <c r="J51" i="5"/>
  <c r="G51" i="5"/>
  <c r="F51" i="5"/>
  <c r="A51" i="5"/>
  <c r="O50" i="5"/>
  <c r="J50" i="5"/>
  <c r="G50" i="5"/>
  <c r="M50" i="5" s="1"/>
  <c r="F50" i="5"/>
  <c r="H50" i="5" s="1"/>
  <c r="A50" i="5"/>
  <c r="O49" i="5"/>
  <c r="J49" i="5"/>
  <c r="G49" i="5"/>
  <c r="F49" i="5"/>
  <c r="A49" i="5"/>
  <c r="O48" i="5"/>
  <c r="J48" i="5"/>
  <c r="G48" i="5"/>
  <c r="M48" i="5" s="1"/>
  <c r="F48" i="5"/>
  <c r="H48" i="5" s="1"/>
  <c r="A48" i="5"/>
  <c r="O47" i="5"/>
  <c r="J47" i="5"/>
  <c r="G47" i="5"/>
  <c r="F47" i="5"/>
  <c r="A47" i="5"/>
  <c r="O46" i="5"/>
  <c r="J46" i="5"/>
  <c r="H46" i="5"/>
  <c r="G46" i="5"/>
  <c r="M46" i="5" s="1"/>
  <c r="F46" i="5"/>
  <c r="A46" i="5"/>
  <c r="O45" i="5"/>
  <c r="J45" i="5"/>
  <c r="G45" i="5"/>
  <c r="F45" i="5"/>
  <c r="A45" i="5"/>
  <c r="O44" i="5"/>
  <c r="J44" i="5"/>
  <c r="H44" i="5"/>
  <c r="G44" i="5"/>
  <c r="M44" i="5" s="1"/>
  <c r="F44" i="5"/>
  <c r="A44" i="5"/>
  <c r="O43" i="5"/>
  <c r="J43" i="5"/>
  <c r="G43" i="5"/>
  <c r="F43" i="5"/>
  <c r="A43" i="5"/>
  <c r="O42" i="5"/>
  <c r="J42" i="5"/>
  <c r="G42" i="5"/>
  <c r="M42" i="5" s="1"/>
  <c r="F42" i="5"/>
  <c r="H42" i="5" s="1"/>
  <c r="A42" i="5"/>
  <c r="O41" i="5"/>
  <c r="J41" i="5"/>
  <c r="G41" i="5"/>
  <c r="F41" i="5"/>
  <c r="A41" i="5"/>
  <c r="O40" i="5"/>
  <c r="J40" i="5"/>
  <c r="G40" i="5"/>
  <c r="M40" i="5" s="1"/>
  <c r="F40" i="5"/>
  <c r="H40" i="5" s="1"/>
  <c r="A40" i="5"/>
  <c r="O39" i="5"/>
  <c r="J39" i="5"/>
  <c r="G39" i="5"/>
  <c r="F39" i="5"/>
  <c r="A39" i="5"/>
  <c r="O38" i="5"/>
  <c r="J38" i="5"/>
  <c r="H38" i="5"/>
  <c r="G38" i="5"/>
  <c r="M38" i="5" s="1"/>
  <c r="F38" i="5"/>
  <c r="A38" i="5"/>
  <c r="O37" i="5"/>
  <c r="J37" i="5"/>
  <c r="G37" i="5"/>
  <c r="F37" i="5"/>
  <c r="A37" i="5"/>
  <c r="O36" i="5"/>
  <c r="J36" i="5"/>
  <c r="H36" i="5"/>
  <c r="G36" i="5"/>
  <c r="M36" i="5" s="1"/>
  <c r="F36" i="5"/>
  <c r="A36" i="5"/>
  <c r="O35" i="5"/>
  <c r="J35" i="5"/>
  <c r="G35" i="5"/>
  <c r="F35" i="5"/>
  <c r="A35" i="5"/>
  <c r="O34" i="5"/>
  <c r="J34" i="5"/>
  <c r="G34" i="5"/>
  <c r="M34" i="5" s="1"/>
  <c r="F34" i="5"/>
  <c r="H34" i="5" s="1"/>
  <c r="A34" i="5"/>
  <c r="O33" i="5"/>
  <c r="J33" i="5"/>
  <c r="G33" i="5"/>
  <c r="F33" i="5"/>
  <c r="A33" i="5"/>
  <c r="O32" i="5"/>
  <c r="J32" i="5"/>
  <c r="G32" i="5"/>
  <c r="M32" i="5" s="1"/>
  <c r="F32" i="5"/>
  <c r="H32" i="5" s="1"/>
  <c r="A32" i="5"/>
  <c r="O31" i="5"/>
  <c r="J31" i="5"/>
  <c r="G31" i="5"/>
  <c r="F31" i="5"/>
  <c r="A31" i="5"/>
  <c r="O30" i="5"/>
  <c r="J30" i="5"/>
  <c r="H30" i="5"/>
  <c r="G30" i="5"/>
  <c r="M30" i="5" s="1"/>
  <c r="F30" i="5"/>
  <c r="A30" i="5"/>
  <c r="O29" i="5"/>
  <c r="J29" i="5"/>
  <c r="G29" i="5"/>
  <c r="F29" i="5"/>
  <c r="A29" i="5"/>
  <c r="O28" i="5"/>
  <c r="J28" i="5"/>
  <c r="H28" i="5"/>
  <c r="G28" i="5"/>
  <c r="M28" i="5" s="1"/>
  <c r="F28" i="5"/>
  <c r="A28" i="5"/>
  <c r="O27" i="5"/>
  <c r="J27" i="5"/>
  <c r="G27" i="5"/>
  <c r="F27" i="5"/>
  <c r="A27" i="5"/>
  <c r="O26" i="5"/>
  <c r="J26" i="5"/>
  <c r="G26" i="5"/>
  <c r="M26" i="5" s="1"/>
  <c r="F26" i="5"/>
  <c r="H26" i="5" s="1"/>
  <c r="A26" i="5"/>
  <c r="O25" i="5"/>
  <c r="J25" i="5"/>
  <c r="G25" i="5"/>
  <c r="F25" i="5"/>
  <c r="A25" i="5"/>
  <c r="O24" i="5"/>
  <c r="J24" i="5"/>
  <c r="G24" i="5"/>
  <c r="M24" i="5" s="1"/>
  <c r="F24" i="5"/>
  <c r="H24" i="5" s="1"/>
  <c r="A24" i="5"/>
  <c r="O23" i="5"/>
  <c r="J23" i="5"/>
  <c r="G23" i="5"/>
  <c r="F23" i="5"/>
  <c r="A23" i="5"/>
  <c r="O22" i="5"/>
  <c r="J22" i="5"/>
  <c r="H22" i="5"/>
  <c r="G22" i="5"/>
  <c r="M22" i="5" s="1"/>
  <c r="F22" i="5"/>
  <c r="A22" i="5"/>
  <c r="O21" i="5"/>
  <c r="J21" i="5"/>
  <c r="G21" i="5"/>
  <c r="F21" i="5"/>
  <c r="A21" i="5"/>
  <c r="O20" i="5"/>
  <c r="J20" i="5"/>
  <c r="H20" i="5"/>
  <c r="G20" i="5"/>
  <c r="M20" i="5" s="1"/>
  <c r="F20" i="5"/>
  <c r="A20" i="5"/>
  <c r="O19" i="5"/>
  <c r="J19" i="5"/>
  <c r="G19" i="5"/>
  <c r="F19" i="5"/>
  <c r="A19" i="5"/>
  <c r="O18" i="5"/>
  <c r="J18" i="5"/>
  <c r="G18" i="5"/>
  <c r="M18" i="5" s="1"/>
  <c r="F18" i="5"/>
  <c r="H18" i="5" s="1"/>
  <c r="A18" i="5"/>
  <c r="O17" i="5"/>
  <c r="J17" i="5"/>
  <c r="G17" i="5"/>
  <c r="F17" i="5"/>
  <c r="A17" i="5"/>
  <c r="O16" i="5"/>
  <c r="J16" i="5"/>
  <c r="G16" i="5"/>
  <c r="M16" i="5" s="1"/>
  <c r="F16" i="5"/>
  <c r="H16" i="5" s="1"/>
  <c r="A16" i="5"/>
  <c r="O15" i="5"/>
  <c r="J15" i="5"/>
  <c r="G15" i="5"/>
  <c r="F15" i="5"/>
  <c r="A15" i="5"/>
  <c r="O14" i="5"/>
  <c r="J14" i="5"/>
  <c r="H14" i="5"/>
  <c r="G14" i="5"/>
  <c r="F14" i="5"/>
  <c r="A14" i="5"/>
  <c r="O13" i="5"/>
  <c r="J13" i="5"/>
  <c r="G13" i="5"/>
  <c r="F13" i="5"/>
  <c r="A13" i="5"/>
  <c r="O12" i="5"/>
  <c r="J12" i="5"/>
  <c r="H12" i="5"/>
  <c r="G12" i="5"/>
  <c r="M12" i="5" s="1"/>
  <c r="F12" i="5"/>
  <c r="A12" i="5"/>
  <c r="O11" i="5"/>
  <c r="J11" i="5"/>
  <c r="G11" i="5"/>
  <c r="F11" i="5"/>
  <c r="A11" i="5"/>
  <c r="O10" i="5"/>
  <c r="J10" i="5"/>
  <c r="H10" i="5"/>
  <c r="G10" i="5"/>
  <c r="M10" i="5" s="1"/>
  <c r="F10" i="5"/>
  <c r="A10" i="5"/>
  <c r="O9" i="5"/>
  <c r="J9" i="5"/>
  <c r="G9" i="5"/>
  <c r="M9" i="5" s="1"/>
  <c r="F9" i="5"/>
  <c r="A9" i="5"/>
  <c r="O8" i="5"/>
  <c r="J8" i="5"/>
  <c r="G8" i="5"/>
  <c r="M8" i="5" s="1"/>
  <c r="F8" i="5"/>
  <c r="A8" i="5"/>
  <c r="O7" i="5"/>
  <c r="J7" i="5"/>
  <c r="G7" i="5"/>
  <c r="H7" i="5" s="1"/>
  <c r="F7" i="5"/>
  <c r="A7" i="5"/>
  <c r="R6" i="5"/>
  <c r="O6" i="5"/>
  <c r="J6" i="5"/>
  <c r="G6" i="5"/>
  <c r="F6" i="5"/>
  <c r="A6" i="5"/>
  <c r="O5" i="5"/>
  <c r="J5" i="5"/>
  <c r="G5" i="5"/>
  <c r="M5" i="5" s="1"/>
  <c r="F5" i="5"/>
  <c r="A5" i="5"/>
  <c r="O4" i="5"/>
  <c r="J4" i="5"/>
  <c r="G4" i="5"/>
  <c r="M4" i="5" s="1"/>
  <c r="F4" i="5"/>
  <c r="A4" i="5"/>
  <c r="J252" i="4"/>
  <c r="G252" i="4"/>
  <c r="M252" i="4" s="1"/>
  <c r="F252" i="4"/>
  <c r="A252" i="4"/>
  <c r="J251" i="4"/>
  <c r="H251" i="4"/>
  <c r="L251" i="4" s="1"/>
  <c r="G251" i="4"/>
  <c r="M251" i="4" s="1"/>
  <c r="F251" i="4"/>
  <c r="A251" i="4"/>
  <c r="J250" i="4"/>
  <c r="G250" i="4"/>
  <c r="M250" i="4" s="1"/>
  <c r="F250" i="4"/>
  <c r="A250" i="4"/>
  <c r="J249" i="4"/>
  <c r="G249" i="4"/>
  <c r="M249" i="4" s="1"/>
  <c r="F249" i="4"/>
  <c r="A249" i="4"/>
  <c r="J248" i="4"/>
  <c r="G248" i="4"/>
  <c r="M248" i="4" s="1"/>
  <c r="F248" i="4"/>
  <c r="A248" i="4"/>
  <c r="J247" i="4"/>
  <c r="H247" i="4"/>
  <c r="L247" i="4" s="1"/>
  <c r="G247" i="4"/>
  <c r="M247" i="4" s="1"/>
  <c r="F247" i="4"/>
  <c r="A247" i="4"/>
  <c r="J246" i="4"/>
  <c r="G246" i="4"/>
  <c r="M246" i="4" s="1"/>
  <c r="F246" i="4"/>
  <c r="A246" i="4"/>
  <c r="J245" i="4"/>
  <c r="G245" i="4"/>
  <c r="M245" i="4" s="1"/>
  <c r="F245" i="4"/>
  <c r="A245" i="4"/>
  <c r="J244" i="4"/>
  <c r="G244" i="4"/>
  <c r="M244" i="4" s="1"/>
  <c r="F244" i="4"/>
  <c r="A244" i="4"/>
  <c r="J243" i="4"/>
  <c r="H243" i="4"/>
  <c r="L243" i="4" s="1"/>
  <c r="G243" i="4"/>
  <c r="M243" i="4" s="1"/>
  <c r="F243" i="4"/>
  <c r="A243" i="4"/>
  <c r="J242" i="4"/>
  <c r="G242" i="4"/>
  <c r="M242" i="4" s="1"/>
  <c r="F242" i="4"/>
  <c r="A242" i="4"/>
  <c r="J241" i="4"/>
  <c r="G241" i="4"/>
  <c r="M241" i="4" s="1"/>
  <c r="F241" i="4"/>
  <c r="A241" i="4"/>
  <c r="J240" i="4"/>
  <c r="G240" i="4"/>
  <c r="M240" i="4" s="1"/>
  <c r="F240" i="4"/>
  <c r="A240" i="4"/>
  <c r="J239" i="4"/>
  <c r="H239" i="4"/>
  <c r="L239" i="4" s="1"/>
  <c r="G239" i="4"/>
  <c r="M239" i="4" s="1"/>
  <c r="F239" i="4"/>
  <c r="A239" i="4"/>
  <c r="J238" i="4"/>
  <c r="G238" i="4"/>
  <c r="M238" i="4" s="1"/>
  <c r="F238" i="4"/>
  <c r="A238" i="4"/>
  <c r="J237" i="4"/>
  <c r="G237" i="4"/>
  <c r="M237" i="4" s="1"/>
  <c r="F237" i="4"/>
  <c r="A237" i="4"/>
  <c r="J236" i="4"/>
  <c r="G236" i="4"/>
  <c r="M236" i="4" s="1"/>
  <c r="F236" i="4"/>
  <c r="A236" i="4"/>
  <c r="J235" i="4"/>
  <c r="H235" i="4"/>
  <c r="L235" i="4" s="1"/>
  <c r="G235" i="4"/>
  <c r="M235" i="4" s="1"/>
  <c r="F235" i="4"/>
  <c r="A235" i="4"/>
  <c r="J234" i="4"/>
  <c r="G234" i="4"/>
  <c r="M234" i="4" s="1"/>
  <c r="F234" i="4"/>
  <c r="H234" i="4" s="1"/>
  <c r="L234" i="4" s="1"/>
  <c r="A234" i="4"/>
  <c r="J233" i="4"/>
  <c r="G233" i="4"/>
  <c r="M233" i="4" s="1"/>
  <c r="F233" i="4"/>
  <c r="A233" i="4"/>
  <c r="J232" i="4"/>
  <c r="G232" i="4"/>
  <c r="M232" i="4" s="1"/>
  <c r="F232" i="4"/>
  <c r="A232" i="4"/>
  <c r="J231" i="4"/>
  <c r="H231" i="4"/>
  <c r="L231" i="4" s="1"/>
  <c r="G231" i="4"/>
  <c r="M231" i="4" s="1"/>
  <c r="F231" i="4"/>
  <c r="A231" i="4"/>
  <c r="J230" i="4"/>
  <c r="G230" i="4"/>
  <c r="M230" i="4" s="1"/>
  <c r="F230" i="4"/>
  <c r="H230" i="4" s="1"/>
  <c r="L230" i="4" s="1"/>
  <c r="A230" i="4"/>
  <c r="J229" i="4"/>
  <c r="G229" i="4"/>
  <c r="M229" i="4" s="1"/>
  <c r="F229" i="4"/>
  <c r="A229" i="4"/>
  <c r="J228" i="4"/>
  <c r="G228" i="4"/>
  <c r="M228" i="4" s="1"/>
  <c r="F228" i="4"/>
  <c r="A228" i="4"/>
  <c r="J227" i="4"/>
  <c r="H227" i="4"/>
  <c r="L227" i="4" s="1"/>
  <c r="G227" i="4"/>
  <c r="M227" i="4" s="1"/>
  <c r="F227" i="4"/>
  <c r="A227" i="4"/>
  <c r="J226" i="4"/>
  <c r="G226" i="4"/>
  <c r="M226" i="4" s="1"/>
  <c r="F226" i="4"/>
  <c r="A226" i="4"/>
  <c r="J225" i="4"/>
  <c r="G225" i="4"/>
  <c r="M225" i="4" s="1"/>
  <c r="F225" i="4"/>
  <c r="A225" i="4"/>
  <c r="J224" i="4"/>
  <c r="G224" i="4"/>
  <c r="M224" i="4" s="1"/>
  <c r="F224" i="4"/>
  <c r="A224" i="4"/>
  <c r="J223" i="4"/>
  <c r="H223" i="4"/>
  <c r="L223" i="4" s="1"/>
  <c r="G223" i="4"/>
  <c r="M223" i="4" s="1"/>
  <c r="F223" i="4"/>
  <c r="A223" i="4"/>
  <c r="J222" i="4"/>
  <c r="G222" i="4"/>
  <c r="M222" i="4" s="1"/>
  <c r="F222" i="4"/>
  <c r="H222" i="4" s="1"/>
  <c r="L222" i="4" s="1"/>
  <c r="A222" i="4"/>
  <c r="J221" i="4"/>
  <c r="G221" i="4"/>
  <c r="M221" i="4" s="1"/>
  <c r="F221" i="4"/>
  <c r="A221" i="4"/>
  <c r="J220" i="4"/>
  <c r="G220" i="4"/>
  <c r="M220" i="4" s="1"/>
  <c r="F220" i="4"/>
  <c r="A220" i="4"/>
  <c r="J219" i="4"/>
  <c r="H219" i="4"/>
  <c r="L219" i="4" s="1"/>
  <c r="G219" i="4"/>
  <c r="M219" i="4" s="1"/>
  <c r="F219" i="4"/>
  <c r="A219" i="4"/>
  <c r="J218" i="4"/>
  <c r="G218" i="4"/>
  <c r="M218" i="4" s="1"/>
  <c r="F218" i="4"/>
  <c r="H218" i="4" s="1"/>
  <c r="L218" i="4" s="1"/>
  <c r="A218" i="4"/>
  <c r="J217" i="4"/>
  <c r="G217" i="4"/>
  <c r="M217" i="4" s="1"/>
  <c r="F217" i="4"/>
  <c r="A217" i="4"/>
  <c r="J216" i="4"/>
  <c r="G216" i="4"/>
  <c r="M216" i="4" s="1"/>
  <c r="F216" i="4"/>
  <c r="A216" i="4"/>
  <c r="J215" i="4"/>
  <c r="H215" i="4"/>
  <c r="L215" i="4" s="1"/>
  <c r="G215" i="4"/>
  <c r="M215" i="4" s="1"/>
  <c r="F215" i="4"/>
  <c r="A215" i="4"/>
  <c r="J214" i="4"/>
  <c r="G214" i="4"/>
  <c r="M214" i="4" s="1"/>
  <c r="F214" i="4"/>
  <c r="H214" i="4" s="1"/>
  <c r="L214" i="4" s="1"/>
  <c r="A214" i="4"/>
  <c r="J213" i="4"/>
  <c r="G213" i="4"/>
  <c r="M213" i="4" s="1"/>
  <c r="F213" i="4"/>
  <c r="A213" i="4"/>
  <c r="J212" i="4"/>
  <c r="G212" i="4"/>
  <c r="M212" i="4" s="1"/>
  <c r="F212" i="4"/>
  <c r="A212" i="4"/>
  <c r="J211" i="4"/>
  <c r="H211" i="4"/>
  <c r="L211" i="4" s="1"/>
  <c r="G211" i="4"/>
  <c r="M211" i="4" s="1"/>
  <c r="F211" i="4"/>
  <c r="A211" i="4"/>
  <c r="J210" i="4"/>
  <c r="G210" i="4"/>
  <c r="M210" i="4" s="1"/>
  <c r="F210" i="4"/>
  <c r="H210" i="4" s="1"/>
  <c r="L210" i="4" s="1"/>
  <c r="A210" i="4"/>
  <c r="J209" i="4"/>
  <c r="G209" i="4"/>
  <c r="M209" i="4" s="1"/>
  <c r="F209" i="4"/>
  <c r="A209" i="4"/>
  <c r="J208" i="4"/>
  <c r="G208" i="4"/>
  <c r="M208" i="4" s="1"/>
  <c r="F208" i="4"/>
  <c r="A208" i="4"/>
  <c r="J207" i="4"/>
  <c r="H207" i="4"/>
  <c r="L207" i="4" s="1"/>
  <c r="G207" i="4"/>
  <c r="M207" i="4" s="1"/>
  <c r="F207" i="4"/>
  <c r="A207" i="4"/>
  <c r="J206" i="4"/>
  <c r="G206" i="4"/>
  <c r="M206" i="4" s="1"/>
  <c r="F206" i="4"/>
  <c r="H206" i="4" s="1"/>
  <c r="L206" i="4" s="1"/>
  <c r="A206" i="4"/>
  <c r="J205" i="4"/>
  <c r="G205" i="4"/>
  <c r="M205" i="4" s="1"/>
  <c r="F205" i="4"/>
  <c r="A205" i="4"/>
  <c r="J204" i="4"/>
  <c r="G204" i="4"/>
  <c r="M204" i="4" s="1"/>
  <c r="F204" i="4"/>
  <c r="A204" i="4"/>
  <c r="J203" i="4"/>
  <c r="H203" i="4"/>
  <c r="G203" i="4"/>
  <c r="M203" i="4" s="1"/>
  <c r="F203" i="4"/>
  <c r="A203" i="4"/>
  <c r="J202" i="4"/>
  <c r="G202" i="4"/>
  <c r="M202" i="4" s="1"/>
  <c r="F202" i="4"/>
  <c r="H202" i="4" s="1"/>
  <c r="A202" i="4"/>
  <c r="J201" i="4"/>
  <c r="G201" i="4"/>
  <c r="M201" i="4" s="1"/>
  <c r="F201" i="4"/>
  <c r="A201" i="4"/>
  <c r="J200" i="4"/>
  <c r="G200" i="4"/>
  <c r="M200" i="4" s="1"/>
  <c r="F200" i="4"/>
  <c r="A200" i="4"/>
  <c r="J199" i="4"/>
  <c r="H199" i="4"/>
  <c r="G199" i="4"/>
  <c r="M199" i="4" s="1"/>
  <c r="F199" i="4"/>
  <c r="A199" i="4"/>
  <c r="J198" i="4"/>
  <c r="G198" i="4"/>
  <c r="M198" i="4" s="1"/>
  <c r="F198" i="4"/>
  <c r="H198" i="4" s="1"/>
  <c r="A198" i="4"/>
  <c r="J197" i="4"/>
  <c r="G197" i="4"/>
  <c r="M197" i="4" s="1"/>
  <c r="F197" i="4"/>
  <c r="A197" i="4"/>
  <c r="J196" i="4"/>
  <c r="G196" i="4"/>
  <c r="M196" i="4" s="1"/>
  <c r="F196" i="4"/>
  <c r="A196" i="4"/>
  <c r="J195" i="4"/>
  <c r="H195" i="4"/>
  <c r="G195" i="4"/>
  <c r="M195" i="4" s="1"/>
  <c r="F195" i="4"/>
  <c r="A195" i="4"/>
  <c r="J194" i="4"/>
  <c r="G194" i="4"/>
  <c r="M194" i="4" s="1"/>
  <c r="F194" i="4"/>
  <c r="A194" i="4"/>
  <c r="J193" i="4"/>
  <c r="G193" i="4"/>
  <c r="M193" i="4" s="1"/>
  <c r="F193" i="4"/>
  <c r="A193" i="4"/>
  <c r="J192" i="4"/>
  <c r="G192" i="4"/>
  <c r="M192" i="4" s="1"/>
  <c r="F192" i="4"/>
  <c r="A192" i="4"/>
  <c r="J191" i="4"/>
  <c r="H191" i="4"/>
  <c r="G191" i="4"/>
  <c r="M191" i="4" s="1"/>
  <c r="F191" i="4"/>
  <c r="A191" i="4"/>
  <c r="J190" i="4"/>
  <c r="G190" i="4"/>
  <c r="M190" i="4" s="1"/>
  <c r="F190" i="4"/>
  <c r="A190" i="4"/>
  <c r="J189" i="4"/>
  <c r="G189" i="4"/>
  <c r="M189" i="4" s="1"/>
  <c r="F189" i="4"/>
  <c r="A189" i="4"/>
  <c r="J188" i="4"/>
  <c r="G188" i="4"/>
  <c r="M188" i="4" s="1"/>
  <c r="F188" i="4"/>
  <c r="A188" i="4"/>
  <c r="J187" i="4"/>
  <c r="H187" i="4"/>
  <c r="G187" i="4"/>
  <c r="M187" i="4" s="1"/>
  <c r="F187" i="4"/>
  <c r="A187" i="4"/>
  <c r="J186" i="4"/>
  <c r="G186" i="4"/>
  <c r="M186" i="4" s="1"/>
  <c r="F186" i="4"/>
  <c r="A186" i="4"/>
  <c r="J185" i="4"/>
  <c r="G185" i="4"/>
  <c r="M185" i="4" s="1"/>
  <c r="F185" i="4"/>
  <c r="A185" i="4"/>
  <c r="J184" i="4"/>
  <c r="G184" i="4"/>
  <c r="M184" i="4" s="1"/>
  <c r="F184" i="4"/>
  <c r="A184" i="4"/>
  <c r="J183" i="4"/>
  <c r="H183" i="4"/>
  <c r="G183" i="4"/>
  <c r="M183" i="4" s="1"/>
  <c r="F183" i="4"/>
  <c r="A183" i="4"/>
  <c r="J182" i="4"/>
  <c r="G182" i="4"/>
  <c r="M182" i="4" s="1"/>
  <c r="F182" i="4"/>
  <c r="H182" i="4" s="1"/>
  <c r="A182" i="4"/>
  <c r="J181" i="4"/>
  <c r="G181" i="4"/>
  <c r="M181" i="4" s="1"/>
  <c r="F181" i="4"/>
  <c r="A181" i="4"/>
  <c r="J180" i="4"/>
  <c r="G180" i="4"/>
  <c r="M180" i="4" s="1"/>
  <c r="F180" i="4"/>
  <c r="A180" i="4"/>
  <c r="J179" i="4"/>
  <c r="H179" i="4"/>
  <c r="G179" i="4"/>
  <c r="M179" i="4" s="1"/>
  <c r="F179" i="4"/>
  <c r="A179" i="4"/>
  <c r="J178" i="4"/>
  <c r="G178" i="4"/>
  <c r="M178" i="4" s="1"/>
  <c r="F178" i="4"/>
  <c r="H178" i="4" s="1"/>
  <c r="A178" i="4"/>
  <c r="J177" i="4"/>
  <c r="G177" i="4"/>
  <c r="M177" i="4" s="1"/>
  <c r="F177" i="4"/>
  <c r="A177" i="4"/>
  <c r="J176" i="4"/>
  <c r="G176" i="4"/>
  <c r="M176" i="4" s="1"/>
  <c r="F176" i="4"/>
  <c r="A176" i="4"/>
  <c r="J175" i="4"/>
  <c r="H175" i="4"/>
  <c r="G175" i="4"/>
  <c r="M175" i="4" s="1"/>
  <c r="F175" i="4"/>
  <c r="A175" i="4"/>
  <c r="J174" i="4"/>
  <c r="G174" i="4"/>
  <c r="M174" i="4" s="1"/>
  <c r="F174" i="4"/>
  <c r="H174" i="4" s="1"/>
  <c r="A174" i="4"/>
  <c r="J173" i="4"/>
  <c r="G173" i="4"/>
  <c r="M173" i="4" s="1"/>
  <c r="F173" i="4"/>
  <c r="A173" i="4"/>
  <c r="J172" i="4"/>
  <c r="G172" i="4"/>
  <c r="M172" i="4" s="1"/>
  <c r="F172" i="4"/>
  <c r="A172" i="4"/>
  <c r="J171" i="4"/>
  <c r="H171" i="4"/>
  <c r="G171" i="4"/>
  <c r="M171" i="4" s="1"/>
  <c r="F171" i="4"/>
  <c r="A171" i="4"/>
  <c r="J170" i="4"/>
  <c r="G170" i="4"/>
  <c r="M170" i="4" s="1"/>
  <c r="F170" i="4"/>
  <c r="A170" i="4"/>
  <c r="J169" i="4"/>
  <c r="G169" i="4"/>
  <c r="M169" i="4" s="1"/>
  <c r="F169" i="4"/>
  <c r="A169" i="4"/>
  <c r="J168" i="4"/>
  <c r="G168" i="4"/>
  <c r="M168" i="4" s="1"/>
  <c r="F168" i="4"/>
  <c r="A168" i="4"/>
  <c r="J167" i="4"/>
  <c r="H167" i="4"/>
  <c r="G167" i="4"/>
  <c r="M167" i="4" s="1"/>
  <c r="F167" i="4"/>
  <c r="A167" i="4"/>
  <c r="J166" i="4"/>
  <c r="G166" i="4"/>
  <c r="M166" i="4" s="1"/>
  <c r="F166" i="4"/>
  <c r="A166" i="4"/>
  <c r="J165" i="4"/>
  <c r="G165" i="4"/>
  <c r="M165" i="4" s="1"/>
  <c r="F165" i="4"/>
  <c r="A165" i="4"/>
  <c r="J164" i="4"/>
  <c r="G164" i="4"/>
  <c r="M164" i="4" s="1"/>
  <c r="F164" i="4"/>
  <c r="A164" i="4"/>
  <c r="J163" i="4"/>
  <c r="H163" i="4"/>
  <c r="G163" i="4"/>
  <c r="M163" i="4" s="1"/>
  <c r="F163" i="4"/>
  <c r="A163" i="4"/>
  <c r="J162" i="4"/>
  <c r="G162" i="4"/>
  <c r="M162" i="4" s="1"/>
  <c r="F162" i="4"/>
  <c r="H162" i="4" s="1"/>
  <c r="A162" i="4"/>
  <c r="J161" i="4"/>
  <c r="G161" i="4"/>
  <c r="M161" i="4" s="1"/>
  <c r="F161" i="4"/>
  <c r="A161" i="4"/>
  <c r="J160" i="4"/>
  <c r="G160" i="4"/>
  <c r="M160" i="4" s="1"/>
  <c r="F160" i="4"/>
  <c r="A160" i="4"/>
  <c r="J159" i="4"/>
  <c r="H159" i="4"/>
  <c r="G159" i="4"/>
  <c r="M159" i="4" s="1"/>
  <c r="F159" i="4"/>
  <c r="A159" i="4"/>
  <c r="J158" i="4"/>
  <c r="G158" i="4"/>
  <c r="M158" i="4" s="1"/>
  <c r="F158" i="4"/>
  <c r="A158" i="4"/>
  <c r="J157" i="4"/>
  <c r="G157" i="4"/>
  <c r="M157" i="4" s="1"/>
  <c r="F157" i="4"/>
  <c r="A157" i="4"/>
  <c r="J156" i="4"/>
  <c r="G156" i="4"/>
  <c r="M156" i="4" s="1"/>
  <c r="F156" i="4"/>
  <c r="A156" i="4"/>
  <c r="J155" i="4"/>
  <c r="H155" i="4"/>
  <c r="G155" i="4"/>
  <c r="M155" i="4" s="1"/>
  <c r="F155" i="4"/>
  <c r="A155" i="4"/>
  <c r="J154" i="4"/>
  <c r="G154" i="4"/>
  <c r="M154" i="4" s="1"/>
  <c r="F154" i="4"/>
  <c r="A154" i="4"/>
  <c r="J153" i="4"/>
  <c r="G153" i="4"/>
  <c r="M153" i="4" s="1"/>
  <c r="F153" i="4"/>
  <c r="A153" i="4"/>
  <c r="J152" i="4"/>
  <c r="G152" i="4"/>
  <c r="M152" i="4" s="1"/>
  <c r="F152" i="4"/>
  <c r="A152" i="4"/>
  <c r="J151" i="4"/>
  <c r="H151" i="4"/>
  <c r="G151" i="4"/>
  <c r="M151" i="4" s="1"/>
  <c r="F151" i="4"/>
  <c r="A151" i="4"/>
  <c r="J150" i="4"/>
  <c r="G150" i="4"/>
  <c r="M150" i="4" s="1"/>
  <c r="F150" i="4"/>
  <c r="H150" i="4" s="1"/>
  <c r="A150" i="4"/>
  <c r="J149" i="4"/>
  <c r="G149" i="4"/>
  <c r="M149" i="4" s="1"/>
  <c r="F149" i="4"/>
  <c r="A149" i="4"/>
  <c r="J148" i="4"/>
  <c r="G148" i="4"/>
  <c r="M148" i="4" s="1"/>
  <c r="F148" i="4"/>
  <c r="A148" i="4"/>
  <c r="J147" i="4"/>
  <c r="H147" i="4"/>
  <c r="G147" i="4"/>
  <c r="M147" i="4" s="1"/>
  <c r="F147" i="4"/>
  <c r="A147" i="4"/>
  <c r="J145" i="4"/>
  <c r="G145" i="4"/>
  <c r="M145" i="4" s="1"/>
  <c r="F145" i="4"/>
  <c r="A145" i="4"/>
  <c r="J144" i="4"/>
  <c r="G144" i="4"/>
  <c r="M144" i="4" s="1"/>
  <c r="F144" i="4"/>
  <c r="A144" i="4"/>
  <c r="J143" i="4"/>
  <c r="G143" i="4"/>
  <c r="M143" i="4" s="1"/>
  <c r="F143" i="4"/>
  <c r="A143" i="4"/>
  <c r="J142" i="4"/>
  <c r="H142" i="4"/>
  <c r="G142" i="4"/>
  <c r="M142" i="4" s="1"/>
  <c r="F142" i="4"/>
  <c r="A142" i="4"/>
  <c r="J141" i="4"/>
  <c r="G141" i="4"/>
  <c r="M141" i="4" s="1"/>
  <c r="F141" i="4"/>
  <c r="H141" i="4" s="1"/>
  <c r="A141" i="4"/>
  <c r="J140" i="4"/>
  <c r="G140" i="4"/>
  <c r="M140" i="4" s="1"/>
  <c r="F140" i="4"/>
  <c r="A140" i="4"/>
  <c r="J139" i="4"/>
  <c r="G139" i="4"/>
  <c r="M139" i="4" s="1"/>
  <c r="F139" i="4"/>
  <c r="A139" i="4"/>
  <c r="J138" i="4"/>
  <c r="H138" i="4"/>
  <c r="G138" i="4"/>
  <c r="M138" i="4" s="1"/>
  <c r="F138" i="4"/>
  <c r="A138" i="4"/>
  <c r="J137" i="4"/>
  <c r="G137" i="4"/>
  <c r="M137" i="4" s="1"/>
  <c r="F137" i="4"/>
  <c r="A137" i="4"/>
  <c r="J136" i="4"/>
  <c r="G136" i="4"/>
  <c r="M136" i="4" s="1"/>
  <c r="F136" i="4"/>
  <c r="A136" i="4"/>
  <c r="J135" i="4"/>
  <c r="G135" i="4"/>
  <c r="M135" i="4" s="1"/>
  <c r="F135" i="4"/>
  <c r="A135" i="4"/>
  <c r="J134" i="4"/>
  <c r="H134" i="4"/>
  <c r="G134" i="4"/>
  <c r="M134" i="4" s="1"/>
  <c r="F134" i="4"/>
  <c r="A134" i="4"/>
  <c r="J133" i="4"/>
  <c r="G133" i="4"/>
  <c r="M133" i="4" s="1"/>
  <c r="F133" i="4"/>
  <c r="A133" i="4"/>
  <c r="J132" i="4"/>
  <c r="G132" i="4"/>
  <c r="M132" i="4" s="1"/>
  <c r="F132" i="4"/>
  <c r="A132" i="4"/>
  <c r="J131" i="4"/>
  <c r="G131" i="4"/>
  <c r="M131" i="4" s="1"/>
  <c r="F131" i="4"/>
  <c r="A131" i="4"/>
  <c r="J130" i="4"/>
  <c r="H130" i="4"/>
  <c r="G130" i="4"/>
  <c r="M130" i="4" s="1"/>
  <c r="F130" i="4"/>
  <c r="A130" i="4"/>
  <c r="J129" i="4"/>
  <c r="G129" i="4"/>
  <c r="M129" i="4" s="1"/>
  <c r="F129" i="4"/>
  <c r="H129" i="4" s="1"/>
  <c r="A129" i="4"/>
  <c r="J128" i="4"/>
  <c r="G128" i="4"/>
  <c r="M128" i="4" s="1"/>
  <c r="F128" i="4"/>
  <c r="A128" i="4"/>
  <c r="J127" i="4"/>
  <c r="G127" i="4"/>
  <c r="M127" i="4" s="1"/>
  <c r="F127" i="4"/>
  <c r="A127" i="4"/>
  <c r="J126" i="4"/>
  <c r="H126" i="4"/>
  <c r="G126" i="4"/>
  <c r="M126" i="4" s="1"/>
  <c r="F126" i="4"/>
  <c r="A126" i="4"/>
  <c r="J125" i="4"/>
  <c r="G125" i="4"/>
  <c r="M125" i="4" s="1"/>
  <c r="F125" i="4"/>
  <c r="A125" i="4"/>
  <c r="J124" i="4"/>
  <c r="G124" i="4"/>
  <c r="M124" i="4" s="1"/>
  <c r="F124" i="4"/>
  <c r="A124" i="4"/>
  <c r="J123" i="4"/>
  <c r="G123" i="4"/>
  <c r="M123" i="4" s="1"/>
  <c r="F123" i="4"/>
  <c r="A123" i="4"/>
  <c r="J122" i="4"/>
  <c r="H122" i="4"/>
  <c r="G122" i="4"/>
  <c r="M122" i="4" s="1"/>
  <c r="F122" i="4"/>
  <c r="A122" i="4"/>
  <c r="J121" i="4"/>
  <c r="G121" i="4"/>
  <c r="M121" i="4" s="1"/>
  <c r="F121" i="4"/>
  <c r="A121" i="4"/>
  <c r="J120" i="4"/>
  <c r="G120" i="4"/>
  <c r="M120" i="4" s="1"/>
  <c r="F120" i="4"/>
  <c r="A120" i="4"/>
  <c r="J119" i="4"/>
  <c r="G119" i="4"/>
  <c r="M119" i="4" s="1"/>
  <c r="F119" i="4"/>
  <c r="A119" i="4"/>
  <c r="J118" i="4"/>
  <c r="H118" i="4"/>
  <c r="G118" i="4"/>
  <c r="M118" i="4" s="1"/>
  <c r="F118" i="4"/>
  <c r="A118" i="4"/>
  <c r="J117" i="4"/>
  <c r="G117" i="4"/>
  <c r="M117" i="4" s="1"/>
  <c r="F117" i="4"/>
  <c r="A117" i="4"/>
  <c r="J116" i="4"/>
  <c r="G116" i="4"/>
  <c r="M116" i="4" s="1"/>
  <c r="F116" i="4"/>
  <c r="A116" i="4"/>
  <c r="J115" i="4"/>
  <c r="G115" i="4"/>
  <c r="M115" i="4" s="1"/>
  <c r="F115" i="4"/>
  <c r="A115" i="4"/>
  <c r="J114" i="4"/>
  <c r="H114" i="4"/>
  <c r="G114" i="4"/>
  <c r="M114" i="4" s="1"/>
  <c r="F114" i="4"/>
  <c r="A114" i="4"/>
  <c r="J113" i="4"/>
  <c r="G113" i="4"/>
  <c r="M113" i="4" s="1"/>
  <c r="F113" i="4"/>
  <c r="A113" i="4"/>
  <c r="J112" i="4"/>
  <c r="G112" i="4"/>
  <c r="M112" i="4" s="1"/>
  <c r="F112" i="4"/>
  <c r="A112" i="4"/>
  <c r="J111" i="4"/>
  <c r="G111" i="4"/>
  <c r="M111" i="4" s="1"/>
  <c r="F111" i="4"/>
  <c r="A111" i="4"/>
  <c r="J110" i="4"/>
  <c r="H110" i="4"/>
  <c r="G110" i="4"/>
  <c r="M110" i="4" s="1"/>
  <c r="F110" i="4"/>
  <c r="A110" i="4"/>
  <c r="J109" i="4"/>
  <c r="G109" i="4"/>
  <c r="M109" i="4" s="1"/>
  <c r="F109" i="4"/>
  <c r="H109" i="4" s="1"/>
  <c r="A109" i="4"/>
  <c r="J108" i="4"/>
  <c r="G108" i="4"/>
  <c r="M108" i="4" s="1"/>
  <c r="F108" i="4"/>
  <c r="A108" i="4"/>
  <c r="J107" i="4"/>
  <c r="G107" i="4"/>
  <c r="M107" i="4" s="1"/>
  <c r="F107" i="4"/>
  <c r="A107" i="4"/>
  <c r="J106" i="4"/>
  <c r="H106" i="4"/>
  <c r="G106" i="4"/>
  <c r="M106" i="4" s="1"/>
  <c r="F106" i="4"/>
  <c r="A106" i="4"/>
  <c r="J105" i="4"/>
  <c r="G105" i="4"/>
  <c r="M105" i="4" s="1"/>
  <c r="F105" i="4"/>
  <c r="A105" i="4"/>
  <c r="J104" i="4"/>
  <c r="G104" i="4"/>
  <c r="M104" i="4" s="1"/>
  <c r="F104" i="4"/>
  <c r="A104" i="4"/>
  <c r="J103" i="4"/>
  <c r="G103" i="4"/>
  <c r="M103" i="4" s="1"/>
  <c r="F103" i="4"/>
  <c r="A103" i="4"/>
  <c r="J102" i="4"/>
  <c r="H102" i="4"/>
  <c r="G102" i="4"/>
  <c r="M102" i="4" s="1"/>
  <c r="F102" i="4"/>
  <c r="A102" i="4"/>
  <c r="J101" i="4"/>
  <c r="G101" i="4"/>
  <c r="M101" i="4" s="1"/>
  <c r="F101" i="4"/>
  <c r="A101" i="4"/>
  <c r="J100" i="4"/>
  <c r="G100" i="4"/>
  <c r="M100" i="4" s="1"/>
  <c r="F100" i="4"/>
  <c r="A100" i="4"/>
  <c r="J99" i="4"/>
  <c r="G99" i="4"/>
  <c r="M99" i="4" s="1"/>
  <c r="F99" i="4"/>
  <c r="A99" i="4"/>
  <c r="J98" i="4"/>
  <c r="H98" i="4"/>
  <c r="G98" i="4"/>
  <c r="M98" i="4" s="1"/>
  <c r="F98" i="4"/>
  <c r="A98" i="4"/>
  <c r="J97" i="4"/>
  <c r="G97" i="4"/>
  <c r="M97" i="4" s="1"/>
  <c r="F97" i="4"/>
  <c r="A97" i="4"/>
  <c r="J96" i="4"/>
  <c r="G96" i="4"/>
  <c r="M96" i="4" s="1"/>
  <c r="F96" i="4"/>
  <c r="A96" i="4"/>
  <c r="J95" i="4"/>
  <c r="G95" i="4"/>
  <c r="M95" i="4" s="1"/>
  <c r="F95" i="4"/>
  <c r="A95" i="4"/>
  <c r="J94" i="4"/>
  <c r="H94" i="4"/>
  <c r="G94" i="4"/>
  <c r="M94" i="4" s="1"/>
  <c r="F94" i="4"/>
  <c r="A94" i="4"/>
  <c r="J93" i="4"/>
  <c r="G93" i="4"/>
  <c r="M93" i="4" s="1"/>
  <c r="F93" i="4"/>
  <c r="A93" i="4"/>
  <c r="J92" i="4"/>
  <c r="G92" i="4"/>
  <c r="M92" i="4" s="1"/>
  <c r="F92" i="4"/>
  <c r="A92" i="4"/>
  <c r="J91" i="4"/>
  <c r="G91" i="4"/>
  <c r="M91" i="4" s="1"/>
  <c r="F91" i="4"/>
  <c r="A91" i="4"/>
  <c r="J90" i="4"/>
  <c r="H90" i="4"/>
  <c r="G90" i="4"/>
  <c r="M90" i="4" s="1"/>
  <c r="F90" i="4"/>
  <c r="A90" i="4"/>
  <c r="J89" i="4"/>
  <c r="G89" i="4"/>
  <c r="M89" i="4" s="1"/>
  <c r="F89" i="4"/>
  <c r="A89" i="4"/>
  <c r="J88" i="4"/>
  <c r="G88" i="4"/>
  <c r="M88" i="4" s="1"/>
  <c r="F88" i="4"/>
  <c r="A88" i="4"/>
  <c r="J87" i="4"/>
  <c r="G87" i="4"/>
  <c r="M87" i="4" s="1"/>
  <c r="F87" i="4"/>
  <c r="A87" i="4"/>
  <c r="J86" i="4"/>
  <c r="H86" i="4"/>
  <c r="G86" i="4"/>
  <c r="M86" i="4" s="1"/>
  <c r="F86" i="4"/>
  <c r="A86" i="4"/>
  <c r="J85" i="4"/>
  <c r="G85" i="4"/>
  <c r="M85" i="4" s="1"/>
  <c r="F85" i="4"/>
  <c r="A85" i="4"/>
  <c r="J84" i="4"/>
  <c r="G84" i="4"/>
  <c r="M84" i="4" s="1"/>
  <c r="F84" i="4"/>
  <c r="A84" i="4"/>
  <c r="J83" i="4"/>
  <c r="G83" i="4"/>
  <c r="M83" i="4" s="1"/>
  <c r="F83" i="4"/>
  <c r="A83" i="4"/>
  <c r="J82" i="4"/>
  <c r="H82" i="4"/>
  <c r="G82" i="4"/>
  <c r="M82" i="4" s="1"/>
  <c r="F82" i="4"/>
  <c r="A82" i="4"/>
  <c r="J81" i="4"/>
  <c r="G81" i="4"/>
  <c r="M81" i="4" s="1"/>
  <c r="F81" i="4"/>
  <c r="A81" i="4"/>
  <c r="J80" i="4"/>
  <c r="G80" i="4"/>
  <c r="M80" i="4" s="1"/>
  <c r="F80" i="4"/>
  <c r="A80" i="4"/>
  <c r="J79" i="4"/>
  <c r="G79" i="4"/>
  <c r="M79" i="4" s="1"/>
  <c r="F79" i="4"/>
  <c r="A79" i="4"/>
  <c r="J78" i="4"/>
  <c r="H78" i="4"/>
  <c r="G78" i="4"/>
  <c r="M78" i="4" s="1"/>
  <c r="F78" i="4"/>
  <c r="A78" i="4"/>
  <c r="J77" i="4"/>
  <c r="G77" i="4"/>
  <c r="M77" i="4" s="1"/>
  <c r="F77" i="4"/>
  <c r="A77" i="4"/>
  <c r="J76" i="4"/>
  <c r="G76" i="4"/>
  <c r="M76" i="4" s="1"/>
  <c r="F76" i="4"/>
  <c r="A76" i="4"/>
  <c r="J75" i="4"/>
  <c r="G75" i="4"/>
  <c r="M75" i="4" s="1"/>
  <c r="F75" i="4"/>
  <c r="A75" i="4"/>
  <c r="J74" i="4"/>
  <c r="H74" i="4"/>
  <c r="G74" i="4"/>
  <c r="M74" i="4" s="1"/>
  <c r="F74" i="4"/>
  <c r="A74" i="4"/>
  <c r="J73" i="4"/>
  <c r="G73" i="4"/>
  <c r="M73" i="4" s="1"/>
  <c r="F73" i="4"/>
  <c r="A73" i="4"/>
  <c r="J72" i="4"/>
  <c r="G72" i="4"/>
  <c r="M72" i="4" s="1"/>
  <c r="F72" i="4"/>
  <c r="A72" i="4"/>
  <c r="J71" i="4"/>
  <c r="G71" i="4"/>
  <c r="M71" i="4" s="1"/>
  <c r="F71" i="4"/>
  <c r="A71" i="4"/>
  <c r="J70" i="4"/>
  <c r="H70" i="4"/>
  <c r="G70" i="4"/>
  <c r="M70" i="4" s="1"/>
  <c r="F70" i="4"/>
  <c r="A70" i="4"/>
  <c r="J69" i="4"/>
  <c r="G69" i="4"/>
  <c r="M69" i="4" s="1"/>
  <c r="F69" i="4"/>
  <c r="A69" i="4"/>
  <c r="J68" i="4"/>
  <c r="G68" i="4"/>
  <c r="M68" i="4" s="1"/>
  <c r="F68" i="4"/>
  <c r="A68" i="4"/>
  <c r="J67" i="4"/>
  <c r="G67" i="4"/>
  <c r="M67" i="4" s="1"/>
  <c r="F67" i="4"/>
  <c r="A67" i="4"/>
  <c r="J66" i="4"/>
  <c r="H66" i="4"/>
  <c r="G66" i="4"/>
  <c r="M66" i="4" s="1"/>
  <c r="F66" i="4"/>
  <c r="A66" i="4"/>
  <c r="J65" i="4"/>
  <c r="G65" i="4"/>
  <c r="M65" i="4" s="1"/>
  <c r="F65" i="4"/>
  <c r="H65" i="4" s="1"/>
  <c r="A65" i="4"/>
  <c r="J64" i="4"/>
  <c r="G64" i="4"/>
  <c r="M64" i="4" s="1"/>
  <c r="F64" i="4"/>
  <c r="A64" i="4"/>
  <c r="J63" i="4"/>
  <c r="G63" i="4"/>
  <c r="M63" i="4" s="1"/>
  <c r="F63" i="4"/>
  <c r="A63" i="4"/>
  <c r="J62" i="4"/>
  <c r="H62" i="4"/>
  <c r="G62" i="4"/>
  <c r="M62" i="4" s="1"/>
  <c r="F62" i="4"/>
  <c r="A62" i="4"/>
  <c r="J61" i="4"/>
  <c r="G61" i="4"/>
  <c r="M61" i="4" s="1"/>
  <c r="F61" i="4"/>
  <c r="A61" i="4"/>
  <c r="J60" i="4"/>
  <c r="G60" i="4"/>
  <c r="M60" i="4" s="1"/>
  <c r="F60" i="4"/>
  <c r="A60" i="4"/>
  <c r="J59" i="4"/>
  <c r="G59" i="4"/>
  <c r="M59" i="4" s="1"/>
  <c r="F59" i="4"/>
  <c r="A59" i="4"/>
  <c r="J58" i="4"/>
  <c r="H58" i="4"/>
  <c r="G58" i="4"/>
  <c r="M58" i="4" s="1"/>
  <c r="F58" i="4"/>
  <c r="A58" i="4"/>
  <c r="J57" i="4"/>
  <c r="G57" i="4"/>
  <c r="M57" i="4" s="1"/>
  <c r="F57" i="4"/>
  <c r="A57" i="4"/>
  <c r="J56" i="4"/>
  <c r="G56" i="4"/>
  <c r="M56" i="4" s="1"/>
  <c r="F56" i="4"/>
  <c r="A56" i="4"/>
  <c r="J55" i="4"/>
  <c r="G55" i="4"/>
  <c r="M55" i="4" s="1"/>
  <c r="F55" i="4"/>
  <c r="A55" i="4"/>
  <c r="J54" i="4"/>
  <c r="H54" i="4"/>
  <c r="G54" i="4"/>
  <c r="M54" i="4" s="1"/>
  <c r="F54" i="4"/>
  <c r="A54" i="4"/>
  <c r="J53" i="4"/>
  <c r="G53" i="4"/>
  <c r="M53" i="4" s="1"/>
  <c r="F53" i="4"/>
  <c r="A53" i="4"/>
  <c r="J52" i="4"/>
  <c r="G52" i="4"/>
  <c r="M52" i="4" s="1"/>
  <c r="F52" i="4"/>
  <c r="A52" i="4"/>
  <c r="J51" i="4"/>
  <c r="G51" i="4"/>
  <c r="M51" i="4" s="1"/>
  <c r="F51" i="4"/>
  <c r="A51" i="4"/>
  <c r="J50" i="4"/>
  <c r="H50" i="4"/>
  <c r="G50" i="4"/>
  <c r="M50" i="4" s="1"/>
  <c r="F50" i="4"/>
  <c r="A50" i="4"/>
  <c r="J49" i="4"/>
  <c r="G49" i="4"/>
  <c r="M49" i="4" s="1"/>
  <c r="F49" i="4"/>
  <c r="A49" i="4"/>
  <c r="J48" i="4"/>
  <c r="G48" i="4"/>
  <c r="M48" i="4" s="1"/>
  <c r="F48" i="4"/>
  <c r="A48" i="4"/>
  <c r="J47" i="4"/>
  <c r="G47" i="4"/>
  <c r="M47" i="4" s="1"/>
  <c r="F47" i="4"/>
  <c r="A47" i="4"/>
  <c r="J46" i="4"/>
  <c r="H46" i="4"/>
  <c r="G46" i="4"/>
  <c r="M46" i="4" s="1"/>
  <c r="F46" i="4"/>
  <c r="A46" i="4"/>
  <c r="J45" i="4"/>
  <c r="G45" i="4"/>
  <c r="M45" i="4" s="1"/>
  <c r="F45" i="4"/>
  <c r="A45" i="4"/>
  <c r="J44" i="4"/>
  <c r="G44" i="4"/>
  <c r="M44" i="4" s="1"/>
  <c r="F44" i="4"/>
  <c r="A44" i="4"/>
  <c r="J43" i="4"/>
  <c r="G43" i="4"/>
  <c r="M43" i="4" s="1"/>
  <c r="F43" i="4"/>
  <c r="A43" i="4"/>
  <c r="J42" i="4"/>
  <c r="H42" i="4"/>
  <c r="G42" i="4"/>
  <c r="M42" i="4" s="1"/>
  <c r="F42" i="4"/>
  <c r="A42" i="4"/>
  <c r="J41" i="4"/>
  <c r="G41" i="4"/>
  <c r="M41" i="4" s="1"/>
  <c r="F41" i="4"/>
  <c r="A41" i="4"/>
  <c r="J40" i="4"/>
  <c r="G40" i="4"/>
  <c r="M40" i="4" s="1"/>
  <c r="F40" i="4"/>
  <c r="A40" i="4"/>
  <c r="J39" i="4"/>
  <c r="G39" i="4"/>
  <c r="M39" i="4" s="1"/>
  <c r="F39" i="4"/>
  <c r="A39" i="4"/>
  <c r="J38" i="4"/>
  <c r="H38" i="4"/>
  <c r="G38" i="4"/>
  <c r="M38" i="4" s="1"/>
  <c r="F38" i="4"/>
  <c r="A38" i="4"/>
  <c r="J37" i="4"/>
  <c r="G37" i="4"/>
  <c r="M37" i="4" s="1"/>
  <c r="F37" i="4"/>
  <c r="A37" i="4"/>
  <c r="J36" i="4"/>
  <c r="G36" i="4"/>
  <c r="M36" i="4" s="1"/>
  <c r="F36" i="4"/>
  <c r="A36" i="4"/>
  <c r="J35" i="4"/>
  <c r="G35" i="4"/>
  <c r="M35" i="4" s="1"/>
  <c r="F35" i="4"/>
  <c r="A35" i="4"/>
  <c r="J34" i="4"/>
  <c r="H34" i="4"/>
  <c r="G34" i="4"/>
  <c r="M34" i="4" s="1"/>
  <c r="F34" i="4"/>
  <c r="A34" i="4"/>
  <c r="J33" i="4"/>
  <c r="G33" i="4"/>
  <c r="M33" i="4" s="1"/>
  <c r="F33" i="4"/>
  <c r="A33" i="4"/>
  <c r="J32" i="4"/>
  <c r="G32" i="4"/>
  <c r="M32" i="4" s="1"/>
  <c r="F32" i="4"/>
  <c r="A32" i="4"/>
  <c r="J31" i="4"/>
  <c r="G31" i="4"/>
  <c r="M31" i="4" s="1"/>
  <c r="F31" i="4"/>
  <c r="A31" i="4"/>
  <c r="J30" i="4"/>
  <c r="H30" i="4"/>
  <c r="G30" i="4"/>
  <c r="M30" i="4" s="1"/>
  <c r="F30" i="4"/>
  <c r="A30" i="4"/>
  <c r="J29" i="4"/>
  <c r="G29" i="4"/>
  <c r="M29" i="4" s="1"/>
  <c r="F29" i="4"/>
  <c r="A29" i="4"/>
  <c r="J28" i="4"/>
  <c r="G28" i="4"/>
  <c r="M28" i="4" s="1"/>
  <c r="F28" i="4"/>
  <c r="A28" i="4"/>
  <c r="J27" i="4"/>
  <c r="G27" i="4"/>
  <c r="M27" i="4" s="1"/>
  <c r="F27" i="4"/>
  <c r="A27" i="4"/>
  <c r="J26" i="4"/>
  <c r="H26" i="4"/>
  <c r="G26" i="4"/>
  <c r="M26" i="4" s="1"/>
  <c r="F26" i="4"/>
  <c r="A26" i="4"/>
  <c r="J25" i="4"/>
  <c r="G25" i="4"/>
  <c r="M25" i="4" s="1"/>
  <c r="F25" i="4"/>
  <c r="A25" i="4"/>
  <c r="J24" i="4"/>
  <c r="G24" i="4"/>
  <c r="M24" i="4" s="1"/>
  <c r="F24" i="4"/>
  <c r="A24" i="4"/>
  <c r="J23" i="4"/>
  <c r="G23" i="4"/>
  <c r="M23" i="4" s="1"/>
  <c r="F23" i="4"/>
  <c r="A23" i="4"/>
  <c r="J22" i="4"/>
  <c r="H22" i="4"/>
  <c r="G22" i="4"/>
  <c r="M22" i="4" s="1"/>
  <c r="F22" i="4"/>
  <c r="A22" i="4"/>
  <c r="J21" i="4"/>
  <c r="G21" i="4"/>
  <c r="M21" i="4" s="1"/>
  <c r="F21" i="4"/>
  <c r="H21" i="4" s="1"/>
  <c r="A21" i="4"/>
  <c r="J20" i="4"/>
  <c r="G20" i="4"/>
  <c r="M20" i="4" s="1"/>
  <c r="F20" i="4"/>
  <c r="A20" i="4"/>
  <c r="J19" i="4"/>
  <c r="G19" i="4"/>
  <c r="M19" i="4" s="1"/>
  <c r="F19" i="4"/>
  <c r="A19" i="4"/>
  <c r="J18" i="4"/>
  <c r="H18" i="4"/>
  <c r="G18" i="4"/>
  <c r="M18" i="4" s="1"/>
  <c r="F18" i="4"/>
  <c r="A18" i="4"/>
  <c r="J17" i="4"/>
  <c r="G17" i="4"/>
  <c r="M17" i="4" s="1"/>
  <c r="F17" i="4"/>
  <c r="A17" i="4"/>
  <c r="J16" i="4"/>
  <c r="G16" i="4"/>
  <c r="M16" i="4" s="1"/>
  <c r="F16" i="4"/>
  <c r="A16" i="4"/>
  <c r="J15" i="4"/>
  <c r="G15" i="4"/>
  <c r="M15" i="4" s="1"/>
  <c r="F15" i="4"/>
  <c r="A15" i="4"/>
  <c r="J14" i="4"/>
  <c r="H14" i="4"/>
  <c r="G14" i="4"/>
  <c r="M14" i="4" s="1"/>
  <c r="F14" i="4"/>
  <c r="A14" i="4"/>
  <c r="J13" i="4"/>
  <c r="G13" i="4"/>
  <c r="M13" i="4" s="1"/>
  <c r="F13" i="4"/>
  <c r="A13" i="4"/>
  <c r="J12" i="4"/>
  <c r="G12" i="4"/>
  <c r="M12" i="4" s="1"/>
  <c r="F12" i="4"/>
  <c r="A12" i="4"/>
  <c r="J11" i="4"/>
  <c r="G11" i="4"/>
  <c r="F11" i="4"/>
  <c r="A11" i="4"/>
  <c r="J10" i="4"/>
  <c r="G10" i="4"/>
  <c r="F10" i="4"/>
  <c r="A10" i="4"/>
  <c r="J9" i="4"/>
  <c r="G9" i="4"/>
  <c r="M9" i="4" s="1"/>
  <c r="F9" i="4"/>
  <c r="A9" i="4"/>
  <c r="J8" i="4"/>
  <c r="G8" i="4"/>
  <c r="M8" i="4" s="1"/>
  <c r="F8" i="4"/>
  <c r="A8" i="4"/>
  <c r="J7" i="4"/>
  <c r="G7" i="4"/>
  <c r="H7" i="4" s="1"/>
  <c r="L7" i="4" s="1"/>
  <c r="F7" i="4"/>
  <c r="A7" i="4"/>
  <c r="J6" i="4"/>
  <c r="G6" i="4"/>
  <c r="H6" i="4" s="1"/>
  <c r="L6" i="4" s="1"/>
  <c r="F6" i="4"/>
  <c r="A6" i="4"/>
  <c r="J5" i="4"/>
  <c r="G5" i="4"/>
  <c r="M5" i="4" s="1"/>
  <c r="F5" i="4"/>
  <c r="A5" i="4"/>
  <c r="J4" i="4"/>
  <c r="H4" i="4"/>
  <c r="L4" i="4" s="1"/>
  <c r="G4" i="4"/>
  <c r="M4" i="4" s="1"/>
  <c r="F4" i="4"/>
  <c r="A4" i="4"/>
  <c r="AA153" i="3"/>
  <c r="AB153" i="3" s="1"/>
  <c r="Z153" i="3"/>
  <c r="Y153" i="3"/>
  <c r="V153" i="3"/>
  <c r="U153" i="3"/>
  <c r="Q153" i="3"/>
  <c r="O153" i="3"/>
  <c r="L153" i="3"/>
  <c r="J153" i="3"/>
  <c r="B153" i="3"/>
  <c r="G153" i="3"/>
  <c r="AA152" i="3"/>
  <c r="AB152" i="3" s="1"/>
  <c r="Z152" i="3"/>
  <c r="Y152" i="3"/>
  <c r="V152" i="3"/>
  <c r="U152" i="3"/>
  <c r="Q152" i="3"/>
  <c r="O152" i="3"/>
  <c r="L152" i="3"/>
  <c r="J152" i="3"/>
  <c r="B152" i="3"/>
  <c r="G152" i="3"/>
  <c r="AA151" i="3"/>
  <c r="AB151" i="3" s="1"/>
  <c r="Z151" i="3"/>
  <c r="Y151" i="3"/>
  <c r="V151" i="3"/>
  <c r="U151" i="3"/>
  <c r="Q151" i="3"/>
  <c r="O151" i="3"/>
  <c r="L151" i="3"/>
  <c r="J151" i="3"/>
  <c r="B151" i="3"/>
  <c r="G151" i="3"/>
  <c r="AA150" i="3"/>
  <c r="AB150" i="3" s="1"/>
  <c r="Z150" i="3"/>
  <c r="Y150" i="3"/>
  <c r="V150" i="3"/>
  <c r="U150" i="3"/>
  <c r="Q150" i="3"/>
  <c r="O150" i="3"/>
  <c r="L150" i="3"/>
  <c r="J150" i="3"/>
  <c r="B150" i="3"/>
  <c r="G150" i="3"/>
  <c r="AA149" i="3"/>
  <c r="AB149" i="3" s="1"/>
  <c r="Z149" i="3"/>
  <c r="Y149" i="3"/>
  <c r="V149" i="3"/>
  <c r="U149" i="3"/>
  <c r="Q149" i="3"/>
  <c r="O149" i="3"/>
  <c r="L149" i="3"/>
  <c r="J149" i="3"/>
  <c r="B149" i="3"/>
  <c r="G149" i="3"/>
  <c r="AA148" i="3"/>
  <c r="AB148" i="3" s="1"/>
  <c r="Z148" i="3"/>
  <c r="Y148" i="3"/>
  <c r="V148" i="3"/>
  <c r="U148" i="3"/>
  <c r="Q148" i="3"/>
  <c r="O148" i="3"/>
  <c r="L148" i="3"/>
  <c r="J148" i="3"/>
  <c r="B148" i="3"/>
  <c r="G148" i="3"/>
  <c r="AA147" i="3"/>
  <c r="AB147" i="3" s="1"/>
  <c r="Z147" i="3"/>
  <c r="Y147" i="3"/>
  <c r="V147" i="3"/>
  <c r="U147" i="3"/>
  <c r="Q147" i="3"/>
  <c r="O147" i="3"/>
  <c r="L147" i="3"/>
  <c r="J147" i="3"/>
  <c r="B147" i="3"/>
  <c r="G147" i="3"/>
  <c r="AA146" i="3"/>
  <c r="AB146" i="3" s="1"/>
  <c r="Z146" i="3"/>
  <c r="Y146" i="3"/>
  <c r="V146" i="3"/>
  <c r="U146" i="3"/>
  <c r="Q146" i="3"/>
  <c r="O146" i="3"/>
  <c r="L146" i="3"/>
  <c r="J146" i="3"/>
  <c r="B146" i="3"/>
  <c r="G146" i="3"/>
  <c r="AA145" i="3"/>
  <c r="AB145" i="3" s="1"/>
  <c r="Z145" i="3"/>
  <c r="Y145" i="3"/>
  <c r="V145" i="3"/>
  <c r="U145" i="3"/>
  <c r="Q145" i="3"/>
  <c r="O145" i="3"/>
  <c r="L145" i="3"/>
  <c r="AI145" i="3"/>
  <c r="J145" i="3" s="1"/>
  <c r="B145" i="3"/>
  <c r="G145" i="3"/>
  <c r="AA144" i="3"/>
  <c r="AB144" i="3" s="1"/>
  <c r="Z144" i="3"/>
  <c r="Y144" i="3"/>
  <c r="V144" i="3"/>
  <c r="U144" i="3"/>
  <c r="Q144" i="3"/>
  <c r="O144" i="3"/>
  <c r="L144" i="3"/>
  <c r="J144" i="3"/>
  <c r="B144" i="3"/>
  <c r="G144" i="3"/>
  <c r="AA143" i="3"/>
  <c r="AB143" i="3" s="1"/>
  <c r="Z143" i="3"/>
  <c r="Y143" i="3"/>
  <c r="V143" i="3"/>
  <c r="U143" i="3"/>
  <c r="Q143" i="3"/>
  <c r="O143" i="3"/>
  <c r="L143" i="3"/>
  <c r="J143" i="3"/>
  <c r="B143" i="3"/>
  <c r="G143" i="3"/>
  <c r="AA142" i="3"/>
  <c r="AB142" i="3" s="1"/>
  <c r="Z142" i="3"/>
  <c r="Y142" i="3"/>
  <c r="V142" i="3"/>
  <c r="U142" i="3"/>
  <c r="Q142" i="3"/>
  <c r="O142" i="3"/>
  <c r="L142" i="3"/>
  <c r="J142" i="3"/>
  <c r="B142" i="3"/>
  <c r="G142" i="3"/>
  <c r="AA141" i="3"/>
  <c r="AB141" i="3" s="1"/>
  <c r="Z141" i="3"/>
  <c r="Y141" i="3"/>
  <c r="V141" i="3"/>
  <c r="U141" i="3"/>
  <c r="Q141" i="3"/>
  <c r="O141" i="3"/>
  <c r="L141" i="3"/>
  <c r="J141" i="3"/>
  <c r="B141" i="3"/>
  <c r="G141" i="3"/>
  <c r="AA140" i="3"/>
  <c r="AB140" i="3" s="1"/>
  <c r="Z140" i="3"/>
  <c r="Y140" i="3"/>
  <c r="V140" i="3"/>
  <c r="U140" i="3"/>
  <c r="Q140" i="3"/>
  <c r="O140" i="3"/>
  <c r="L140" i="3"/>
  <c r="J140" i="3"/>
  <c r="B140" i="3"/>
  <c r="G140" i="3"/>
  <c r="AA139" i="3"/>
  <c r="AB139" i="3" s="1"/>
  <c r="Z139" i="3"/>
  <c r="Y139" i="3"/>
  <c r="V139" i="3"/>
  <c r="U139" i="3"/>
  <c r="Q139" i="3"/>
  <c r="O139" i="3"/>
  <c r="L139" i="3"/>
  <c r="J139" i="3"/>
  <c r="B139" i="3"/>
  <c r="G139" i="3"/>
  <c r="AA138" i="3"/>
  <c r="AB138" i="3" s="1"/>
  <c r="Z138" i="3"/>
  <c r="Y138" i="3"/>
  <c r="V138" i="3"/>
  <c r="U138" i="3"/>
  <c r="Q138" i="3"/>
  <c r="L138" i="3"/>
  <c r="AJ138" i="3"/>
  <c r="O138" i="3" s="1"/>
  <c r="AI138" i="3"/>
  <c r="J138" i="3" s="1"/>
  <c r="B138" i="3"/>
  <c r="G138" i="3"/>
  <c r="AA137" i="3"/>
  <c r="AB137" i="3" s="1"/>
  <c r="Z137" i="3"/>
  <c r="Y137" i="3"/>
  <c r="V137" i="3"/>
  <c r="U137" i="3"/>
  <c r="Q137" i="3"/>
  <c r="O137" i="3"/>
  <c r="L137" i="3"/>
  <c r="J137" i="3"/>
  <c r="B137" i="3"/>
  <c r="G137" i="3"/>
  <c r="AA136" i="3"/>
  <c r="AB136" i="3" s="1"/>
  <c r="Z136" i="3"/>
  <c r="Y136" i="3"/>
  <c r="V136" i="3"/>
  <c r="U136" i="3"/>
  <c r="Q136" i="3"/>
  <c r="O136" i="3"/>
  <c r="L136" i="3"/>
  <c r="J136" i="3"/>
  <c r="B136" i="3"/>
  <c r="G136" i="3"/>
  <c r="AA135" i="3"/>
  <c r="AB135" i="3" s="1"/>
  <c r="Z135" i="3"/>
  <c r="Y135" i="3"/>
  <c r="V135" i="3"/>
  <c r="U135" i="3"/>
  <c r="Q135" i="3"/>
  <c r="O135" i="3"/>
  <c r="L135" i="3"/>
  <c r="J135" i="3"/>
  <c r="B135" i="3"/>
  <c r="G135" i="3"/>
  <c r="AA134" i="3"/>
  <c r="AB134" i="3" s="1"/>
  <c r="Z134" i="3"/>
  <c r="Y134" i="3"/>
  <c r="V134" i="3"/>
  <c r="U134" i="3"/>
  <c r="Q134" i="3"/>
  <c r="O134" i="3"/>
  <c r="L134" i="3"/>
  <c r="J134" i="3"/>
  <c r="B134" i="3"/>
  <c r="G134" i="3"/>
  <c r="AA133" i="3"/>
  <c r="AB133" i="3" s="1"/>
  <c r="Z133" i="3"/>
  <c r="Y133" i="3"/>
  <c r="V133" i="3"/>
  <c r="U133" i="3"/>
  <c r="Q133" i="3"/>
  <c r="O133" i="3"/>
  <c r="L133" i="3"/>
  <c r="J133" i="3"/>
  <c r="B133" i="3"/>
  <c r="G133" i="3"/>
  <c r="AA132" i="3"/>
  <c r="AB132" i="3" s="1"/>
  <c r="Z132" i="3"/>
  <c r="Y132" i="3"/>
  <c r="V132" i="3"/>
  <c r="U132" i="3"/>
  <c r="Q132" i="3"/>
  <c r="O132" i="3"/>
  <c r="L132" i="3"/>
  <c r="J132" i="3"/>
  <c r="B132" i="3"/>
  <c r="G132" i="3"/>
  <c r="AA131" i="3"/>
  <c r="AB131" i="3" s="1"/>
  <c r="Z131" i="3"/>
  <c r="Y131" i="3"/>
  <c r="V131" i="3"/>
  <c r="U131" i="3"/>
  <c r="Q131" i="3"/>
  <c r="O131" i="3"/>
  <c r="L131" i="3"/>
  <c r="J131" i="3"/>
  <c r="B131" i="3"/>
  <c r="G131" i="3"/>
  <c r="AA130" i="3"/>
  <c r="AB130" i="3" s="1"/>
  <c r="Z130" i="3"/>
  <c r="Y130" i="3"/>
  <c r="V130" i="3"/>
  <c r="U130" i="3"/>
  <c r="Q130" i="3"/>
  <c r="O130" i="3"/>
  <c r="L130" i="3"/>
  <c r="J130" i="3"/>
  <c r="B130" i="3"/>
  <c r="G130" i="3"/>
  <c r="AA129" i="3"/>
  <c r="AB129" i="3" s="1"/>
  <c r="Z129" i="3"/>
  <c r="Y129" i="3"/>
  <c r="V129" i="3"/>
  <c r="U129" i="3"/>
  <c r="Q129" i="3"/>
  <c r="O129" i="3"/>
  <c r="L129" i="3"/>
  <c r="J129" i="3"/>
  <c r="B129" i="3"/>
  <c r="G129" i="3"/>
  <c r="AA128" i="3"/>
  <c r="AB128" i="3" s="1"/>
  <c r="Z128" i="3"/>
  <c r="Y128" i="3"/>
  <c r="V128" i="3"/>
  <c r="U128" i="3"/>
  <c r="Q128" i="3"/>
  <c r="O128" i="3"/>
  <c r="L128" i="3"/>
  <c r="J128" i="3"/>
  <c r="B128" i="3"/>
  <c r="G128" i="3"/>
  <c r="AA127" i="3"/>
  <c r="AB127" i="3" s="1"/>
  <c r="Z127" i="3"/>
  <c r="Y127" i="3"/>
  <c r="V127" i="3"/>
  <c r="U127" i="3"/>
  <c r="Q127" i="3"/>
  <c r="O127" i="3"/>
  <c r="L127" i="3"/>
  <c r="J127" i="3"/>
  <c r="B127" i="3"/>
  <c r="G127" i="3"/>
  <c r="AA126" i="3"/>
  <c r="AB126" i="3" s="1"/>
  <c r="Z126" i="3"/>
  <c r="Y126" i="3"/>
  <c r="V126" i="3"/>
  <c r="U126" i="3"/>
  <c r="Q126" i="3"/>
  <c r="O126" i="3"/>
  <c r="L126" i="3"/>
  <c r="J126" i="3"/>
  <c r="B126" i="3"/>
  <c r="G126" i="3"/>
  <c r="AA125" i="3"/>
  <c r="AB125" i="3" s="1"/>
  <c r="Z125" i="3"/>
  <c r="Y125" i="3"/>
  <c r="V125" i="3"/>
  <c r="U125" i="3"/>
  <c r="Q125" i="3"/>
  <c r="O125" i="3"/>
  <c r="L125" i="3"/>
  <c r="J125" i="3"/>
  <c r="B125" i="3"/>
  <c r="G125" i="3"/>
  <c r="AA124" i="3"/>
  <c r="AB124" i="3" s="1"/>
  <c r="Z124" i="3"/>
  <c r="Y124" i="3"/>
  <c r="V124" i="3"/>
  <c r="U124" i="3"/>
  <c r="Q124" i="3"/>
  <c r="O124" i="3"/>
  <c r="L124" i="3"/>
  <c r="J124" i="3"/>
  <c r="B124" i="3"/>
  <c r="G124" i="3"/>
  <c r="AA123" i="3"/>
  <c r="AB123" i="3" s="1"/>
  <c r="Z123" i="3"/>
  <c r="Y123" i="3"/>
  <c r="V123" i="3"/>
  <c r="U123" i="3"/>
  <c r="Q123" i="3"/>
  <c r="O123" i="3"/>
  <c r="L123" i="3"/>
  <c r="J123" i="3"/>
  <c r="B123" i="3"/>
  <c r="G123" i="3"/>
  <c r="AA122" i="3"/>
  <c r="AB122" i="3" s="1"/>
  <c r="Z122" i="3"/>
  <c r="Y122" i="3"/>
  <c r="V122" i="3"/>
  <c r="U122" i="3"/>
  <c r="Q122" i="3"/>
  <c r="O122" i="3"/>
  <c r="L122" i="3"/>
  <c r="J122" i="3"/>
  <c r="B122" i="3"/>
  <c r="G122" i="3"/>
  <c r="AA121" i="3"/>
  <c r="AB121" i="3" s="1"/>
  <c r="Z121" i="3"/>
  <c r="Y121" i="3"/>
  <c r="V121" i="3"/>
  <c r="U121" i="3"/>
  <c r="Q121" i="3"/>
  <c r="O121" i="3"/>
  <c r="L121" i="3"/>
  <c r="J121" i="3"/>
  <c r="B121" i="3"/>
  <c r="G121" i="3"/>
  <c r="AA120" i="3"/>
  <c r="AB120" i="3" s="1"/>
  <c r="Z120" i="3"/>
  <c r="Y120" i="3"/>
  <c r="V120" i="3"/>
  <c r="U120" i="3"/>
  <c r="Q120" i="3"/>
  <c r="O120" i="3"/>
  <c r="L120" i="3"/>
  <c r="J120" i="3"/>
  <c r="B120" i="3"/>
  <c r="G120" i="3"/>
  <c r="AA119" i="3"/>
  <c r="AB119" i="3" s="1"/>
  <c r="Z119" i="3"/>
  <c r="Y119" i="3"/>
  <c r="V119" i="3"/>
  <c r="U119" i="3"/>
  <c r="Q119" i="3"/>
  <c r="O119" i="3"/>
  <c r="L119" i="3"/>
  <c r="J119" i="3"/>
  <c r="B119" i="3"/>
  <c r="G119" i="3"/>
  <c r="AA118" i="3"/>
  <c r="AB118" i="3" s="1"/>
  <c r="Z118" i="3"/>
  <c r="Y118" i="3"/>
  <c r="V118" i="3"/>
  <c r="U118" i="3"/>
  <c r="Q118" i="3"/>
  <c r="O118" i="3"/>
  <c r="L118" i="3"/>
  <c r="J118" i="3"/>
  <c r="B118" i="3"/>
  <c r="G118" i="3"/>
  <c r="AA117" i="3"/>
  <c r="AB117" i="3" s="1"/>
  <c r="Z117" i="3"/>
  <c r="Y117" i="3"/>
  <c r="V117" i="3"/>
  <c r="U117" i="3"/>
  <c r="Q117" i="3"/>
  <c r="O117" i="3"/>
  <c r="L117" i="3"/>
  <c r="J117" i="3"/>
  <c r="B117" i="3"/>
  <c r="G117" i="3"/>
  <c r="AA116" i="3"/>
  <c r="AB116" i="3" s="1"/>
  <c r="Z116" i="3"/>
  <c r="Y116" i="3"/>
  <c r="V116" i="3"/>
  <c r="U116" i="3"/>
  <c r="Q116" i="3"/>
  <c r="O116" i="3"/>
  <c r="L116" i="3"/>
  <c r="J116" i="3"/>
  <c r="B116" i="3"/>
  <c r="G116" i="3"/>
  <c r="AA115" i="3"/>
  <c r="AB115" i="3" s="1"/>
  <c r="Z115" i="3"/>
  <c r="Y115" i="3"/>
  <c r="V115" i="3"/>
  <c r="U115" i="3"/>
  <c r="Q115" i="3"/>
  <c r="O115" i="3"/>
  <c r="L115" i="3"/>
  <c r="J115" i="3"/>
  <c r="B115" i="3"/>
  <c r="G115" i="3"/>
  <c r="AA114" i="3"/>
  <c r="AB114" i="3" s="1"/>
  <c r="Z114" i="3"/>
  <c r="Y114" i="3"/>
  <c r="V114" i="3"/>
  <c r="U114" i="3"/>
  <c r="Q114" i="3"/>
  <c r="O114" i="3"/>
  <c r="L114" i="3"/>
  <c r="J114" i="3"/>
  <c r="B114" i="3"/>
  <c r="G114" i="3"/>
  <c r="AA113" i="3"/>
  <c r="AB113" i="3" s="1"/>
  <c r="Z113" i="3"/>
  <c r="Y113" i="3"/>
  <c r="V113" i="3"/>
  <c r="U113" i="3"/>
  <c r="Q113" i="3"/>
  <c r="O113" i="3"/>
  <c r="L113" i="3"/>
  <c r="J113" i="3"/>
  <c r="B113" i="3"/>
  <c r="G113" i="3"/>
  <c r="AA112" i="3"/>
  <c r="AB112" i="3" s="1"/>
  <c r="Z112" i="3"/>
  <c r="Y112" i="3"/>
  <c r="V112" i="3"/>
  <c r="U112" i="3"/>
  <c r="Q112" i="3"/>
  <c r="O112" i="3"/>
  <c r="L112" i="3"/>
  <c r="J112" i="3"/>
  <c r="B112" i="3"/>
  <c r="G112" i="3"/>
  <c r="AA111" i="3"/>
  <c r="AB111" i="3" s="1"/>
  <c r="Z111" i="3"/>
  <c r="Y111" i="3"/>
  <c r="V111" i="3"/>
  <c r="U111" i="3"/>
  <c r="Q111" i="3"/>
  <c r="O111" i="3"/>
  <c r="L111" i="3"/>
  <c r="J111" i="3"/>
  <c r="B111" i="3"/>
  <c r="G111" i="3"/>
  <c r="AA110" i="3"/>
  <c r="AB110" i="3" s="1"/>
  <c r="Z110" i="3"/>
  <c r="Y110" i="3"/>
  <c r="V110" i="3"/>
  <c r="U110" i="3"/>
  <c r="Q110" i="3"/>
  <c r="O110" i="3"/>
  <c r="L110" i="3"/>
  <c r="J110" i="3"/>
  <c r="B110" i="3"/>
  <c r="G110" i="3"/>
  <c r="AA109" i="3"/>
  <c r="AB109" i="3" s="1"/>
  <c r="Z109" i="3"/>
  <c r="Y109" i="3"/>
  <c r="V109" i="3"/>
  <c r="U109" i="3"/>
  <c r="Q109" i="3"/>
  <c r="O109" i="3"/>
  <c r="L109" i="3"/>
  <c r="J109" i="3"/>
  <c r="B109" i="3"/>
  <c r="G109" i="3"/>
  <c r="AA108" i="3"/>
  <c r="AB108" i="3" s="1"/>
  <c r="Z108" i="3"/>
  <c r="Y108" i="3"/>
  <c r="V108" i="3"/>
  <c r="U108" i="3"/>
  <c r="Q108" i="3"/>
  <c r="O108" i="3"/>
  <c r="L108" i="3"/>
  <c r="J108" i="3"/>
  <c r="B108" i="3"/>
  <c r="G108" i="3"/>
  <c r="AA107" i="3"/>
  <c r="AB107" i="3" s="1"/>
  <c r="Z107" i="3"/>
  <c r="Y107" i="3"/>
  <c r="V107" i="3"/>
  <c r="U107" i="3"/>
  <c r="Q107" i="3"/>
  <c r="O107" i="3"/>
  <c r="L107" i="3"/>
  <c r="J107" i="3"/>
  <c r="B107" i="3"/>
  <c r="G107" i="3"/>
  <c r="AA106" i="3"/>
  <c r="AB106" i="3" s="1"/>
  <c r="Z106" i="3"/>
  <c r="Y106" i="3"/>
  <c r="V106" i="3"/>
  <c r="U106" i="3"/>
  <c r="Q106" i="3"/>
  <c r="O106" i="3"/>
  <c r="L106" i="3"/>
  <c r="J106" i="3"/>
  <c r="B106" i="3"/>
  <c r="G106" i="3"/>
  <c r="AA105" i="3"/>
  <c r="AB105" i="3" s="1"/>
  <c r="Z105" i="3"/>
  <c r="Y105" i="3"/>
  <c r="V105" i="3"/>
  <c r="U105" i="3"/>
  <c r="Q105" i="3"/>
  <c r="O105" i="3"/>
  <c r="L105" i="3"/>
  <c r="J105" i="3"/>
  <c r="B105" i="3"/>
  <c r="G105" i="3"/>
  <c r="AA104" i="3"/>
  <c r="AB104" i="3" s="1"/>
  <c r="Z104" i="3"/>
  <c r="Y104" i="3"/>
  <c r="V104" i="3"/>
  <c r="U104" i="3"/>
  <c r="Q104" i="3"/>
  <c r="O104" i="3"/>
  <c r="L104" i="3"/>
  <c r="J104" i="3"/>
  <c r="B104" i="3"/>
  <c r="G104" i="3"/>
  <c r="AA103" i="3"/>
  <c r="AB103" i="3" s="1"/>
  <c r="Z103" i="3"/>
  <c r="Y103" i="3"/>
  <c r="V103" i="3"/>
  <c r="U103" i="3"/>
  <c r="Q103" i="3"/>
  <c r="O103" i="3"/>
  <c r="L103" i="3"/>
  <c r="J103" i="3"/>
  <c r="B103" i="3"/>
  <c r="G103" i="3"/>
  <c r="AA102" i="3"/>
  <c r="AB102" i="3" s="1"/>
  <c r="Z102" i="3"/>
  <c r="Y102" i="3"/>
  <c r="V102" i="3"/>
  <c r="U102" i="3"/>
  <c r="Q102" i="3"/>
  <c r="O102" i="3"/>
  <c r="L102" i="3"/>
  <c r="J102" i="3"/>
  <c r="B102" i="3"/>
  <c r="G102" i="3"/>
  <c r="AA101" i="3"/>
  <c r="AB101" i="3" s="1"/>
  <c r="Z101" i="3"/>
  <c r="Y101" i="3"/>
  <c r="V101" i="3"/>
  <c r="U101" i="3"/>
  <c r="Q101" i="3"/>
  <c r="O101" i="3"/>
  <c r="L101" i="3"/>
  <c r="J101" i="3"/>
  <c r="B101" i="3"/>
  <c r="G101" i="3"/>
  <c r="AA100" i="3"/>
  <c r="AB100" i="3" s="1"/>
  <c r="Z100" i="3"/>
  <c r="Y100" i="3"/>
  <c r="V100" i="3"/>
  <c r="U100" i="3"/>
  <c r="Q100" i="3"/>
  <c r="O100" i="3"/>
  <c r="L100" i="3"/>
  <c r="J100" i="3"/>
  <c r="B100" i="3"/>
  <c r="G100" i="3"/>
  <c r="AA99" i="3"/>
  <c r="AB99" i="3" s="1"/>
  <c r="Z99" i="3"/>
  <c r="Y99" i="3"/>
  <c r="V99" i="3"/>
  <c r="U99" i="3"/>
  <c r="Q99" i="3"/>
  <c r="O99" i="3"/>
  <c r="L99" i="3"/>
  <c r="J99" i="3"/>
  <c r="B99" i="3"/>
  <c r="G99" i="3"/>
  <c r="AA97" i="3"/>
  <c r="AB97" i="3" s="1"/>
  <c r="Z97" i="3"/>
  <c r="Y97" i="3"/>
  <c r="V97" i="3"/>
  <c r="U97" i="3"/>
  <c r="N97" i="3"/>
  <c r="Q97" i="3" s="1"/>
  <c r="L97" i="3"/>
  <c r="J97" i="3"/>
  <c r="AJ97" i="3"/>
  <c r="AH97" i="3"/>
  <c r="AG97" i="3"/>
  <c r="B97" i="3"/>
  <c r="G97" i="3"/>
  <c r="AA96" i="3"/>
  <c r="AB96" i="3" s="1"/>
  <c r="Z96" i="3"/>
  <c r="Y96" i="3"/>
  <c r="V96" i="3"/>
  <c r="U96" i="3"/>
  <c r="N96" i="3"/>
  <c r="Q96" i="3" s="1"/>
  <c r="L96" i="3"/>
  <c r="J96" i="3"/>
  <c r="AJ96" i="3"/>
  <c r="AH96" i="3"/>
  <c r="AG96" i="3"/>
  <c r="B96" i="3"/>
  <c r="G96" i="3"/>
  <c r="AA95" i="3"/>
  <c r="AB95" i="3" s="1"/>
  <c r="Z95" i="3"/>
  <c r="Y95" i="3"/>
  <c r="V95" i="3"/>
  <c r="U95" i="3"/>
  <c r="N95" i="3"/>
  <c r="Q95" i="3" s="1"/>
  <c r="L95" i="3"/>
  <c r="J95" i="3"/>
  <c r="AJ95" i="3"/>
  <c r="AH95" i="3"/>
  <c r="AG95" i="3"/>
  <c r="B95" i="3"/>
  <c r="G95" i="3"/>
  <c r="AA94" i="3"/>
  <c r="AB94" i="3" s="1"/>
  <c r="Z94" i="3"/>
  <c r="Y94" i="3"/>
  <c r="V94" i="3"/>
  <c r="U94" i="3"/>
  <c r="N94" i="3"/>
  <c r="Q94" i="3" s="1"/>
  <c r="L94" i="3"/>
  <c r="J94" i="3"/>
  <c r="AJ94" i="3"/>
  <c r="AH94" i="3"/>
  <c r="AG94" i="3"/>
  <c r="B94" i="3"/>
  <c r="G94" i="3"/>
  <c r="AA93" i="3"/>
  <c r="AB93" i="3" s="1"/>
  <c r="Z93" i="3"/>
  <c r="Y93" i="3"/>
  <c r="V93" i="3"/>
  <c r="U93" i="3"/>
  <c r="N93" i="3"/>
  <c r="Q93" i="3" s="1"/>
  <c r="L93" i="3"/>
  <c r="J93" i="3"/>
  <c r="AJ93" i="3"/>
  <c r="AH93" i="3"/>
  <c r="AG93" i="3"/>
  <c r="B93" i="3"/>
  <c r="G93" i="3"/>
  <c r="AA92" i="3"/>
  <c r="AB92" i="3" s="1"/>
  <c r="Z92" i="3"/>
  <c r="Y92" i="3"/>
  <c r="V92" i="3"/>
  <c r="U92" i="3"/>
  <c r="N92" i="3"/>
  <c r="Q92" i="3" s="1"/>
  <c r="L92" i="3"/>
  <c r="J92" i="3"/>
  <c r="AJ92" i="3"/>
  <c r="AH92" i="3"/>
  <c r="AG92" i="3"/>
  <c r="B92" i="3"/>
  <c r="G92" i="3"/>
  <c r="AA91" i="3"/>
  <c r="AB91" i="3" s="1"/>
  <c r="Z91" i="3"/>
  <c r="Y91" i="3"/>
  <c r="V91" i="3"/>
  <c r="U91" i="3"/>
  <c r="N91" i="3"/>
  <c r="L91" i="3"/>
  <c r="J91" i="3"/>
  <c r="AJ91" i="3"/>
  <c r="AH91" i="3"/>
  <c r="AG91" i="3"/>
  <c r="B91" i="3"/>
  <c r="G91" i="3"/>
  <c r="AA90" i="3"/>
  <c r="AB90" i="3" s="1"/>
  <c r="Z90" i="3"/>
  <c r="Y90" i="3"/>
  <c r="V90" i="3"/>
  <c r="U90" i="3"/>
  <c r="N90" i="3"/>
  <c r="Q90" i="3" s="1"/>
  <c r="L90" i="3"/>
  <c r="J90" i="3"/>
  <c r="AJ90" i="3"/>
  <c r="AH90" i="3"/>
  <c r="AG90" i="3"/>
  <c r="B90" i="3"/>
  <c r="G90" i="3"/>
  <c r="AA89" i="3"/>
  <c r="AB89" i="3" s="1"/>
  <c r="Z89" i="3"/>
  <c r="Y89" i="3"/>
  <c r="V89" i="3"/>
  <c r="U89" i="3"/>
  <c r="N89" i="3"/>
  <c r="Q89" i="3" s="1"/>
  <c r="L89" i="3"/>
  <c r="J89" i="3"/>
  <c r="AJ89" i="3"/>
  <c r="AH89" i="3"/>
  <c r="AG89" i="3"/>
  <c r="B89" i="3"/>
  <c r="G89" i="3"/>
  <c r="AA88" i="3"/>
  <c r="AB88" i="3" s="1"/>
  <c r="Z88" i="3"/>
  <c r="Y88" i="3"/>
  <c r="V88" i="3"/>
  <c r="U88" i="3"/>
  <c r="N88" i="3"/>
  <c r="Q88" i="3" s="1"/>
  <c r="L88" i="3"/>
  <c r="J88" i="3"/>
  <c r="AJ88" i="3"/>
  <c r="AH88" i="3"/>
  <c r="AG88" i="3"/>
  <c r="B88" i="3"/>
  <c r="G88" i="3"/>
  <c r="AA87" i="3"/>
  <c r="AB87" i="3" s="1"/>
  <c r="Z87" i="3"/>
  <c r="Y87" i="3"/>
  <c r="V87" i="3"/>
  <c r="U87" i="3"/>
  <c r="N87" i="3"/>
  <c r="Q87" i="3" s="1"/>
  <c r="L87" i="3"/>
  <c r="J87" i="3"/>
  <c r="AJ87" i="3"/>
  <c r="AH87" i="3"/>
  <c r="AG87" i="3"/>
  <c r="B87" i="3"/>
  <c r="G87" i="3"/>
  <c r="AA86" i="3"/>
  <c r="AB86" i="3" s="1"/>
  <c r="Z86" i="3"/>
  <c r="Y86" i="3"/>
  <c r="V86" i="3"/>
  <c r="U86" i="3"/>
  <c r="N86" i="3"/>
  <c r="Q86" i="3" s="1"/>
  <c r="L86" i="3"/>
  <c r="J86" i="3"/>
  <c r="AJ86" i="3"/>
  <c r="AH86" i="3"/>
  <c r="AG86" i="3"/>
  <c r="B86" i="3"/>
  <c r="G86" i="3"/>
  <c r="AA85" i="3"/>
  <c r="AB85" i="3" s="1"/>
  <c r="Z85" i="3"/>
  <c r="Y85" i="3"/>
  <c r="V85" i="3"/>
  <c r="U85" i="3"/>
  <c r="N85" i="3"/>
  <c r="Q85" i="3" s="1"/>
  <c r="L85" i="3"/>
  <c r="J85" i="3"/>
  <c r="AJ85" i="3"/>
  <c r="AH85" i="3"/>
  <c r="AG85" i="3"/>
  <c r="B85" i="3"/>
  <c r="G85" i="3"/>
  <c r="AA84" i="3"/>
  <c r="AB84" i="3" s="1"/>
  <c r="Z84" i="3"/>
  <c r="Y84" i="3"/>
  <c r="V84" i="3"/>
  <c r="U84" i="3"/>
  <c r="N84" i="3"/>
  <c r="Q84" i="3" s="1"/>
  <c r="L84" i="3"/>
  <c r="J84" i="3"/>
  <c r="AJ84" i="3"/>
  <c r="AH84" i="3"/>
  <c r="AG84" i="3"/>
  <c r="B84" i="3"/>
  <c r="G84" i="3"/>
  <c r="AA83" i="3"/>
  <c r="AB83" i="3" s="1"/>
  <c r="Z83" i="3"/>
  <c r="Y83" i="3"/>
  <c r="V83" i="3"/>
  <c r="U83" i="3"/>
  <c r="N83" i="3"/>
  <c r="L83" i="3"/>
  <c r="J83" i="3"/>
  <c r="AJ83" i="3"/>
  <c r="AH83" i="3"/>
  <c r="AG83" i="3"/>
  <c r="B83" i="3"/>
  <c r="G83" i="3"/>
  <c r="AA82" i="3"/>
  <c r="AB82" i="3" s="1"/>
  <c r="Z82" i="3"/>
  <c r="Y82" i="3"/>
  <c r="V82" i="3"/>
  <c r="U82" i="3"/>
  <c r="N82" i="3"/>
  <c r="Q82" i="3" s="1"/>
  <c r="L82" i="3"/>
  <c r="J82" i="3"/>
  <c r="AJ82" i="3"/>
  <c r="AH82" i="3"/>
  <c r="AG82" i="3"/>
  <c r="B82" i="3"/>
  <c r="G82" i="3"/>
  <c r="AA81" i="3"/>
  <c r="AB81" i="3" s="1"/>
  <c r="Z81" i="3"/>
  <c r="Y81" i="3"/>
  <c r="V81" i="3"/>
  <c r="U81" i="3"/>
  <c r="N81" i="3"/>
  <c r="Q81" i="3" s="1"/>
  <c r="L81" i="3"/>
  <c r="J81" i="3"/>
  <c r="AJ81" i="3"/>
  <c r="AH81" i="3"/>
  <c r="AG81" i="3"/>
  <c r="B81" i="3"/>
  <c r="G81" i="3"/>
  <c r="AA80" i="3"/>
  <c r="AB80" i="3" s="1"/>
  <c r="Z80" i="3"/>
  <c r="Y80" i="3"/>
  <c r="V80" i="3"/>
  <c r="U80" i="3"/>
  <c r="N80" i="3"/>
  <c r="Q80" i="3" s="1"/>
  <c r="L80" i="3"/>
  <c r="J80" i="3"/>
  <c r="AJ80" i="3"/>
  <c r="AH80" i="3"/>
  <c r="AG80" i="3"/>
  <c r="B80" i="3"/>
  <c r="G80" i="3"/>
  <c r="AA79" i="3"/>
  <c r="AB79" i="3" s="1"/>
  <c r="Z79" i="3"/>
  <c r="Y79" i="3"/>
  <c r="V79" i="3"/>
  <c r="U79" i="3"/>
  <c r="N79" i="3"/>
  <c r="Q79" i="3" s="1"/>
  <c r="L79" i="3"/>
  <c r="J79" i="3"/>
  <c r="AJ79" i="3"/>
  <c r="AH79" i="3"/>
  <c r="AG79" i="3"/>
  <c r="B79" i="3"/>
  <c r="G79" i="3"/>
  <c r="AA78" i="3"/>
  <c r="AB78" i="3" s="1"/>
  <c r="Z78" i="3"/>
  <c r="Y78" i="3"/>
  <c r="V78" i="3"/>
  <c r="U78" i="3"/>
  <c r="N78" i="3"/>
  <c r="Q78" i="3" s="1"/>
  <c r="L78" i="3"/>
  <c r="J78" i="3"/>
  <c r="AJ78" i="3"/>
  <c r="AH78" i="3"/>
  <c r="AG78" i="3"/>
  <c r="B78" i="3"/>
  <c r="G78" i="3"/>
  <c r="AA77" i="3"/>
  <c r="AB77" i="3" s="1"/>
  <c r="Z77" i="3"/>
  <c r="Y77" i="3"/>
  <c r="V77" i="3"/>
  <c r="U77" i="3"/>
  <c r="N77" i="3"/>
  <c r="Q77" i="3" s="1"/>
  <c r="L77" i="3"/>
  <c r="J77" i="3"/>
  <c r="AJ77" i="3"/>
  <c r="AH77" i="3"/>
  <c r="AG77" i="3"/>
  <c r="B77" i="3"/>
  <c r="G77" i="3"/>
  <c r="AA76" i="3"/>
  <c r="AB76" i="3" s="1"/>
  <c r="Z76" i="3"/>
  <c r="Y76" i="3"/>
  <c r="V76" i="3"/>
  <c r="U76" i="3"/>
  <c r="N76" i="3"/>
  <c r="Q76" i="3" s="1"/>
  <c r="L76" i="3"/>
  <c r="J76" i="3"/>
  <c r="AJ76" i="3"/>
  <c r="AH76" i="3"/>
  <c r="AG76" i="3"/>
  <c r="B76" i="3"/>
  <c r="G76" i="3"/>
  <c r="AA75" i="3"/>
  <c r="AB75" i="3" s="1"/>
  <c r="Z75" i="3"/>
  <c r="Y75" i="3"/>
  <c r="V75" i="3"/>
  <c r="U75" i="3"/>
  <c r="N75" i="3"/>
  <c r="L75" i="3"/>
  <c r="J75" i="3"/>
  <c r="AJ75" i="3"/>
  <c r="AH75" i="3"/>
  <c r="AG75" i="3"/>
  <c r="B75" i="3"/>
  <c r="G75" i="3"/>
  <c r="AA74" i="3"/>
  <c r="AB74" i="3" s="1"/>
  <c r="Z74" i="3"/>
  <c r="Y74" i="3"/>
  <c r="V74" i="3"/>
  <c r="U74" i="3"/>
  <c r="N74" i="3"/>
  <c r="Q74" i="3" s="1"/>
  <c r="L74" i="3"/>
  <c r="J74" i="3"/>
  <c r="AJ74" i="3"/>
  <c r="AH74" i="3"/>
  <c r="AG74" i="3"/>
  <c r="B74" i="3"/>
  <c r="G74" i="3"/>
  <c r="AA73" i="3"/>
  <c r="AB73" i="3" s="1"/>
  <c r="Z73" i="3"/>
  <c r="Y73" i="3"/>
  <c r="V73" i="3"/>
  <c r="U73" i="3"/>
  <c r="N73" i="3"/>
  <c r="Q73" i="3" s="1"/>
  <c r="L73" i="3"/>
  <c r="J73" i="3"/>
  <c r="AJ73" i="3"/>
  <c r="AH73" i="3"/>
  <c r="AG73" i="3"/>
  <c r="B73" i="3"/>
  <c r="G73" i="3"/>
  <c r="AA72" i="3"/>
  <c r="AB72" i="3" s="1"/>
  <c r="Z72" i="3"/>
  <c r="Y72" i="3"/>
  <c r="V72" i="3"/>
  <c r="U72" i="3"/>
  <c r="N72" i="3"/>
  <c r="Q72" i="3" s="1"/>
  <c r="L72" i="3"/>
  <c r="J72" i="3"/>
  <c r="AJ72" i="3"/>
  <c r="AH72" i="3"/>
  <c r="AG72" i="3"/>
  <c r="B72" i="3"/>
  <c r="G72" i="3"/>
  <c r="AA71" i="3"/>
  <c r="AB71" i="3" s="1"/>
  <c r="Z71" i="3"/>
  <c r="Y71" i="3"/>
  <c r="V71" i="3"/>
  <c r="U71" i="3"/>
  <c r="N71" i="3"/>
  <c r="Q71" i="3" s="1"/>
  <c r="L71" i="3"/>
  <c r="J71" i="3"/>
  <c r="AJ71" i="3"/>
  <c r="AH71" i="3"/>
  <c r="AG71" i="3"/>
  <c r="B71" i="3"/>
  <c r="G71" i="3"/>
  <c r="AA70" i="3"/>
  <c r="AB70" i="3" s="1"/>
  <c r="Z70" i="3"/>
  <c r="Y70" i="3"/>
  <c r="V70" i="3"/>
  <c r="U70" i="3"/>
  <c r="N70" i="3"/>
  <c r="Q70" i="3" s="1"/>
  <c r="L70" i="3"/>
  <c r="J70" i="3"/>
  <c r="AJ70" i="3"/>
  <c r="AH70" i="3"/>
  <c r="AG70" i="3"/>
  <c r="B70" i="3"/>
  <c r="G70" i="3"/>
  <c r="AA69" i="3"/>
  <c r="AB69" i="3" s="1"/>
  <c r="Z69" i="3"/>
  <c r="Y69" i="3"/>
  <c r="V69" i="3"/>
  <c r="U69" i="3"/>
  <c r="N69" i="3"/>
  <c r="Q69" i="3" s="1"/>
  <c r="L69" i="3"/>
  <c r="J69" i="3"/>
  <c r="AJ69" i="3"/>
  <c r="AH69" i="3"/>
  <c r="AG69" i="3"/>
  <c r="B69" i="3"/>
  <c r="G69" i="3"/>
  <c r="AA68" i="3"/>
  <c r="AB68" i="3" s="1"/>
  <c r="Z68" i="3"/>
  <c r="Y68" i="3"/>
  <c r="V68" i="3"/>
  <c r="U68" i="3"/>
  <c r="N68" i="3"/>
  <c r="Q68" i="3" s="1"/>
  <c r="L68" i="3"/>
  <c r="J68" i="3"/>
  <c r="AJ68" i="3"/>
  <c r="AH68" i="3"/>
  <c r="AG68" i="3"/>
  <c r="B68" i="3"/>
  <c r="G68" i="3"/>
  <c r="AA67" i="3"/>
  <c r="AB67" i="3" s="1"/>
  <c r="Z67" i="3"/>
  <c r="Y67" i="3"/>
  <c r="V67" i="3"/>
  <c r="U67" i="3"/>
  <c r="N67" i="3"/>
  <c r="L67" i="3"/>
  <c r="J67" i="3"/>
  <c r="AJ67" i="3"/>
  <c r="AH67" i="3"/>
  <c r="AG67" i="3"/>
  <c r="B67" i="3"/>
  <c r="G67" i="3"/>
  <c r="AA66" i="3"/>
  <c r="AB66" i="3" s="1"/>
  <c r="Z66" i="3"/>
  <c r="Y66" i="3"/>
  <c r="V66" i="3"/>
  <c r="U66" i="3"/>
  <c r="N66" i="3"/>
  <c r="Q66" i="3" s="1"/>
  <c r="L66" i="3"/>
  <c r="J66" i="3"/>
  <c r="AJ66" i="3"/>
  <c r="AH66" i="3"/>
  <c r="AG66" i="3"/>
  <c r="B66" i="3"/>
  <c r="G66" i="3"/>
  <c r="AA65" i="3"/>
  <c r="AB65" i="3" s="1"/>
  <c r="Z65" i="3"/>
  <c r="Y65" i="3"/>
  <c r="V65" i="3"/>
  <c r="U65" i="3"/>
  <c r="N65" i="3"/>
  <c r="Q65" i="3" s="1"/>
  <c r="L65" i="3"/>
  <c r="J65" i="3"/>
  <c r="AJ65" i="3"/>
  <c r="AH65" i="3"/>
  <c r="AG65" i="3"/>
  <c r="B65" i="3"/>
  <c r="G65" i="3"/>
  <c r="AA64" i="3"/>
  <c r="AB64" i="3" s="1"/>
  <c r="Z64" i="3"/>
  <c r="Y64" i="3"/>
  <c r="V64" i="3"/>
  <c r="U64" i="3"/>
  <c r="N64" i="3"/>
  <c r="Q64" i="3" s="1"/>
  <c r="L64" i="3"/>
  <c r="J64" i="3"/>
  <c r="AJ64" i="3"/>
  <c r="AH64" i="3"/>
  <c r="AG64" i="3"/>
  <c r="B64" i="3"/>
  <c r="G64" i="3"/>
  <c r="AA63" i="3"/>
  <c r="AB63" i="3" s="1"/>
  <c r="Z63" i="3"/>
  <c r="Y63" i="3"/>
  <c r="V63" i="3"/>
  <c r="U63" i="3"/>
  <c r="N63" i="3"/>
  <c r="Q63" i="3" s="1"/>
  <c r="L63" i="3"/>
  <c r="J63" i="3"/>
  <c r="AJ63" i="3"/>
  <c r="AH63" i="3"/>
  <c r="AG63" i="3"/>
  <c r="B63" i="3"/>
  <c r="G63" i="3"/>
  <c r="AA62" i="3"/>
  <c r="AB62" i="3" s="1"/>
  <c r="Z62" i="3"/>
  <c r="Y62" i="3"/>
  <c r="V62" i="3"/>
  <c r="U62" i="3"/>
  <c r="N62" i="3"/>
  <c r="Q62" i="3" s="1"/>
  <c r="L62" i="3"/>
  <c r="J62" i="3"/>
  <c r="AJ62" i="3"/>
  <c r="AH62" i="3"/>
  <c r="AG62" i="3"/>
  <c r="B62" i="3"/>
  <c r="G62" i="3"/>
  <c r="AA61" i="3"/>
  <c r="AB61" i="3" s="1"/>
  <c r="Z61" i="3"/>
  <c r="Y61" i="3"/>
  <c r="V61" i="3"/>
  <c r="U61" i="3"/>
  <c r="N61" i="3"/>
  <c r="Q61" i="3" s="1"/>
  <c r="L61" i="3"/>
  <c r="J61" i="3"/>
  <c r="AJ61" i="3"/>
  <c r="AH61" i="3"/>
  <c r="AG61" i="3"/>
  <c r="B61" i="3"/>
  <c r="G61" i="3"/>
  <c r="AA60" i="3"/>
  <c r="AB60" i="3" s="1"/>
  <c r="Z60" i="3"/>
  <c r="Y60" i="3"/>
  <c r="V60" i="3"/>
  <c r="U60" i="3"/>
  <c r="N60" i="3"/>
  <c r="Q60" i="3" s="1"/>
  <c r="L60" i="3"/>
  <c r="J60" i="3"/>
  <c r="AJ60" i="3"/>
  <c r="AH60" i="3"/>
  <c r="AG60" i="3"/>
  <c r="B60" i="3"/>
  <c r="G60" i="3"/>
  <c r="AA59" i="3"/>
  <c r="AB59" i="3" s="1"/>
  <c r="Z59" i="3"/>
  <c r="Y59" i="3"/>
  <c r="V59" i="3"/>
  <c r="U59" i="3"/>
  <c r="N59" i="3"/>
  <c r="L59" i="3"/>
  <c r="J59" i="3"/>
  <c r="AJ59" i="3"/>
  <c r="AH59" i="3"/>
  <c r="AG59" i="3"/>
  <c r="B59" i="3"/>
  <c r="G59" i="3"/>
  <c r="AA58" i="3"/>
  <c r="AB58" i="3" s="1"/>
  <c r="Z58" i="3"/>
  <c r="Y58" i="3"/>
  <c r="V58" i="3"/>
  <c r="U58" i="3"/>
  <c r="N58" i="3"/>
  <c r="Q58" i="3" s="1"/>
  <c r="L58" i="3"/>
  <c r="J58" i="3"/>
  <c r="AJ58" i="3"/>
  <c r="AH58" i="3"/>
  <c r="AG58" i="3"/>
  <c r="B58" i="3"/>
  <c r="G58" i="3"/>
  <c r="AA57" i="3"/>
  <c r="AB57" i="3" s="1"/>
  <c r="Z57" i="3"/>
  <c r="Y57" i="3"/>
  <c r="V57" i="3"/>
  <c r="U57" i="3"/>
  <c r="N57" i="3"/>
  <c r="Q57" i="3" s="1"/>
  <c r="L57" i="3"/>
  <c r="J57" i="3"/>
  <c r="AJ57" i="3"/>
  <c r="AH57" i="3"/>
  <c r="AG57" i="3"/>
  <c r="B57" i="3"/>
  <c r="G57" i="3"/>
  <c r="AA56" i="3"/>
  <c r="AB56" i="3" s="1"/>
  <c r="Z56" i="3"/>
  <c r="Y56" i="3"/>
  <c r="V56" i="3"/>
  <c r="U56" i="3"/>
  <c r="N56" i="3"/>
  <c r="Q56" i="3" s="1"/>
  <c r="L56" i="3"/>
  <c r="J56" i="3"/>
  <c r="AJ56" i="3"/>
  <c r="AH56" i="3"/>
  <c r="AG56" i="3"/>
  <c r="B56" i="3"/>
  <c r="G56" i="3"/>
  <c r="AA55" i="3"/>
  <c r="AB55" i="3" s="1"/>
  <c r="Z55" i="3"/>
  <c r="Y55" i="3"/>
  <c r="V55" i="3"/>
  <c r="U55" i="3"/>
  <c r="N55" i="3"/>
  <c r="L55" i="3"/>
  <c r="J55" i="3"/>
  <c r="AJ55" i="3"/>
  <c r="AH55" i="3"/>
  <c r="AG55" i="3"/>
  <c r="B55" i="3"/>
  <c r="G55" i="3"/>
  <c r="AA54" i="3"/>
  <c r="AB54" i="3" s="1"/>
  <c r="Z54" i="3"/>
  <c r="Y54" i="3"/>
  <c r="V54" i="3"/>
  <c r="U54" i="3"/>
  <c r="N54" i="3"/>
  <c r="Q54" i="3" s="1"/>
  <c r="L54" i="3"/>
  <c r="J54" i="3"/>
  <c r="AJ54" i="3"/>
  <c r="AH54" i="3"/>
  <c r="AG54" i="3"/>
  <c r="B54" i="3"/>
  <c r="G54" i="3"/>
  <c r="AA53" i="3"/>
  <c r="AB53" i="3" s="1"/>
  <c r="Z53" i="3"/>
  <c r="Y53" i="3"/>
  <c r="V53" i="3"/>
  <c r="U53" i="3"/>
  <c r="N53" i="3"/>
  <c r="Q53" i="3" s="1"/>
  <c r="L53" i="3"/>
  <c r="J53" i="3"/>
  <c r="AJ53" i="3"/>
  <c r="AH53" i="3"/>
  <c r="AG53" i="3"/>
  <c r="B53" i="3"/>
  <c r="G53" i="3"/>
  <c r="AA52" i="3"/>
  <c r="AB52" i="3" s="1"/>
  <c r="Z52" i="3"/>
  <c r="Y52" i="3"/>
  <c r="V52" i="3"/>
  <c r="U52" i="3"/>
  <c r="N52" i="3"/>
  <c r="Q52" i="3" s="1"/>
  <c r="L52" i="3"/>
  <c r="J52" i="3"/>
  <c r="AJ52" i="3"/>
  <c r="AH52" i="3"/>
  <c r="AG52" i="3"/>
  <c r="B52" i="3"/>
  <c r="G52" i="3"/>
  <c r="AA51" i="3"/>
  <c r="AB51" i="3" s="1"/>
  <c r="Z51" i="3"/>
  <c r="Y51" i="3"/>
  <c r="V51" i="3"/>
  <c r="U51" i="3"/>
  <c r="N51" i="3"/>
  <c r="L51" i="3"/>
  <c r="J51" i="3"/>
  <c r="AJ51" i="3"/>
  <c r="AH51" i="3"/>
  <c r="AG51" i="3"/>
  <c r="B51" i="3"/>
  <c r="G51" i="3"/>
  <c r="AA50" i="3"/>
  <c r="AB50" i="3" s="1"/>
  <c r="Z50" i="3"/>
  <c r="Y50" i="3"/>
  <c r="V50" i="3"/>
  <c r="U50" i="3"/>
  <c r="N50" i="3"/>
  <c r="Q50" i="3" s="1"/>
  <c r="L50" i="3"/>
  <c r="J50" i="3"/>
  <c r="AJ50" i="3"/>
  <c r="AH50" i="3"/>
  <c r="AG50" i="3"/>
  <c r="B50" i="3"/>
  <c r="G50" i="3"/>
  <c r="AA49" i="3"/>
  <c r="AB49" i="3" s="1"/>
  <c r="Z49" i="3"/>
  <c r="Y49" i="3"/>
  <c r="V49" i="3"/>
  <c r="U49" i="3"/>
  <c r="N49" i="3"/>
  <c r="Q49" i="3" s="1"/>
  <c r="L49" i="3"/>
  <c r="J49" i="3"/>
  <c r="AJ49" i="3"/>
  <c r="AH49" i="3"/>
  <c r="AG49" i="3"/>
  <c r="B49" i="3"/>
  <c r="G49" i="3"/>
  <c r="AA48" i="3"/>
  <c r="AB48" i="3" s="1"/>
  <c r="Z48" i="3"/>
  <c r="Y48" i="3"/>
  <c r="V48" i="3"/>
  <c r="U48" i="3"/>
  <c r="N48" i="3"/>
  <c r="Q48" i="3" s="1"/>
  <c r="L48" i="3"/>
  <c r="J48" i="3"/>
  <c r="AJ48" i="3"/>
  <c r="AH48" i="3"/>
  <c r="AG48" i="3"/>
  <c r="B48" i="3"/>
  <c r="G48" i="3"/>
  <c r="AA47" i="3"/>
  <c r="AB47" i="3" s="1"/>
  <c r="Z47" i="3"/>
  <c r="Y47" i="3"/>
  <c r="V47" i="3"/>
  <c r="U47" i="3"/>
  <c r="N47" i="3"/>
  <c r="L47" i="3"/>
  <c r="J47" i="3"/>
  <c r="AJ47" i="3"/>
  <c r="AH47" i="3"/>
  <c r="AG47" i="3"/>
  <c r="B47" i="3"/>
  <c r="G47" i="3"/>
  <c r="AA46" i="3"/>
  <c r="AB46" i="3" s="1"/>
  <c r="Z46" i="3"/>
  <c r="Y46" i="3"/>
  <c r="V46" i="3"/>
  <c r="U46" i="3"/>
  <c r="N46" i="3"/>
  <c r="Q46" i="3" s="1"/>
  <c r="L46" i="3"/>
  <c r="J46" i="3"/>
  <c r="AJ46" i="3"/>
  <c r="AH46" i="3"/>
  <c r="AG46" i="3"/>
  <c r="B46" i="3"/>
  <c r="G46" i="3"/>
  <c r="AA45" i="3"/>
  <c r="AB45" i="3" s="1"/>
  <c r="Z45" i="3"/>
  <c r="Y45" i="3"/>
  <c r="V45" i="3"/>
  <c r="U45" i="3"/>
  <c r="N45" i="3"/>
  <c r="Q45" i="3" s="1"/>
  <c r="L45" i="3"/>
  <c r="J45" i="3"/>
  <c r="AJ45" i="3"/>
  <c r="AH45" i="3"/>
  <c r="AG45" i="3"/>
  <c r="B45" i="3"/>
  <c r="G45" i="3"/>
  <c r="AA44" i="3"/>
  <c r="AB44" i="3" s="1"/>
  <c r="Z44" i="3"/>
  <c r="Y44" i="3"/>
  <c r="V44" i="3"/>
  <c r="U44" i="3"/>
  <c r="N44" i="3"/>
  <c r="Q44" i="3" s="1"/>
  <c r="L44" i="3"/>
  <c r="J44" i="3"/>
  <c r="AJ44" i="3"/>
  <c r="AH44" i="3"/>
  <c r="AG44" i="3"/>
  <c r="B44" i="3"/>
  <c r="G44" i="3"/>
  <c r="AA43" i="3"/>
  <c r="AB43" i="3" s="1"/>
  <c r="Z43" i="3"/>
  <c r="Y43" i="3"/>
  <c r="V43" i="3"/>
  <c r="U43" i="3"/>
  <c r="N43" i="3"/>
  <c r="L43" i="3"/>
  <c r="J43" i="3"/>
  <c r="AJ43" i="3"/>
  <c r="AH43" i="3"/>
  <c r="AG43" i="3"/>
  <c r="B43" i="3"/>
  <c r="G43" i="3"/>
  <c r="AA42" i="3"/>
  <c r="AB42" i="3" s="1"/>
  <c r="Z42" i="3"/>
  <c r="Y42" i="3"/>
  <c r="V42" i="3"/>
  <c r="U42" i="3"/>
  <c r="N42" i="3"/>
  <c r="Q42" i="3" s="1"/>
  <c r="L42" i="3"/>
  <c r="J42" i="3"/>
  <c r="AJ42" i="3"/>
  <c r="AH42" i="3"/>
  <c r="AG42" i="3"/>
  <c r="B42" i="3"/>
  <c r="G42" i="3"/>
  <c r="AA41" i="3"/>
  <c r="AB41" i="3" s="1"/>
  <c r="Z41" i="3"/>
  <c r="Y41" i="3"/>
  <c r="V41" i="3"/>
  <c r="U41" i="3"/>
  <c r="N41" i="3"/>
  <c r="Q41" i="3" s="1"/>
  <c r="L41" i="3"/>
  <c r="J41" i="3"/>
  <c r="AJ41" i="3"/>
  <c r="AH41" i="3"/>
  <c r="AG41" i="3"/>
  <c r="B41" i="3"/>
  <c r="G41" i="3"/>
  <c r="AA40" i="3"/>
  <c r="AB40" i="3" s="1"/>
  <c r="Z40" i="3"/>
  <c r="Y40" i="3"/>
  <c r="V40" i="3"/>
  <c r="U40" i="3"/>
  <c r="N40" i="3"/>
  <c r="Q40" i="3" s="1"/>
  <c r="L40" i="3"/>
  <c r="J40" i="3"/>
  <c r="AJ40" i="3"/>
  <c r="AH40" i="3"/>
  <c r="AG40" i="3"/>
  <c r="B40" i="3"/>
  <c r="G40" i="3"/>
  <c r="AA39" i="3"/>
  <c r="AB39" i="3" s="1"/>
  <c r="Z39" i="3"/>
  <c r="Y39" i="3"/>
  <c r="V39" i="3"/>
  <c r="U39" i="3"/>
  <c r="N39" i="3"/>
  <c r="L39" i="3"/>
  <c r="J39" i="3"/>
  <c r="AJ39" i="3"/>
  <c r="AH39" i="3"/>
  <c r="AG39" i="3"/>
  <c r="B39" i="3"/>
  <c r="G39" i="3"/>
  <c r="AA38" i="3"/>
  <c r="AB38" i="3" s="1"/>
  <c r="Z38" i="3"/>
  <c r="Y38" i="3"/>
  <c r="V38" i="3"/>
  <c r="U38" i="3"/>
  <c r="N38" i="3"/>
  <c r="Q38" i="3" s="1"/>
  <c r="L38" i="3"/>
  <c r="J38" i="3"/>
  <c r="AJ38" i="3"/>
  <c r="AH38" i="3"/>
  <c r="AG38" i="3"/>
  <c r="B38" i="3"/>
  <c r="G38" i="3"/>
  <c r="AA37" i="3"/>
  <c r="AB37" i="3" s="1"/>
  <c r="Z37" i="3"/>
  <c r="Y37" i="3"/>
  <c r="V37" i="3"/>
  <c r="U37" i="3"/>
  <c r="N37" i="3"/>
  <c r="Q37" i="3" s="1"/>
  <c r="L37" i="3"/>
  <c r="J37" i="3"/>
  <c r="AJ37" i="3"/>
  <c r="AH37" i="3"/>
  <c r="AG37" i="3"/>
  <c r="B37" i="3"/>
  <c r="G37" i="3"/>
  <c r="AA36" i="3"/>
  <c r="AB36" i="3" s="1"/>
  <c r="Z36" i="3"/>
  <c r="Y36" i="3"/>
  <c r="V36" i="3"/>
  <c r="U36" i="3"/>
  <c r="N36" i="3"/>
  <c r="Q36" i="3" s="1"/>
  <c r="L36" i="3"/>
  <c r="J36" i="3"/>
  <c r="AJ36" i="3"/>
  <c r="AH36" i="3"/>
  <c r="AG36" i="3"/>
  <c r="B36" i="3"/>
  <c r="G36" i="3"/>
  <c r="AA35" i="3"/>
  <c r="AB35" i="3" s="1"/>
  <c r="Z35" i="3"/>
  <c r="Y35" i="3"/>
  <c r="V35" i="3"/>
  <c r="U35" i="3"/>
  <c r="N35" i="3"/>
  <c r="L35" i="3"/>
  <c r="J35" i="3"/>
  <c r="AJ35" i="3"/>
  <c r="AH35" i="3"/>
  <c r="AG35" i="3"/>
  <c r="B35" i="3"/>
  <c r="G35" i="3"/>
  <c r="AA34" i="3"/>
  <c r="AB34" i="3" s="1"/>
  <c r="Z34" i="3"/>
  <c r="Y34" i="3"/>
  <c r="V34" i="3"/>
  <c r="U34" i="3"/>
  <c r="N34" i="3"/>
  <c r="Q34" i="3" s="1"/>
  <c r="L34" i="3"/>
  <c r="J34" i="3"/>
  <c r="AJ34" i="3"/>
  <c r="AH34" i="3"/>
  <c r="AG34" i="3"/>
  <c r="B34" i="3"/>
  <c r="G34" i="3"/>
  <c r="AA33" i="3"/>
  <c r="AB33" i="3" s="1"/>
  <c r="Z33" i="3"/>
  <c r="Y33" i="3"/>
  <c r="V33" i="3"/>
  <c r="U33" i="3"/>
  <c r="N33" i="3"/>
  <c r="Q33" i="3" s="1"/>
  <c r="L33" i="3"/>
  <c r="J33" i="3"/>
  <c r="AJ33" i="3"/>
  <c r="AH33" i="3"/>
  <c r="AG33" i="3"/>
  <c r="B33" i="3"/>
  <c r="G33" i="3"/>
  <c r="AA32" i="3"/>
  <c r="AB32" i="3" s="1"/>
  <c r="Z32" i="3"/>
  <c r="Y32" i="3"/>
  <c r="V32" i="3"/>
  <c r="U32" i="3"/>
  <c r="N32" i="3"/>
  <c r="Q32" i="3" s="1"/>
  <c r="L32" i="3"/>
  <c r="J32" i="3"/>
  <c r="AJ32" i="3"/>
  <c r="AH32" i="3"/>
  <c r="AG32" i="3"/>
  <c r="B32" i="3"/>
  <c r="G32" i="3"/>
  <c r="AA31" i="3"/>
  <c r="AB31" i="3" s="1"/>
  <c r="Z31" i="3"/>
  <c r="Y31" i="3"/>
  <c r="V31" i="3"/>
  <c r="U31" i="3"/>
  <c r="N31" i="3"/>
  <c r="L31" i="3"/>
  <c r="J31" i="3"/>
  <c r="AJ31" i="3"/>
  <c r="AH31" i="3"/>
  <c r="AG31" i="3"/>
  <c r="B31" i="3"/>
  <c r="G31" i="3"/>
  <c r="AA30" i="3"/>
  <c r="AB30" i="3" s="1"/>
  <c r="Z30" i="3"/>
  <c r="Y30" i="3"/>
  <c r="V30" i="3"/>
  <c r="U30" i="3"/>
  <c r="N30" i="3"/>
  <c r="L30" i="3"/>
  <c r="J30" i="3"/>
  <c r="AJ30" i="3"/>
  <c r="AH30" i="3"/>
  <c r="AG30" i="3"/>
  <c r="B30" i="3"/>
  <c r="G30" i="3"/>
  <c r="AA29" i="3"/>
  <c r="AB29" i="3" s="1"/>
  <c r="Z29" i="3"/>
  <c r="Y29" i="3"/>
  <c r="V29" i="3"/>
  <c r="U29" i="3"/>
  <c r="N29" i="3"/>
  <c r="Q29" i="3" s="1"/>
  <c r="L29" i="3"/>
  <c r="J29" i="3"/>
  <c r="AJ29" i="3"/>
  <c r="AH29" i="3"/>
  <c r="AG29" i="3"/>
  <c r="B29" i="3"/>
  <c r="G29" i="3"/>
  <c r="AA28" i="3"/>
  <c r="AB28" i="3" s="1"/>
  <c r="Z28" i="3"/>
  <c r="Y28" i="3"/>
  <c r="V28" i="3"/>
  <c r="U28" i="3"/>
  <c r="N28" i="3"/>
  <c r="Q28" i="3" s="1"/>
  <c r="L28" i="3"/>
  <c r="J28" i="3"/>
  <c r="AJ28" i="3"/>
  <c r="AH28" i="3"/>
  <c r="AG28" i="3"/>
  <c r="B28" i="3"/>
  <c r="G28" i="3"/>
  <c r="AA27" i="3"/>
  <c r="AB27" i="3" s="1"/>
  <c r="Z27" i="3"/>
  <c r="Y27" i="3"/>
  <c r="V27" i="3"/>
  <c r="U27" i="3"/>
  <c r="N27" i="3"/>
  <c r="L27" i="3"/>
  <c r="J27" i="3"/>
  <c r="AJ27" i="3"/>
  <c r="AH27" i="3"/>
  <c r="AG27" i="3"/>
  <c r="B27" i="3"/>
  <c r="G27" i="3"/>
  <c r="AA26" i="3"/>
  <c r="AB26" i="3" s="1"/>
  <c r="Z26" i="3"/>
  <c r="Y26" i="3"/>
  <c r="V26" i="3"/>
  <c r="U26" i="3"/>
  <c r="N26" i="3"/>
  <c r="L26" i="3"/>
  <c r="J26" i="3"/>
  <c r="AJ26" i="3"/>
  <c r="AH26" i="3"/>
  <c r="AG26" i="3"/>
  <c r="B26" i="3"/>
  <c r="G26" i="3"/>
  <c r="AA25" i="3"/>
  <c r="AB25" i="3" s="1"/>
  <c r="Z25" i="3"/>
  <c r="Y25" i="3"/>
  <c r="V25" i="3"/>
  <c r="U25" i="3"/>
  <c r="N25" i="3"/>
  <c r="Q25" i="3" s="1"/>
  <c r="L25" i="3"/>
  <c r="J25" i="3"/>
  <c r="AJ25" i="3"/>
  <c r="AH25" i="3"/>
  <c r="AG25" i="3"/>
  <c r="B25" i="3"/>
  <c r="G25" i="3"/>
  <c r="AA24" i="3"/>
  <c r="AB24" i="3" s="1"/>
  <c r="Z24" i="3"/>
  <c r="Y24" i="3"/>
  <c r="V24" i="3"/>
  <c r="U24" i="3"/>
  <c r="N24" i="3"/>
  <c r="Q24" i="3" s="1"/>
  <c r="L24" i="3"/>
  <c r="J24" i="3"/>
  <c r="AJ24" i="3"/>
  <c r="AH24" i="3"/>
  <c r="AG24" i="3"/>
  <c r="B24" i="3"/>
  <c r="G24" i="3"/>
  <c r="AA23" i="3"/>
  <c r="AB23" i="3" s="1"/>
  <c r="Z23" i="3"/>
  <c r="Y23" i="3"/>
  <c r="V23" i="3"/>
  <c r="U23" i="3"/>
  <c r="N23" i="3"/>
  <c r="L23" i="3"/>
  <c r="J23" i="3"/>
  <c r="AJ23" i="3"/>
  <c r="AH23" i="3"/>
  <c r="AG23" i="3"/>
  <c r="B23" i="3"/>
  <c r="G23" i="3"/>
  <c r="AA22" i="3"/>
  <c r="AB22" i="3" s="1"/>
  <c r="Z22" i="3"/>
  <c r="Y22" i="3"/>
  <c r="V22" i="3"/>
  <c r="U22" i="3"/>
  <c r="N22" i="3"/>
  <c r="L22" i="3"/>
  <c r="J22" i="3"/>
  <c r="AJ22" i="3"/>
  <c r="AH22" i="3"/>
  <c r="AG22" i="3"/>
  <c r="B22" i="3"/>
  <c r="G22" i="3"/>
  <c r="AA21" i="3"/>
  <c r="AB21" i="3" s="1"/>
  <c r="Z21" i="3"/>
  <c r="Y21" i="3"/>
  <c r="V21" i="3"/>
  <c r="U21" i="3"/>
  <c r="N21" i="3"/>
  <c r="Q21" i="3" s="1"/>
  <c r="L21" i="3"/>
  <c r="J21" i="3"/>
  <c r="AJ21" i="3"/>
  <c r="AH21" i="3"/>
  <c r="AG21" i="3"/>
  <c r="B21" i="3"/>
  <c r="G21" i="3"/>
  <c r="AA20" i="3"/>
  <c r="AB20" i="3" s="1"/>
  <c r="Z20" i="3"/>
  <c r="Y20" i="3"/>
  <c r="V20" i="3"/>
  <c r="U20" i="3"/>
  <c r="N20" i="3"/>
  <c r="Q20" i="3" s="1"/>
  <c r="L20" i="3"/>
  <c r="J20" i="3"/>
  <c r="AJ20" i="3"/>
  <c r="AH20" i="3"/>
  <c r="AG20" i="3"/>
  <c r="B20" i="3"/>
  <c r="G20" i="3"/>
  <c r="AA19" i="3"/>
  <c r="AB19" i="3" s="1"/>
  <c r="Z19" i="3"/>
  <c r="Y19" i="3"/>
  <c r="V19" i="3"/>
  <c r="U19" i="3"/>
  <c r="N19" i="3"/>
  <c r="L19" i="3"/>
  <c r="J19" i="3"/>
  <c r="AJ19" i="3"/>
  <c r="AH19" i="3"/>
  <c r="AG19" i="3"/>
  <c r="B19" i="3"/>
  <c r="G19" i="3"/>
  <c r="AA18" i="3"/>
  <c r="AB18" i="3" s="1"/>
  <c r="Z18" i="3"/>
  <c r="Y18" i="3"/>
  <c r="V18" i="3"/>
  <c r="U18" i="3"/>
  <c r="N18" i="3"/>
  <c r="L18" i="3"/>
  <c r="J18" i="3"/>
  <c r="AJ18" i="3"/>
  <c r="AH18" i="3"/>
  <c r="AG18" i="3"/>
  <c r="B18" i="3"/>
  <c r="G18" i="3"/>
  <c r="AA17" i="3"/>
  <c r="AB17" i="3" s="1"/>
  <c r="Z17" i="3"/>
  <c r="Y17" i="3"/>
  <c r="V17" i="3"/>
  <c r="U17" i="3"/>
  <c r="N17" i="3"/>
  <c r="Q17" i="3" s="1"/>
  <c r="L17" i="3"/>
  <c r="J17" i="3"/>
  <c r="AJ17" i="3"/>
  <c r="AH17" i="3"/>
  <c r="AG17" i="3"/>
  <c r="B17" i="3"/>
  <c r="G17" i="3"/>
  <c r="AA16" i="3"/>
  <c r="AB16" i="3" s="1"/>
  <c r="Z16" i="3"/>
  <c r="Y16" i="3"/>
  <c r="V16" i="3"/>
  <c r="U16" i="3"/>
  <c r="N16" i="3"/>
  <c r="Q16" i="3" s="1"/>
  <c r="L16" i="3"/>
  <c r="J16" i="3"/>
  <c r="AJ16" i="3"/>
  <c r="AH16" i="3"/>
  <c r="AG16" i="3"/>
  <c r="B16" i="3"/>
  <c r="G16" i="3"/>
  <c r="AA15" i="3"/>
  <c r="AB15" i="3" s="1"/>
  <c r="Z15" i="3"/>
  <c r="Y15" i="3"/>
  <c r="V15" i="3"/>
  <c r="U15" i="3"/>
  <c r="N15" i="3"/>
  <c r="L15" i="3"/>
  <c r="J15" i="3"/>
  <c r="AJ15" i="3"/>
  <c r="AH15" i="3"/>
  <c r="AG15" i="3"/>
  <c r="B15" i="3"/>
  <c r="G15" i="3"/>
  <c r="AA14" i="3"/>
  <c r="AB14" i="3" s="1"/>
  <c r="Z14" i="3"/>
  <c r="Y14" i="3"/>
  <c r="V14" i="3"/>
  <c r="U14" i="3"/>
  <c r="N14" i="3"/>
  <c r="L14" i="3"/>
  <c r="J14" i="3"/>
  <c r="AJ14" i="3"/>
  <c r="AH14" i="3"/>
  <c r="AG14" i="3"/>
  <c r="B14" i="3"/>
  <c r="G14" i="3"/>
  <c r="AA13" i="3"/>
  <c r="AB13" i="3" s="1"/>
  <c r="Z13" i="3"/>
  <c r="Y13" i="3"/>
  <c r="V13" i="3"/>
  <c r="U13" i="3"/>
  <c r="N13" i="3"/>
  <c r="Q13" i="3" s="1"/>
  <c r="L13" i="3"/>
  <c r="J13" i="3"/>
  <c r="AJ13" i="3"/>
  <c r="AH13" i="3"/>
  <c r="AG13" i="3"/>
  <c r="B13" i="3"/>
  <c r="G13" i="3"/>
  <c r="AA12" i="3"/>
  <c r="AB12" i="3" s="1"/>
  <c r="Z12" i="3"/>
  <c r="Y12" i="3"/>
  <c r="V12" i="3"/>
  <c r="U12" i="3"/>
  <c r="N12" i="3"/>
  <c r="Q12" i="3" s="1"/>
  <c r="L12" i="3"/>
  <c r="J12" i="3"/>
  <c r="AJ12" i="3"/>
  <c r="AH12" i="3"/>
  <c r="AG12" i="3"/>
  <c r="B12" i="3"/>
  <c r="G12" i="3"/>
  <c r="AA11" i="3"/>
  <c r="AB11" i="3" s="1"/>
  <c r="Z11" i="3"/>
  <c r="Y11" i="3"/>
  <c r="V11" i="3"/>
  <c r="U11" i="3"/>
  <c r="N11" i="3"/>
  <c r="L11" i="3"/>
  <c r="J11" i="3"/>
  <c r="AJ11" i="3"/>
  <c r="B11" i="3"/>
  <c r="G11" i="3"/>
  <c r="AA10" i="3"/>
  <c r="AB10" i="3" s="1"/>
  <c r="Z10" i="3"/>
  <c r="Y10" i="3"/>
  <c r="V10" i="3"/>
  <c r="U10" i="3"/>
  <c r="N10" i="3"/>
  <c r="Q10" i="3" s="1"/>
  <c r="L10" i="3"/>
  <c r="J10" i="3"/>
  <c r="AJ10" i="3"/>
  <c r="B10" i="3"/>
  <c r="G10" i="3"/>
  <c r="AA9" i="3"/>
  <c r="AB9" i="3" s="1"/>
  <c r="Z9" i="3"/>
  <c r="Y9" i="3"/>
  <c r="V9" i="3"/>
  <c r="U9" i="3"/>
  <c r="N9" i="3"/>
  <c r="Q9" i="3" s="1"/>
  <c r="L9" i="3"/>
  <c r="J9" i="3"/>
  <c r="AJ9" i="3"/>
  <c r="B9" i="3"/>
  <c r="G9" i="3"/>
  <c r="AA8" i="3"/>
  <c r="AB8" i="3" s="1"/>
  <c r="Z8" i="3"/>
  <c r="Y8" i="3"/>
  <c r="V8" i="3"/>
  <c r="U8" i="3"/>
  <c r="N8" i="3"/>
  <c r="L8" i="3"/>
  <c r="J8" i="3"/>
  <c r="AJ8" i="3"/>
  <c r="B8" i="3"/>
  <c r="G8" i="3"/>
  <c r="AA7" i="3"/>
  <c r="AB7" i="3" s="1"/>
  <c r="Z7" i="3"/>
  <c r="Y7" i="3"/>
  <c r="V7" i="3"/>
  <c r="U7" i="3"/>
  <c r="N7" i="3"/>
  <c r="Q7" i="3" s="1"/>
  <c r="L7" i="3"/>
  <c r="J7" i="3"/>
  <c r="AJ7" i="3"/>
  <c r="B7" i="3"/>
  <c r="G7" i="3"/>
  <c r="AA6" i="3"/>
  <c r="AB6" i="3" s="1"/>
  <c r="Z6" i="3"/>
  <c r="Y6" i="3"/>
  <c r="V6" i="3"/>
  <c r="U6" i="3"/>
  <c r="N6" i="3"/>
  <c r="Q6" i="3" s="1"/>
  <c r="L6" i="3"/>
  <c r="J6" i="3"/>
  <c r="AJ6" i="3"/>
  <c r="B6" i="3"/>
  <c r="G6" i="3"/>
  <c r="AC5" i="3"/>
  <c r="AA5" i="3"/>
  <c r="AB5" i="3" s="1"/>
  <c r="Z5" i="3"/>
  <c r="Y5" i="3"/>
  <c r="V5" i="3"/>
  <c r="U5" i="3"/>
  <c r="N5" i="3"/>
  <c r="Q5" i="3" s="1"/>
  <c r="L5" i="3"/>
  <c r="J5" i="3"/>
  <c r="AJ5" i="3"/>
  <c r="B5" i="3"/>
  <c r="G5" i="3"/>
  <c r="T136" i="2"/>
  <c r="S136" i="2"/>
  <c r="R136" i="2"/>
  <c r="P136" i="2"/>
  <c r="N136" i="2"/>
  <c r="K136" i="2"/>
  <c r="I136" i="2"/>
  <c r="J136" i="2" s="1"/>
  <c r="H136" i="2"/>
  <c r="M136" i="2" s="1"/>
  <c r="T135" i="2"/>
  <c r="S135" i="2"/>
  <c r="R135" i="2"/>
  <c r="P135" i="2"/>
  <c r="N135" i="2"/>
  <c r="O135" i="2" s="1"/>
  <c r="K135" i="2"/>
  <c r="I135" i="2"/>
  <c r="J135" i="2" s="1"/>
  <c r="H135" i="2"/>
  <c r="B135" i="2" s="1"/>
  <c r="T134" i="2"/>
  <c r="S134" i="2"/>
  <c r="R134" i="2"/>
  <c r="P134" i="2"/>
  <c r="N134" i="2"/>
  <c r="K134" i="2"/>
  <c r="I134" i="2"/>
  <c r="H134" i="2"/>
  <c r="M134" i="2" s="1"/>
  <c r="B134" i="2"/>
  <c r="T133" i="2"/>
  <c r="S133" i="2"/>
  <c r="R133" i="2"/>
  <c r="P133" i="2"/>
  <c r="N133" i="2"/>
  <c r="O133" i="2" s="1"/>
  <c r="M133" i="2"/>
  <c r="K133" i="2"/>
  <c r="I133" i="2"/>
  <c r="H133" i="2"/>
  <c r="B133" i="2" s="1"/>
  <c r="T132" i="2"/>
  <c r="S132" i="2"/>
  <c r="R132" i="2"/>
  <c r="P132" i="2"/>
  <c r="N132" i="2"/>
  <c r="O132" i="2" s="1"/>
  <c r="K132" i="2"/>
  <c r="I132" i="2"/>
  <c r="J132" i="2" s="1"/>
  <c r="H132" i="2"/>
  <c r="M132" i="2" s="1"/>
  <c r="T131" i="2"/>
  <c r="S131" i="2"/>
  <c r="R131" i="2"/>
  <c r="P131" i="2"/>
  <c r="N131" i="2"/>
  <c r="O131" i="2" s="1"/>
  <c r="K131" i="2"/>
  <c r="I131" i="2"/>
  <c r="H131" i="2"/>
  <c r="B131" i="2" s="1"/>
  <c r="T130" i="2"/>
  <c r="S130" i="2"/>
  <c r="R130" i="2"/>
  <c r="P130" i="2"/>
  <c r="N130" i="2"/>
  <c r="O130" i="2" s="1"/>
  <c r="K130" i="2"/>
  <c r="I130" i="2"/>
  <c r="J130" i="2" s="1"/>
  <c r="H130" i="2"/>
  <c r="M130" i="2" s="1"/>
  <c r="T129" i="2"/>
  <c r="S129" i="2"/>
  <c r="R129" i="2"/>
  <c r="P129" i="2"/>
  <c r="N129" i="2"/>
  <c r="O129" i="2" s="1"/>
  <c r="K129" i="2"/>
  <c r="I129" i="2"/>
  <c r="H129" i="2"/>
  <c r="B129" i="2" s="1"/>
  <c r="T128" i="2"/>
  <c r="S128" i="2"/>
  <c r="R128" i="2"/>
  <c r="P128" i="2"/>
  <c r="N128" i="2"/>
  <c r="O128" i="2" s="1"/>
  <c r="K128" i="2"/>
  <c r="I128" i="2"/>
  <c r="J128" i="2" s="1"/>
  <c r="H128" i="2"/>
  <c r="M128" i="2" s="1"/>
  <c r="T127" i="2"/>
  <c r="S127" i="2"/>
  <c r="R127" i="2"/>
  <c r="P127" i="2"/>
  <c r="N127" i="2"/>
  <c r="O127" i="2" s="1"/>
  <c r="M127" i="2"/>
  <c r="K127" i="2"/>
  <c r="I127" i="2"/>
  <c r="H127" i="2"/>
  <c r="B127" i="2" s="1"/>
  <c r="T126" i="2"/>
  <c r="S126" i="2"/>
  <c r="R126" i="2"/>
  <c r="P126" i="2"/>
  <c r="N126" i="2"/>
  <c r="O126" i="2" s="1"/>
  <c r="K126" i="2"/>
  <c r="I126" i="2"/>
  <c r="J126" i="2" s="1"/>
  <c r="H126" i="2"/>
  <c r="M126" i="2" s="1"/>
  <c r="T125" i="2"/>
  <c r="S125" i="2"/>
  <c r="R125" i="2"/>
  <c r="P125" i="2"/>
  <c r="N125" i="2"/>
  <c r="O125" i="2" s="1"/>
  <c r="K125" i="2"/>
  <c r="I125" i="2"/>
  <c r="H125" i="2"/>
  <c r="B125" i="2" s="1"/>
  <c r="T124" i="2"/>
  <c r="S124" i="2"/>
  <c r="R124" i="2"/>
  <c r="P124" i="2"/>
  <c r="N124" i="2"/>
  <c r="O124" i="2" s="1"/>
  <c r="K124" i="2"/>
  <c r="I124" i="2"/>
  <c r="J124" i="2" s="1"/>
  <c r="H124" i="2"/>
  <c r="M124" i="2" s="1"/>
  <c r="T123" i="2"/>
  <c r="S123" i="2"/>
  <c r="R123" i="2"/>
  <c r="P123" i="2"/>
  <c r="N123" i="2"/>
  <c r="O123" i="2" s="1"/>
  <c r="K123" i="2"/>
  <c r="I123" i="2"/>
  <c r="H123" i="2"/>
  <c r="B123" i="2" s="1"/>
  <c r="T122" i="2"/>
  <c r="S122" i="2"/>
  <c r="R122" i="2"/>
  <c r="P122" i="2"/>
  <c r="N122" i="2"/>
  <c r="O122" i="2" s="1"/>
  <c r="K122" i="2"/>
  <c r="I122" i="2"/>
  <c r="J122" i="2" s="1"/>
  <c r="H122" i="2"/>
  <c r="M122" i="2" s="1"/>
  <c r="T121" i="2"/>
  <c r="S121" i="2"/>
  <c r="R121" i="2"/>
  <c r="P121" i="2"/>
  <c r="N121" i="2"/>
  <c r="O121" i="2" s="1"/>
  <c r="M121" i="2"/>
  <c r="K121" i="2"/>
  <c r="I121" i="2"/>
  <c r="H121" i="2"/>
  <c r="B121" i="2" s="1"/>
  <c r="T120" i="2"/>
  <c r="S120" i="2"/>
  <c r="R120" i="2"/>
  <c r="P120" i="2"/>
  <c r="N120" i="2"/>
  <c r="O120" i="2" s="1"/>
  <c r="K120" i="2"/>
  <c r="I120" i="2"/>
  <c r="H120" i="2"/>
  <c r="M120" i="2" s="1"/>
  <c r="T119" i="2"/>
  <c r="S119" i="2"/>
  <c r="R119" i="2"/>
  <c r="P119" i="2"/>
  <c r="N119" i="2"/>
  <c r="O119" i="2" s="1"/>
  <c r="M119" i="2"/>
  <c r="K119" i="2"/>
  <c r="I119" i="2"/>
  <c r="J119" i="2" s="1"/>
  <c r="H119" i="2"/>
  <c r="Q119" i="2" s="1"/>
  <c r="B119" i="2"/>
  <c r="T118" i="2"/>
  <c r="S118" i="2"/>
  <c r="R118" i="2"/>
  <c r="P118" i="2"/>
  <c r="N118" i="2"/>
  <c r="Q118" i="2" s="1"/>
  <c r="K118" i="2"/>
  <c r="I118" i="2"/>
  <c r="L118" i="2" s="1"/>
  <c r="H118" i="2"/>
  <c r="M118" i="2" s="1"/>
  <c r="T117" i="2"/>
  <c r="S117" i="2"/>
  <c r="R117" i="2"/>
  <c r="P117" i="2"/>
  <c r="N117" i="2"/>
  <c r="Q117" i="2" s="1"/>
  <c r="K117" i="2"/>
  <c r="I117" i="2"/>
  <c r="J117" i="2" s="1"/>
  <c r="H117" i="2"/>
  <c r="M117" i="2" s="1"/>
  <c r="T116" i="2"/>
  <c r="S116" i="2"/>
  <c r="R116" i="2"/>
  <c r="P116" i="2"/>
  <c r="N116" i="2"/>
  <c r="Q116" i="2" s="1"/>
  <c r="K116" i="2"/>
  <c r="I116" i="2"/>
  <c r="H116" i="2"/>
  <c r="M116" i="2" s="1"/>
  <c r="T115" i="2"/>
  <c r="S115" i="2"/>
  <c r="R115" i="2"/>
  <c r="P115" i="2"/>
  <c r="O115" i="2"/>
  <c r="N115" i="2"/>
  <c r="K115" i="2"/>
  <c r="I115" i="2"/>
  <c r="J115" i="2" s="1"/>
  <c r="H115" i="2"/>
  <c r="M115" i="2" s="1"/>
  <c r="T114" i="2"/>
  <c r="S114" i="2"/>
  <c r="R114" i="2"/>
  <c r="P114" i="2"/>
  <c r="N114" i="2"/>
  <c r="Q114" i="2" s="1"/>
  <c r="K114" i="2"/>
  <c r="I114" i="2"/>
  <c r="L114" i="2" s="1"/>
  <c r="H114" i="2"/>
  <c r="M114" i="2" s="1"/>
  <c r="T113" i="2"/>
  <c r="S113" i="2"/>
  <c r="R113" i="2"/>
  <c r="P113" i="2"/>
  <c r="N113" i="2"/>
  <c r="Q113" i="2" s="1"/>
  <c r="K113" i="2"/>
  <c r="I113" i="2"/>
  <c r="J113" i="2" s="1"/>
  <c r="H113" i="2"/>
  <c r="M113" i="2" s="1"/>
  <c r="T111" i="2"/>
  <c r="S111" i="2"/>
  <c r="T110" i="2"/>
  <c r="S110" i="2"/>
  <c r="T109" i="2"/>
  <c r="S109" i="2"/>
  <c r="T108" i="2"/>
  <c r="S108" i="2"/>
  <c r="T107" i="2"/>
  <c r="S107" i="2"/>
  <c r="T106" i="2"/>
  <c r="S106" i="2"/>
  <c r="T105" i="2"/>
  <c r="S105" i="2"/>
  <c r="T104" i="2"/>
  <c r="S104" i="2"/>
  <c r="T103" i="2"/>
  <c r="S103" i="2"/>
  <c r="T102" i="2"/>
  <c r="S102" i="2"/>
  <c r="T101" i="2"/>
  <c r="S101" i="2"/>
  <c r="T100" i="2"/>
  <c r="S100" i="2"/>
  <c r="T99" i="2"/>
  <c r="S99" i="2"/>
  <c r="T98" i="2"/>
  <c r="S98" i="2"/>
  <c r="T97" i="2"/>
  <c r="S97" i="2"/>
  <c r="T96" i="2"/>
  <c r="S96" i="2"/>
  <c r="T95" i="2"/>
  <c r="S95" i="2"/>
  <c r="T94" i="2"/>
  <c r="S94" i="2"/>
  <c r="T93" i="2"/>
  <c r="S93" i="2"/>
  <c r="T92" i="2"/>
  <c r="S92" i="2"/>
  <c r="T91" i="2"/>
  <c r="S91" i="2"/>
  <c r="T90" i="2"/>
  <c r="S90" i="2"/>
  <c r="T89" i="2"/>
  <c r="S89" i="2"/>
  <c r="T88" i="2"/>
  <c r="S88" i="2"/>
  <c r="T86" i="2"/>
  <c r="S86" i="2"/>
  <c r="T85" i="2"/>
  <c r="S85" i="2"/>
  <c r="T84" i="2"/>
  <c r="S84" i="2"/>
  <c r="T83" i="2"/>
  <c r="S83" i="2"/>
  <c r="T82" i="2"/>
  <c r="S82" i="2"/>
  <c r="T81" i="2"/>
  <c r="S81" i="2"/>
  <c r="T80" i="2"/>
  <c r="S80" i="2"/>
  <c r="T79" i="2"/>
  <c r="S79" i="2"/>
  <c r="T78" i="2"/>
  <c r="S78" i="2"/>
  <c r="T77" i="2"/>
  <c r="S77" i="2"/>
  <c r="T76" i="2"/>
  <c r="S76" i="2"/>
  <c r="T75" i="2"/>
  <c r="S75" i="2"/>
  <c r="T74" i="2"/>
  <c r="S74" i="2"/>
  <c r="T73" i="2"/>
  <c r="S73" i="2"/>
  <c r="T72" i="2"/>
  <c r="S72" i="2"/>
  <c r="T71" i="2"/>
  <c r="S71" i="2"/>
  <c r="T70" i="2"/>
  <c r="S70" i="2"/>
  <c r="T69" i="2"/>
  <c r="S69" i="2"/>
  <c r="T68" i="2"/>
  <c r="S68" i="2"/>
  <c r="T67" i="2"/>
  <c r="S67" i="2"/>
  <c r="T66" i="2"/>
  <c r="S66" i="2"/>
  <c r="T65" i="2"/>
  <c r="S65" i="2"/>
  <c r="T64" i="2"/>
  <c r="S64" i="2"/>
  <c r="T63" i="2"/>
  <c r="S63" i="2"/>
  <c r="T61" i="2"/>
  <c r="S61" i="2"/>
  <c r="T60" i="2"/>
  <c r="S60" i="2"/>
  <c r="T59" i="2"/>
  <c r="S59" i="2"/>
  <c r="T58" i="2"/>
  <c r="S58" i="2"/>
  <c r="T57" i="2"/>
  <c r="S57" i="2"/>
  <c r="T56" i="2"/>
  <c r="S56" i="2"/>
  <c r="T55" i="2"/>
  <c r="S55" i="2"/>
  <c r="T54" i="2"/>
  <c r="S54" i="2"/>
  <c r="T53" i="2"/>
  <c r="S53" i="2"/>
  <c r="T52" i="2"/>
  <c r="S52" i="2"/>
  <c r="T51" i="2"/>
  <c r="S51" i="2"/>
  <c r="T50" i="2"/>
  <c r="S50" i="2"/>
  <c r="T49" i="2"/>
  <c r="S49" i="2"/>
  <c r="T48" i="2"/>
  <c r="S48" i="2"/>
  <c r="T47" i="2"/>
  <c r="S47" i="2"/>
  <c r="T46" i="2"/>
  <c r="S46" i="2"/>
  <c r="T45" i="2"/>
  <c r="S45" i="2"/>
  <c r="T44" i="2"/>
  <c r="S44" i="2"/>
  <c r="T43" i="2"/>
  <c r="S43" i="2"/>
  <c r="T42" i="2"/>
  <c r="S42" i="2"/>
  <c r="T40" i="2"/>
  <c r="S40" i="2"/>
  <c r="R40" i="2"/>
  <c r="Q40" i="2"/>
  <c r="P40" i="2"/>
  <c r="O40" i="2"/>
  <c r="N40" i="2"/>
  <c r="M40" i="2"/>
  <c r="K40" i="2"/>
  <c r="I40" i="2"/>
  <c r="L40" i="2" s="1"/>
  <c r="H40" i="2"/>
  <c r="B40" i="2"/>
  <c r="T39" i="2"/>
  <c r="S39" i="2"/>
  <c r="R39" i="2"/>
  <c r="Q39" i="2"/>
  <c r="P39" i="2"/>
  <c r="O39" i="2"/>
  <c r="N39" i="2"/>
  <c r="M39" i="2"/>
  <c r="K39" i="2"/>
  <c r="I39" i="2"/>
  <c r="J39" i="2" s="1"/>
  <c r="H39" i="2"/>
  <c r="B39" i="2"/>
  <c r="T38" i="2"/>
  <c r="S38" i="2"/>
  <c r="R38" i="2"/>
  <c r="Q38" i="2"/>
  <c r="P38" i="2"/>
  <c r="O38" i="2"/>
  <c r="N38" i="2"/>
  <c r="M38" i="2"/>
  <c r="K38" i="2"/>
  <c r="I38" i="2"/>
  <c r="L38" i="2" s="1"/>
  <c r="H38" i="2"/>
  <c r="B38" i="2"/>
  <c r="T37" i="2"/>
  <c r="S37" i="2"/>
  <c r="R37" i="2"/>
  <c r="Q37" i="2"/>
  <c r="P37" i="2"/>
  <c r="O37" i="2"/>
  <c r="N37" i="2"/>
  <c r="M37" i="2"/>
  <c r="K37" i="2"/>
  <c r="I37" i="2"/>
  <c r="J37" i="2" s="1"/>
  <c r="H37" i="2"/>
  <c r="B37" i="2"/>
  <c r="T36" i="2"/>
  <c r="S36" i="2"/>
  <c r="R36" i="2"/>
  <c r="Q36" i="2"/>
  <c r="P36" i="2"/>
  <c r="O36" i="2"/>
  <c r="N36" i="2"/>
  <c r="M36" i="2"/>
  <c r="K36" i="2"/>
  <c r="I36" i="2"/>
  <c r="L36" i="2" s="1"/>
  <c r="H36" i="2"/>
  <c r="B36" i="2"/>
  <c r="T35" i="2"/>
  <c r="S35" i="2"/>
  <c r="R35" i="2"/>
  <c r="Q35" i="2"/>
  <c r="P35" i="2"/>
  <c r="O35" i="2"/>
  <c r="N35" i="2"/>
  <c r="M35" i="2"/>
  <c r="K35" i="2"/>
  <c r="I35" i="2"/>
  <c r="J35" i="2" s="1"/>
  <c r="H35" i="2"/>
  <c r="B35" i="2"/>
  <c r="T34" i="2"/>
  <c r="S34" i="2"/>
  <c r="R34" i="2"/>
  <c r="Q34" i="2"/>
  <c r="P34" i="2"/>
  <c r="O34" i="2"/>
  <c r="N34" i="2"/>
  <c r="M34" i="2"/>
  <c r="K34" i="2"/>
  <c r="I34" i="2"/>
  <c r="L34" i="2" s="1"/>
  <c r="H34" i="2"/>
  <c r="B34" i="2"/>
  <c r="T33" i="2"/>
  <c r="S33" i="2"/>
  <c r="R33" i="2"/>
  <c r="Q33" i="2"/>
  <c r="P33" i="2"/>
  <c r="O33" i="2"/>
  <c r="N33" i="2"/>
  <c r="M33" i="2"/>
  <c r="K33" i="2"/>
  <c r="I33" i="2"/>
  <c r="J33" i="2" s="1"/>
  <c r="H33" i="2"/>
  <c r="B33" i="2"/>
  <c r="T32" i="2"/>
  <c r="S32" i="2"/>
  <c r="R32" i="2"/>
  <c r="P32" i="2"/>
  <c r="N32" i="2"/>
  <c r="Q32" i="2" s="1"/>
  <c r="K32" i="2"/>
  <c r="I32" i="2"/>
  <c r="H32" i="2"/>
  <c r="M32" i="2" s="1"/>
  <c r="T31" i="2"/>
  <c r="S31" i="2"/>
  <c r="R31" i="2"/>
  <c r="P31" i="2"/>
  <c r="O31" i="2"/>
  <c r="N31" i="2"/>
  <c r="K31" i="2"/>
  <c r="I31" i="2"/>
  <c r="J31" i="2" s="1"/>
  <c r="H31" i="2"/>
  <c r="M31" i="2" s="1"/>
  <c r="T30" i="2"/>
  <c r="S30" i="2"/>
  <c r="R30" i="2"/>
  <c r="P30" i="2"/>
  <c r="N30" i="2"/>
  <c r="Q30" i="2" s="1"/>
  <c r="K30" i="2"/>
  <c r="I30" i="2"/>
  <c r="L30" i="2" s="1"/>
  <c r="H30" i="2"/>
  <c r="M30" i="2" s="1"/>
  <c r="T29" i="2"/>
  <c r="S29" i="2"/>
  <c r="R29" i="2"/>
  <c r="P29" i="2"/>
  <c r="N29" i="2"/>
  <c r="Q29" i="2" s="1"/>
  <c r="K29" i="2"/>
  <c r="I29" i="2"/>
  <c r="J29" i="2" s="1"/>
  <c r="H29" i="2"/>
  <c r="M29" i="2" s="1"/>
  <c r="T28" i="2"/>
  <c r="S28" i="2"/>
  <c r="R28" i="2"/>
  <c r="P28" i="2"/>
  <c r="N28" i="2"/>
  <c r="Q28" i="2" s="1"/>
  <c r="K28" i="2"/>
  <c r="I28" i="2"/>
  <c r="H28" i="2"/>
  <c r="M28" i="2" s="1"/>
  <c r="T27" i="2"/>
  <c r="S27" i="2"/>
  <c r="R27" i="2"/>
  <c r="P27" i="2"/>
  <c r="O27" i="2"/>
  <c r="N27" i="2"/>
  <c r="K27" i="2"/>
  <c r="I27" i="2"/>
  <c r="J27" i="2" s="1"/>
  <c r="H27" i="2"/>
  <c r="M27" i="2" s="1"/>
  <c r="T26" i="2"/>
  <c r="S26" i="2"/>
  <c r="R26" i="2"/>
  <c r="P26" i="2"/>
  <c r="N26" i="2"/>
  <c r="Q26" i="2" s="1"/>
  <c r="K26" i="2"/>
  <c r="I26" i="2"/>
  <c r="L26" i="2" s="1"/>
  <c r="H26" i="2"/>
  <c r="M26" i="2" s="1"/>
  <c r="T25" i="2"/>
  <c r="S25" i="2"/>
  <c r="R25" i="2"/>
  <c r="P25" i="2"/>
  <c r="N25" i="2"/>
  <c r="Q25" i="2" s="1"/>
  <c r="K25" i="2"/>
  <c r="I25" i="2"/>
  <c r="J25" i="2" s="1"/>
  <c r="H25" i="2"/>
  <c r="M25" i="2" s="1"/>
  <c r="T24" i="2"/>
  <c r="S24" i="2"/>
  <c r="R24" i="2"/>
  <c r="P24" i="2"/>
  <c r="N24" i="2"/>
  <c r="Q24" i="2" s="1"/>
  <c r="K24" i="2"/>
  <c r="I24" i="2"/>
  <c r="H24" i="2"/>
  <c r="M24" i="2" s="1"/>
  <c r="T23" i="2"/>
  <c r="S23" i="2"/>
  <c r="R23" i="2"/>
  <c r="P23" i="2"/>
  <c r="O23" i="2"/>
  <c r="N23" i="2"/>
  <c r="K23" i="2"/>
  <c r="I23" i="2"/>
  <c r="J23" i="2" s="1"/>
  <c r="H23" i="2"/>
  <c r="M23" i="2" s="1"/>
  <c r="T21" i="2"/>
  <c r="S21" i="2"/>
  <c r="T20" i="2"/>
  <c r="S20" i="2"/>
  <c r="T19" i="2"/>
  <c r="S19" i="2"/>
  <c r="T18" i="2"/>
  <c r="S18" i="2"/>
  <c r="T17" i="2"/>
  <c r="S17" i="2"/>
  <c r="T16" i="2"/>
  <c r="S16" i="2"/>
  <c r="T15" i="2"/>
  <c r="S15" i="2"/>
  <c r="T14" i="2"/>
  <c r="S14" i="2"/>
  <c r="T13" i="2"/>
  <c r="S13" i="2"/>
  <c r="T12" i="2"/>
  <c r="S12" i="2"/>
  <c r="T11" i="2"/>
  <c r="S11" i="2"/>
  <c r="T10" i="2"/>
  <c r="S10" i="2"/>
  <c r="T9" i="2"/>
  <c r="S9" i="2"/>
  <c r="T8" i="2"/>
  <c r="S8" i="2"/>
  <c r="T7" i="2"/>
  <c r="S7" i="2"/>
  <c r="T6" i="2"/>
  <c r="S6" i="2"/>
  <c r="T5" i="2"/>
  <c r="S5" i="2"/>
  <c r="T4" i="2"/>
  <c r="S4" i="2"/>
  <c r="G63" i="16" l="1"/>
  <c r="I182" i="2" s="1"/>
  <c r="G46" i="16"/>
  <c r="G17" i="16"/>
  <c r="K180" i="2" s="1"/>
  <c r="G75" i="16"/>
  <c r="Q182" i="2" s="1"/>
  <c r="N182" i="2"/>
  <c r="O28" i="2"/>
  <c r="L32" i="2"/>
  <c r="O113" i="2"/>
  <c r="L116" i="2"/>
  <c r="O117" i="2"/>
  <c r="M129" i="2"/>
  <c r="L133" i="2"/>
  <c r="O24" i="2"/>
  <c r="O32" i="2"/>
  <c r="L24" i="2"/>
  <c r="O25" i="2"/>
  <c r="L28" i="2"/>
  <c r="O29" i="2"/>
  <c r="Q23" i="2"/>
  <c r="O26" i="2"/>
  <c r="Q27" i="2"/>
  <c r="O30" i="2"/>
  <c r="Q31" i="2"/>
  <c r="O114" i="2"/>
  <c r="Q115" i="2"/>
  <c r="O118" i="2"/>
  <c r="B120" i="2"/>
  <c r="M125" i="2"/>
  <c r="B136" i="2"/>
  <c r="O116" i="2"/>
  <c r="L120" i="2"/>
  <c r="L125" i="2"/>
  <c r="M78" i="5"/>
  <c r="H78" i="5"/>
  <c r="R98" i="5"/>
  <c r="L132" i="5"/>
  <c r="B132" i="5"/>
  <c r="H215" i="5"/>
  <c r="R215" i="5"/>
  <c r="J35" i="6"/>
  <c r="L35" i="6"/>
  <c r="R9" i="5"/>
  <c r="M110" i="5"/>
  <c r="H110" i="5"/>
  <c r="L110" i="5" s="1"/>
  <c r="J165" i="6"/>
  <c r="L165" i="6"/>
  <c r="L123" i="2"/>
  <c r="L131" i="2"/>
  <c r="Q134" i="2"/>
  <c r="H8" i="4"/>
  <c r="L8" i="4" s="1"/>
  <c r="H11" i="4"/>
  <c r="L11" i="4" s="1"/>
  <c r="H15" i="4"/>
  <c r="H19" i="4"/>
  <c r="H23" i="4"/>
  <c r="H27" i="4"/>
  <c r="H31" i="4"/>
  <c r="H35" i="4"/>
  <c r="H39" i="4"/>
  <c r="H43" i="4"/>
  <c r="H47" i="4"/>
  <c r="H51" i="4"/>
  <c r="H55" i="4"/>
  <c r="H59" i="4"/>
  <c r="H63" i="4"/>
  <c r="H67" i="4"/>
  <c r="H71" i="4"/>
  <c r="H75" i="4"/>
  <c r="H79" i="4"/>
  <c r="H83" i="4"/>
  <c r="H87" i="4"/>
  <c r="H91" i="4"/>
  <c r="H95" i="4"/>
  <c r="H99" i="4"/>
  <c r="H103" i="4"/>
  <c r="H107" i="4"/>
  <c r="H111" i="4"/>
  <c r="H115" i="4"/>
  <c r="H119" i="4"/>
  <c r="H123" i="4"/>
  <c r="H127" i="4"/>
  <c r="H131" i="4"/>
  <c r="H135" i="4"/>
  <c r="H139" i="4"/>
  <c r="H143" i="4"/>
  <c r="H148" i="4"/>
  <c r="H152" i="4"/>
  <c r="H156" i="4"/>
  <c r="H160" i="4"/>
  <c r="H164" i="4"/>
  <c r="H168" i="4"/>
  <c r="H172" i="4"/>
  <c r="H176" i="4"/>
  <c r="H180" i="4"/>
  <c r="H184" i="4"/>
  <c r="H188" i="4"/>
  <c r="H192" i="4"/>
  <c r="H196" i="4"/>
  <c r="H200" i="4"/>
  <c r="H204" i="4"/>
  <c r="H208" i="4"/>
  <c r="L208" i="4" s="1"/>
  <c r="H212" i="4"/>
  <c r="L212" i="4" s="1"/>
  <c r="H216" i="4"/>
  <c r="L216" i="4" s="1"/>
  <c r="H220" i="4"/>
  <c r="L220" i="4" s="1"/>
  <c r="H224" i="4"/>
  <c r="L224" i="4" s="1"/>
  <c r="H228" i="4"/>
  <c r="L228" i="4" s="1"/>
  <c r="H232" i="4"/>
  <c r="L232" i="4" s="1"/>
  <c r="H236" i="4"/>
  <c r="L236" i="4" s="1"/>
  <c r="H240" i="4"/>
  <c r="L240" i="4" s="1"/>
  <c r="H244" i="4"/>
  <c r="L244" i="4" s="1"/>
  <c r="H248" i="4"/>
  <c r="L248" i="4" s="1"/>
  <c r="H252" i="4"/>
  <c r="L252" i="4" s="1"/>
  <c r="R4" i="5"/>
  <c r="R8" i="5"/>
  <c r="H71" i="5"/>
  <c r="L71" i="5" s="1"/>
  <c r="M80" i="5"/>
  <c r="R80" i="5"/>
  <c r="H83" i="5"/>
  <c r="H98" i="5"/>
  <c r="L98" i="5" s="1"/>
  <c r="M113" i="5"/>
  <c r="R113" i="5"/>
  <c r="R128" i="5"/>
  <c r="H128" i="5"/>
  <c r="H130" i="5"/>
  <c r="L130" i="5" s="1"/>
  <c r="L136" i="5"/>
  <c r="Q136" i="5"/>
  <c r="M145" i="5"/>
  <c r="R145" i="5"/>
  <c r="H158" i="5"/>
  <c r="L158" i="5" s="1"/>
  <c r="R160" i="5"/>
  <c r="H160" i="5"/>
  <c r="H179" i="5"/>
  <c r="H181" i="5"/>
  <c r="L181" i="5" s="1"/>
  <c r="H195" i="5"/>
  <c r="H197" i="5"/>
  <c r="L197" i="5" s="1"/>
  <c r="H211" i="5"/>
  <c r="H213" i="5"/>
  <c r="L213" i="5" s="1"/>
  <c r="J27" i="6"/>
  <c r="L27" i="6"/>
  <c r="J181" i="6"/>
  <c r="L181" i="6"/>
  <c r="L113" i="5"/>
  <c r="B113" i="5"/>
  <c r="R117" i="5"/>
  <c r="R149" i="5"/>
  <c r="H183" i="5"/>
  <c r="R183" i="5"/>
  <c r="H199" i="5"/>
  <c r="R199" i="5"/>
  <c r="M271" i="5"/>
  <c r="H271" i="5"/>
  <c r="L271" i="5" s="1"/>
  <c r="B23" i="2"/>
  <c r="B24" i="2"/>
  <c r="B25" i="2"/>
  <c r="B26" i="2"/>
  <c r="B27" i="2"/>
  <c r="B28" i="2"/>
  <c r="B29" i="2"/>
  <c r="B30" i="2"/>
  <c r="B31" i="2"/>
  <c r="B32" i="2"/>
  <c r="B113" i="2"/>
  <c r="B114" i="2"/>
  <c r="B115" i="2"/>
  <c r="B116" i="2"/>
  <c r="B117" i="2"/>
  <c r="B118" i="2"/>
  <c r="L121" i="2"/>
  <c r="L129" i="2"/>
  <c r="L134" i="2"/>
  <c r="H12" i="4"/>
  <c r="L12" i="4" s="1"/>
  <c r="H16" i="4"/>
  <c r="H20" i="4"/>
  <c r="H24" i="4"/>
  <c r="H28" i="4"/>
  <c r="H32" i="4"/>
  <c r="H36" i="4"/>
  <c r="H40" i="4"/>
  <c r="H44" i="4"/>
  <c r="H48" i="4"/>
  <c r="H52" i="4"/>
  <c r="H56" i="4"/>
  <c r="H60" i="4"/>
  <c r="H64" i="4"/>
  <c r="H68" i="4"/>
  <c r="H72" i="4"/>
  <c r="H76" i="4"/>
  <c r="H80" i="4"/>
  <c r="H84" i="4"/>
  <c r="H88" i="4"/>
  <c r="H92" i="4"/>
  <c r="H96" i="4"/>
  <c r="H100" i="4"/>
  <c r="H104" i="4"/>
  <c r="H108" i="4"/>
  <c r="H112" i="4"/>
  <c r="H116" i="4"/>
  <c r="H120" i="4"/>
  <c r="H124" i="4"/>
  <c r="H128" i="4"/>
  <c r="H132" i="4"/>
  <c r="H136" i="4"/>
  <c r="H140" i="4"/>
  <c r="H144" i="4"/>
  <c r="B144" i="4" s="1"/>
  <c r="H149" i="4"/>
  <c r="H153" i="4"/>
  <c r="H157" i="4"/>
  <c r="H161" i="4"/>
  <c r="B161" i="4" s="1"/>
  <c r="H165" i="4"/>
  <c r="H169" i="4"/>
  <c r="H173" i="4"/>
  <c r="H177" i="4"/>
  <c r="B177" i="4" s="1"/>
  <c r="H181" i="4"/>
  <c r="H185" i="4"/>
  <c r="H189" i="4"/>
  <c r="H193" i="4"/>
  <c r="B193" i="4" s="1"/>
  <c r="H197" i="4"/>
  <c r="H201" i="4"/>
  <c r="H205" i="4"/>
  <c r="L205" i="4" s="1"/>
  <c r="H209" i="4"/>
  <c r="L209" i="4" s="1"/>
  <c r="H213" i="4"/>
  <c r="L213" i="4" s="1"/>
  <c r="H217" i="4"/>
  <c r="L217" i="4" s="1"/>
  <c r="H221" i="4"/>
  <c r="L221" i="4" s="1"/>
  <c r="H225" i="4"/>
  <c r="L225" i="4" s="1"/>
  <c r="H229" i="4"/>
  <c r="L229" i="4" s="1"/>
  <c r="H233" i="4"/>
  <c r="L233" i="4" s="1"/>
  <c r="H237" i="4"/>
  <c r="L237" i="4" s="1"/>
  <c r="H241" i="4"/>
  <c r="L241" i="4" s="1"/>
  <c r="H245" i="4"/>
  <c r="L245" i="4" s="1"/>
  <c r="H249" i="4"/>
  <c r="L249" i="4" s="1"/>
  <c r="H4" i="5"/>
  <c r="L4" i="5" s="1"/>
  <c r="H6" i="5"/>
  <c r="Q6" i="5" s="1"/>
  <c r="H8" i="5"/>
  <c r="L8" i="5" s="1"/>
  <c r="H63" i="5"/>
  <c r="H68" i="5"/>
  <c r="L68" i="5" s="1"/>
  <c r="R68" i="5"/>
  <c r="R72" i="5"/>
  <c r="Q79" i="5"/>
  <c r="R84" i="5"/>
  <c r="H91" i="5"/>
  <c r="L91" i="5" s="1"/>
  <c r="M94" i="5"/>
  <c r="H94" i="5"/>
  <c r="L94" i="5" s="1"/>
  <c r="H116" i="5"/>
  <c r="H129" i="5"/>
  <c r="R133" i="5"/>
  <c r="B136" i="5"/>
  <c r="H148" i="5"/>
  <c r="R156" i="5"/>
  <c r="H156" i="5"/>
  <c r="M161" i="5"/>
  <c r="R161" i="5"/>
  <c r="M174" i="5"/>
  <c r="R174" i="5"/>
  <c r="R177" i="5"/>
  <c r="H177" i="5"/>
  <c r="L177" i="5" s="1"/>
  <c r="M190" i="5"/>
  <c r="R190" i="5"/>
  <c r="R193" i="5"/>
  <c r="H193" i="5"/>
  <c r="L193" i="5" s="1"/>
  <c r="M206" i="5"/>
  <c r="R206" i="5"/>
  <c r="R209" i="5"/>
  <c r="H209" i="5"/>
  <c r="L209" i="5" s="1"/>
  <c r="M222" i="5"/>
  <c r="R222" i="5"/>
  <c r="J19" i="6"/>
  <c r="L19" i="6"/>
  <c r="J133" i="6"/>
  <c r="L133" i="6"/>
  <c r="M64" i="5"/>
  <c r="R64" i="5"/>
  <c r="M100" i="5"/>
  <c r="R100" i="5"/>
  <c r="L145" i="5"/>
  <c r="B145" i="5"/>
  <c r="Q120" i="2"/>
  <c r="M123" i="2"/>
  <c r="L127" i="2"/>
  <c r="M131" i="2"/>
  <c r="J134" i="2"/>
  <c r="Q136" i="2"/>
  <c r="H5" i="4"/>
  <c r="L5" i="4" s="1"/>
  <c r="H13" i="4"/>
  <c r="H17" i="4"/>
  <c r="L17" i="4" s="1"/>
  <c r="H25" i="4"/>
  <c r="H29" i="4"/>
  <c r="H33" i="4"/>
  <c r="H37" i="4"/>
  <c r="L37" i="4" s="1"/>
  <c r="H41" i="4"/>
  <c r="H45" i="4"/>
  <c r="H49" i="4"/>
  <c r="H53" i="4"/>
  <c r="L53" i="4" s="1"/>
  <c r="H57" i="4"/>
  <c r="H61" i="4"/>
  <c r="H69" i="4"/>
  <c r="H73" i="4"/>
  <c r="L73" i="4" s="1"/>
  <c r="H77" i="4"/>
  <c r="H81" i="4"/>
  <c r="H85" i="4"/>
  <c r="H89" i="4"/>
  <c r="L89" i="4" s="1"/>
  <c r="H93" i="4"/>
  <c r="H97" i="4"/>
  <c r="H101" i="4"/>
  <c r="H105" i="4"/>
  <c r="L105" i="4" s="1"/>
  <c r="H113" i="4"/>
  <c r="H117" i="4"/>
  <c r="H121" i="4"/>
  <c r="H125" i="4"/>
  <c r="L125" i="4" s="1"/>
  <c r="H133" i="4"/>
  <c r="H137" i="4"/>
  <c r="L137" i="4" s="1"/>
  <c r="H145" i="4"/>
  <c r="H154" i="4"/>
  <c r="L154" i="4" s="1"/>
  <c r="H158" i="4"/>
  <c r="H166" i="4"/>
  <c r="L166" i="4" s="1"/>
  <c r="H170" i="4"/>
  <c r="H186" i="4"/>
  <c r="L186" i="4" s="1"/>
  <c r="H190" i="4"/>
  <c r="H194" i="4"/>
  <c r="L194" i="4" s="1"/>
  <c r="H226" i="4"/>
  <c r="L226" i="4" s="1"/>
  <c r="H238" i="4"/>
  <c r="L238" i="4" s="1"/>
  <c r="H242" i="4"/>
  <c r="L242" i="4" s="1"/>
  <c r="H246" i="4"/>
  <c r="L246" i="4" s="1"/>
  <c r="H250" i="4"/>
  <c r="L250" i="4" s="1"/>
  <c r="R5" i="5"/>
  <c r="R10" i="5"/>
  <c r="R12" i="5"/>
  <c r="M14" i="5"/>
  <c r="R14" i="5"/>
  <c r="M62" i="5"/>
  <c r="H62" i="5"/>
  <c r="L62" i="5" s="1"/>
  <c r="M70" i="5"/>
  <c r="H70" i="5"/>
  <c r="R78" i="5"/>
  <c r="M86" i="5"/>
  <c r="H86" i="5"/>
  <c r="R110" i="5"/>
  <c r="R112" i="5"/>
  <c r="H112" i="5"/>
  <c r="L112" i="5" s="1"/>
  <c r="L120" i="5"/>
  <c r="Q120" i="5"/>
  <c r="B125" i="5"/>
  <c r="L125" i="5"/>
  <c r="M129" i="5"/>
  <c r="R129" i="5"/>
  <c r="Q132" i="5"/>
  <c r="R144" i="5"/>
  <c r="H144" i="5"/>
  <c r="L152" i="5"/>
  <c r="Q152" i="5"/>
  <c r="M165" i="5"/>
  <c r="R165" i="5"/>
  <c r="H170" i="5"/>
  <c r="R170" i="5"/>
  <c r="H186" i="5"/>
  <c r="R186" i="5"/>
  <c r="H202" i="5"/>
  <c r="R202" i="5"/>
  <c r="H218" i="5"/>
  <c r="R218" i="5"/>
  <c r="R271" i="5"/>
  <c r="M273" i="5"/>
  <c r="R273" i="5"/>
  <c r="J11" i="6"/>
  <c r="L11" i="6"/>
  <c r="J149" i="6"/>
  <c r="L149" i="6"/>
  <c r="R259" i="5"/>
  <c r="R261" i="5"/>
  <c r="R267" i="5"/>
  <c r="H278" i="5"/>
  <c r="L4" i="6"/>
  <c r="L12" i="6"/>
  <c r="L20" i="6"/>
  <c r="L28" i="6"/>
  <c r="L36" i="6"/>
  <c r="L44" i="6"/>
  <c r="L52" i="6"/>
  <c r="L60" i="6"/>
  <c r="L68" i="6"/>
  <c r="L76" i="6"/>
  <c r="L84" i="6"/>
  <c r="L92" i="6"/>
  <c r="L100" i="6"/>
  <c r="L108" i="6"/>
  <c r="L127" i="6"/>
  <c r="L139" i="6"/>
  <c r="B139" i="6"/>
  <c r="L143" i="6"/>
  <c r="L155" i="6"/>
  <c r="B155" i="6"/>
  <c r="L159" i="6"/>
  <c r="L171" i="6"/>
  <c r="B171" i="6"/>
  <c r="L175" i="6"/>
  <c r="L304" i="6"/>
  <c r="J304" i="6"/>
  <c r="J338" i="6"/>
  <c r="L338" i="6"/>
  <c r="L420" i="6"/>
  <c r="J420" i="6"/>
  <c r="L436" i="6"/>
  <c r="J436" i="6"/>
  <c r="R90" i="5"/>
  <c r="H103" i="5"/>
  <c r="B103" i="5" s="1"/>
  <c r="H104" i="5"/>
  <c r="R104" i="5"/>
  <c r="R106" i="5"/>
  <c r="H126" i="5"/>
  <c r="L126" i="5" s="1"/>
  <c r="H142" i="5"/>
  <c r="L142" i="5" s="1"/>
  <c r="H166" i="5"/>
  <c r="L166" i="5" s="1"/>
  <c r="R166" i="5"/>
  <c r="H175" i="5"/>
  <c r="H184" i="5"/>
  <c r="H191" i="5"/>
  <c r="H200" i="5"/>
  <c r="H207" i="5"/>
  <c r="H216" i="5"/>
  <c r="H223" i="5"/>
  <c r="H259" i="5"/>
  <c r="R263" i="5"/>
  <c r="H267" i="5"/>
  <c r="L267" i="5" s="1"/>
  <c r="H274" i="5"/>
  <c r="R279" i="5"/>
  <c r="L5" i="6"/>
  <c r="L6" i="6"/>
  <c r="L13" i="6"/>
  <c r="L14" i="6"/>
  <c r="L21" i="6"/>
  <c r="L22" i="6"/>
  <c r="L29" i="6"/>
  <c r="L30" i="6"/>
  <c r="L37" i="6"/>
  <c r="L38" i="6"/>
  <c r="L42" i="6"/>
  <c r="L50" i="6"/>
  <c r="L58" i="6"/>
  <c r="L66" i="6"/>
  <c r="L74" i="6"/>
  <c r="L82" i="6"/>
  <c r="L90" i="6"/>
  <c r="L98" i="6"/>
  <c r="L106" i="6"/>
  <c r="L129" i="6"/>
  <c r="L145" i="6"/>
  <c r="L161" i="6"/>
  <c r="L177" i="6"/>
  <c r="R16" i="5"/>
  <c r="R18" i="5"/>
  <c r="R20" i="5"/>
  <c r="R22" i="5"/>
  <c r="R24" i="5"/>
  <c r="R26" i="5"/>
  <c r="R28" i="5"/>
  <c r="R30" i="5"/>
  <c r="R32" i="5"/>
  <c r="R34" i="5"/>
  <c r="R36" i="5"/>
  <c r="R38" i="5"/>
  <c r="R40" i="5"/>
  <c r="R42" i="5"/>
  <c r="R44" i="5"/>
  <c r="R46" i="5"/>
  <c r="R48" i="5"/>
  <c r="R50" i="5"/>
  <c r="R52" i="5"/>
  <c r="R54" i="5"/>
  <c r="R56" i="5"/>
  <c r="R58" i="5"/>
  <c r="H64" i="5"/>
  <c r="L64" i="5" s="1"/>
  <c r="R66" i="5"/>
  <c r="H67" i="5"/>
  <c r="R74" i="5"/>
  <c r="H80" i="5"/>
  <c r="L80" i="5" s="1"/>
  <c r="R82" i="5"/>
  <c r="H84" i="5"/>
  <c r="L84" i="5" s="1"/>
  <c r="H90" i="5"/>
  <c r="Q90" i="5" s="1"/>
  <c r="H100" i="5"/>
  <c r="R102" i="5"/>
  <c r="H111" i="5"/>
  <c r="H117" i="5"/>
  <c r="H122" i="5"/>
  <c r="L122" i="5" s="1"/>
  <c r="H124" i="5"/>
  <c r="R125" i="5"/>
  <c r="H133" i="5"/>
  <c r="H138" i="5"/>
  <c r="L138" i="5" s="1"/>
  <c r="H140" i="5"/>
  <c r="R141" i="5"/>
  <c r="H149" i="5"/>
  <c r="H154" i="5"/>
  <c r="L154" i="5" s="1"/>
  <c r="H161" i="5"/>
  <c r="Q161" i="5" s="1"/>
  <c r="H164" i="5"/>
  <c r="H165" i="5"/>
  <c r="L165" i="5" s="1"/>
  <c r="H168" i="5"/>
  <c r="H173" i="5"/>
  <c r="L173" i="5" s="1"/>
  <c r="H174" i="5"/>
  <c r="H180" i="5"/>
  <c r="L180" i="5" s="1"/>
  <c r="H187" i="5"/>
  <c r="H189" i="5"/>
  <c r="L189" i="5" s="1"/>
  <c r="H190" i="5"/>
  <c r="H196" i="5"/>
  <c r="B196" i="5" s="1"/>
  <c r="H203" i="5"/>
  <c r="H205" i="5"/>
  <c r="L205" i="5" s="1"/>
  <c r="H206" i="5"/>
  <c r="H212" i="5"/>
  <c r="Q212" i="5" s="1"/>
  <c r="H219" i="5"/>
  <c r="H221" i="5"/>
  <c r="L221" i="5" s="1"/>
  <c r="H222" i="5"/>
  <c r="H263" i="5"/>
  <c r="H270" i="5"/>
  <c r="H273" i="5"/>
  <c r="R275" i="5"/>
  <c r="H279" i="5"/>
  <c r="L279" i="5" s="1"/>
  <c r="L7" i="6"/>
  <c r="L8" i="6"/>
  <c r="L15" i="6"/>
  <c r="L16" i="6"/>
  <c r="L23" i="6"/>
  <c r="L24" i="6"/>
  <c r="L31" i="6"/>
  <c r="L32" i="6"/>
  <c r="L39" i="6"/>
  <c r="L40" i="6"/>
  <c r="L45" i="6"/>
  <c r="L48" i="6"/>
  <c r="L53" i="6"/>
  <c r="L56" i="6"/>
  <c r="L61" i="6"/>
  <c r="L64" i="6"/>
  <c r="L69" i="6"/>
  <c r="L72" i="6"/>
  <c r="L77" i="6"/>
  <c r="L80" i="6"/>
  <c r="L85" i="6"/>
  <c r="L88" i="6"/>
  <c r="L93" i="6"/>
  <c r="L96" i="6"/>
  <c r="L101" i="6"/>
  <c r="L104" i="6"/>
  <c r="L109" i="6"/>
  <c r="L118" i="6"/>
  <c r="L131" i="6"/>
  <c r="B131" i="6"/>
  <c r="L135" i="6"/>
  <c r="L141" i="6"/>
  <c r="L147" i="6"/>
  <c r="B147" i="6"/>
  <c r="L151" i="6"/>
  <c r="L157" i="6"/>
  <c r="L163" i="6"/>
  <c r="B163" i="6"/>
  <c r="L167" i="6"/>
  <c r="L173" i="6"/>
  <c r="L179" i="6"/>
  <c r="B179" i="6"/>
  <c r="L184" i="6"/>
  <c r="L185" i="6"/>
  <c r="J185" i="6"/>
  <c r="L280" i="6"/>
  <c r="J280" i="6"/>
  <c r="L111" i="6"/>
  <c r="L114" i="6"/>
  <c r="L119" i="6"/>
  <c r="L122" i="6"/>
  <c r="L236" i="6"/>
  <c r="J236" i="6"/>
  <c r="L240" i="6"/>
  <c r="J240" i="6"/>
  <c r="L252" i="6"/>
  <c r="L253" i="6"/>
  <c r="L298" i="6"/>
  <c r="L312" i="6"/>
  <c r="J312" i="6"/>
  <c r="J330" i="6"/>
  <c r="L330" i="6"/>
  <c r="L382" i="6"/>
  <c r="L388" i="6"/>
  <c r="J388" i="6"/>
  <c r="L398" i="6"/>
  <c r="L404" i="6"/>
  <c r="J404" i="6"/>
  <c r="L414" i="6"/>
  <c r="G68" i="16"/>
  <c r="G69" i="16"/>
  <c r="G61" i="16"/>
  <c r="B182" i="2" s="1"/>
  <c r="L288" i="6"/>
  <c r="J288" i="6"/>
  <c r="J322" i="6"/>
  <c r="L322" i="6"/>
  <c r="J354" i="6"/>
  <c r="L354" i="6"/>
  <c r="L381" i="6"/>
  <c r="J381" i="6"/>
  <c r="L422" i="6"/>
  <c r="L428" i="6"/>
  <c r="J428" i="6"/>
  <c r="L123" i="6"/>
  <c r="L186" i="6"/>
  <c r="L188" i="6"/>
  <c r="L238" i="6"/>
  <c r="J238" i="6"/>
  <c r="L241" i="6"/>
  <c r="L242" i="6"/>
  <c r="J242" i="6"/>
  <c r="L268" i="6"/>
  <c r="L269" i="6"/>
  <c r="L282" i="6"/>
  <c r="J282" i="6"/>
  <c r="L296" i="6"/>
  <c r="J296" i="6"/>
  <c r="J346" i="6"/>
  <c r="L346" i="6"/>
  <c r="L390" i="6"/>
  <c r="L396" i="6"/>
  <c r="J396" i="6"/>
  <c r="L406" i="6"/>
  <c r="L412" i="6"/>
  <c r="J412" i="6"/>
  <c r="G26" i="7"/>
  <c r="F26" i="7"/>
  <c r="G30" i="7"/>
  <c r="F30" i="7"/>
  <c r="G72" i="16"/>
  <c r="O182" i="2" s="1"/>
  <c r="L363" i="6"/>
  <c r="L371" i="6"/>
  <c r="L379" i="6"/>
  <c r="L397" i="6"/>
  <c r="L405" i="6"/>
  <c r="L413" i="6"/>
  <c r="L421" i="6"/>
  <c r="L429" i="6"/>
  <c r="L437" i="6"/>
  <c r="L439" i="6"/>
  <c r="L59" i="16"/>
  <c r="L244" i="6"/>
  <c r="L246" i="6"/>
  <c r="L248" i="6"/>
  <c r="L250" i="6"/>
  <c r="L251" i="6"/>
  <c r="L256" i="6"/>
  <c r="L259" i="6"/>
  <c r="L264" i="6"/>
  <c r="L267" i="6"/>
  <c r="L272" i="6"/>
  <c r="L275" i="6"/>
  <c r="J290" i="6"/>
  <c r="J298" i="6"/>
  <c r="J306" i="6"/>
  <c r="L314" i="6"/>
  <c r="L316" i="6"/>
  <c r="L324" i="6"/>
  <c r="L332" i="6"/>
  <c r="L340" i="6"/>
  <c r="L348" i="6"/>
  <c r="L361" i="6"/>
  <c r="L369" i="6"/>
  <c r="L377" i="6"/>
  <c r="J382" i="6"/>
  <c r="J390" i="6"/>
  <c r="J398" i="6"/>
  <c r="L399" i="6"/>
  <c r="J406" i="6"/>
  <c r="L407" i="6"/>
  <c r="J414" i="6"/>
  <c r="L415" i="6"/>
  <c r="J422" i="6"/>
  <c r="L423" i="6"/>
  <c r="J430" i="6"/>
  <c r="L431" i="6"/>
  <c r="L438" i="6"/>
  <c r="G25" i="7"/>
  <c r="F28" i="7"/>
  <c r="G29" i="7"/>
  <c r="E33" i="7"/>
  <c r="E35" i="7"/>
  <c r="G35" i="7" s="1"/>
  <c r="R62" i="16"/>
  <c r="J244" i="6"/>
  <c r="L254" i="6"/>
  <c r="L262" i="6"/>
  <c r="L270" i="6"/>
  <c r="L278" i="6"/>
  <c r="L318" i="6"/>
  <c r="L326" i="6"/>
  <c r="L334" i="6"/>
  <c r="L342" i="6"/>
  <c r="L350" i="6"/>
  <c r="L356" i="6"/>
  <c r="L359" i="6"/>
  <c r="L364" i="6"/>
  <c r="L367" i="6"/>
  <c r="L372" i="6"/>
  <c r="L375" i="6"/>
  <c r="L380" i="6"/>
  <c r="L393" i="6"/>
  <c r="L401" i="6"/>
  <c r="L409" i="6"/>
  <c r="L417" i="6"/>
  <c r="R61" i="16"/>
  <c r="R65" i="16" s="1"/>
  <c r="K61" i="16"/>
  <c r="O72" i="16"/>
  <c r="L77" i="16" s="1"/>
  <c r="G19" i="16"/>
  <c r="L180" i="2" s="1"/>
  <c r="G16" i="16"/>
  <c r="J180" i="2" s="1"/>
  <c r="R22" i="16"/>
  <c r="R21" i="16"/>
  <c r="G67" i="16"/>
  <c r="L182" i="2" s="1"/>
  <c r="G64" i="16"/>
  <c r="J182" i="2" s="1"/>
  <c r="G40" i="16"/>
  <c r="I181" i="2" s="1"/>
  <c r="U37" i="16"/>
  <c r="L50" i="16" s="1"/>
  <c r="O49" i="16"/>
  <c r="K38" i="16"/>
  <c r="G55" i="16"/>
  <c r="T181" i="2" s="1"/>
  <c r="L36" i="16"/>
  <c r="G38" i="16"/>
  <c r="B181" i="2" s="1"/>
  <c r="G45" i="16"/>
  <c r="R66" i="16"/>
  <c r="U38" i="16"/>
  <c r="L55" i="16"/>
  <c r="R39" i="16"/>
  <c r="R43" i="16" s="1"/>
  <c r="G52" i="16"/>
  <c r="Q181" i="2" s="1"/>
  <c r="L48" i="16"/>
  <c r="G49" i="16"/>
  <c r="O181" i="2" s="1"/>
  <c r="R38" i="16"/>
  <c r="R67" i="16"/>
  <c r="G73" i="16" s="1"/>
  <c r="P182" i="2" s="1"/>
  <c r="F34" i="7"/>
  <c r="G34" i="7"/>
  <c r="F27" i="7"/>
  <c r="F31" i="7"/>
  <c r="E32" i="7"/>
  <c r="H34" i="7"/>
  <c r="O15" i="3"/>
  <c r="O55" i="3"/>
  <c r="O23" i="3"/>
  <c r="O39" i="3"/>
  <c r="O47" i="3"/>
  <c r="O65" i="3"/>
  <c r="O76" i="3"/>
  <c r="O83" i="3"/>
  <c r="O97" i="3"/>
  <c r="O31" i="3"/>
  <c r="O67" i="3"/>
  <c r="O81" i="3"/>
  <c r="O92" i="3"/>
  <c r="O6" i="3"/>
  <c r="O68" i="3"/>
  <c r="O73" i="3"/>
  <c r="O75" i="3"/>
  <c r="O84" i="3"/>
  <c r="O89" i="3"/>
  <c r="O91" i="3"/>
  <c r="O11" i="3"/>
  <c r="O19" i="3"/>
  <c r="O27" i="3"/>
  <c r="O35" i="3"/>
  <c r="O43" i="3"/>
  <c r="O51" i="3"/>
  <c r="O59" i="3"/>
  <c r="O9" i="3"/>
  <c r="O10" i="3"/>
  <c r="Q11" i="3"/>
  <c r="O13" i="3"/>
  <c r="O16" i="3"/>
  <c r="Q19" i="3"/>
  <c r="O21" i="3"/>
  <c r="O24" i="3"/>
  <c r="Q27" i="3"/>
  <c r="O29" i="3"/>
  <c r="O32" i="3"/>
  <c r="Q35" i="3"/>
  <c r="O37" i="3"/>
  <c r="O40" i="3"/>
  <c r="Q43" i="3"/>
  <c r="O45" i="3"/>
  <c r="O48" i="3"/>
  <c r="Q51" i="3"/>
  <c r="O53" i="3"/>
  <c r="O56" i="3"/>
  <c r="Q59" i="3"/>
  <c r="O61" i="3"/>
  <c r="O64" i="3"/>
  <c r="Q67" i="3"/>
  <c r="O69" i="3"/>
  <c r="O72" i="3"/>
  <c r="Q75" i="3"/>
  <c r="O77" i="3"/>
  <c r="O80" i="3"/>
  <c r="Q83" i="3"/>
  <c r="O85" i="3"/>
  <c r="O88" i="3"/>
  <c r="Q91" i="3"/>
  <c r="O93" i="3"/>
  <c r="O96" i="3"/>
  <c r="O63" i="3"/>
  <c r="O71" i="3"/>
  <c r="O79" i="3"/>
  <c r="O87" i="3"/>
  <c r="O95" i="3"/>
  <c r="O5" i="3"/>
  <c r="O7" i="3"/>
  <c r="O12" i="3"/>
  <c r="Q15" i="3"/>
  <c r="O17" i="3"/>
  <c r="O20" i="3"/>
  <c r="Q23" i="3"/>
  <c r="O25" i="3"/>
  <c r="O28" i="3"/>
  <c r="Q31" i="3"/>
  <c r="O33" i="3"/>
  <c r="O36" i="3"/>
  <c r="Q39" i="3"/>
  <c r="O41" i="3"/>
  <c r="O44" i="3"/>
  <c r="Q47" i="3"/>
  <c r="O49" i="3"/>
  <c r="O52" i="3"/>
  <c r="Q55" i="3"/>
  <c r="O57" i="3"/>
  <c r="O60" i="3"/>
  <c r="L122" i="2"/>
  <c r="L124" i="2"/>
  <c r="L126" i="2"/>
  <c r="Q26" i="3"/>
  <c r="O26" i="3"/>
  <c r="L23" i="2"/>
  <c r="J24" i="2"/>
  <c r="L25" i="2"/>
  <c r="J26" i="2"/>
  <c r="L27" i="2"/>
  <c r="J28" i="2"/>
  <c r="L29" i="2"/>
  <c r="J30" i="2"/>
  <c r="L31" i="2"/>
  <c r="J32" i="2"/>
  <c r="L33" i="2"/>
  <c r="J34" i="2"/>
  <c r="L35" i="2"/>
  <c r="J36" i="2"/>
  <c r="L37" i="2"/>
  <c r="J38" i="2"/>
  <c r="L39" i="2"/>
  <c r="J40" i="2"/>
  <c r="L113" i="2"/>
  <c r="J114" i="2"/>
  <c r="L115" i="2"/>
  <c r="J116" i="2"/>
  <c r="L117" i="2"/>
  <c r="J118" i="2"/>
  <c r="L119" i="2"/>
  <c r="J120" i="2"/>
  <c r="J121" i="2"/>
  <c r="Q122" i="2"/>
  <c r="J123" i="2"/>
  <c r="Q124" i="2"/>
  <c r="J125" i="2"/>
  <c r="Q126" i="2"/>
  <c r="J127" i="2"/>
  <c r="Q128" i="2"/>
  <c r="J129" i="2"/>
  <c r="Q130" i="2"/>
  <c r="J131" i="2"/>
  <c r="Q132" i="2"/>
  <c r="J133" i="2"/>
  <c r="O134" i="2"/>
  <c r="L135" i="2"/>
  <c r="Q135" i="2"/>
  <c r="Q8" i="3"/>
  <c r="O8" i="3"/>
  <c r="Q22" i="3"/>
  <c r="O22" i="3"/>
  <c r="M135" i="2"/>
  <c r="Q18" i="3"/>
  <c r="O18" i="3"/>
  <c r="L128" i="2"/>
  <c r="L130" i="2"/>
  <c r="L132" i="2"/>
  <c r="Q121" i="2"/>
  <c r="B122" i="2"/>
  <c r="Q123" i="2"/>
  <c r="B124" i="2"/>
  <c r="Q125" i="2"/>
  <c r="B126" i="2"/>
  <c r="Q127" i="2"/>
  <c r="B128" i="2"/>
  <c r="Q129" i="2"/>
  <c r="B130" i="2"/>
  <c r="Q131" i="2"/>
  <c r="B132" i="2"/>
  <c r="Q133" i="2"/>
  <c r="O136" i="2"/>
  <c r="Q14" i="3"/>
  <c r="O14" i="3"/>
  <c r="Q30" i="3"/>
  <c r="O30" i="3"/>
  <c r="L136" i="2"/>
  <c r="O34" i="3"/>
  <c r="O38" i="3"/>
  <c r="O42" i="3"/>
  <c r="O46" i="3"/>
  <c r="O50" i="3"/>
  <c r="O54" i="3"/>
  <c r="O58" i="3"/>
  <c r="O62" i="3"/>
  <c r="O66" i="3"/>
  <c r="O70" i="3"/>
  <c r="O74" i="3"/>
  <c r="O78" i="3"/>
  <c r="O82" i="3"/>
  <c r="O86" i="3"/>
  <c r="O90" i="3"/>
  <c r="O94" i="3"/>
  <c r="L15" i="4"/>
  <c r="B15" i="4"/>
  <c r="L19" i="4"/>
  <c r="B19" i="4"/>
  <c r="L23" i="4"/>
  <c r="B23" i="4"/>
  <c r="L27" i="4"/>
  <c r="B27" i="4"/>
  <c r="L31" i="4"/>
  <c r="B31" i="4"/>
  <c r="L35" i="4"/>
  <c r="B35" i="4"/>
  <c r="L39" i="4"/>
  <c r="B39" i="4"/>
  <c r="L43" i="4"/>
  <c r="B43" i="4"/>
  <c r="L47" i="4"/>
  <c r="B47" i="4"/>
  <c r="L51" i="4"/>
  <c r="B51" i="4"/>
  <c r="L55" i="4"/>
  <c r="B55" i="4"/>
  <c r="L59" i="4"/>
  <c r="B59" i="4"/>
  <c r="L63" i="4"/>
  <c r="B63" i="4"/>
  <c r="L67" i="4"/>
  <c r="B67" i="4"/>
  <c r="L71" i="4"/>
  <c r="B71" i="4"/>
  <c r="L75" i="4"/>
  <c r="B75" i="4"/>
  <c r="L79" i="4"/>
  <c r="B79" i="4"/>
  <c r="L83" i="4"/>
  <c r="B83" i="4"/>
  <c r="L87" i="4"/>
  <c r="B87" i="4"/>
  <c r="L91" i="4"/>
  <c r="B91" i="4"/>
  <c r="L95" i="4"/>
  <c r="B95" i="4"/>
  <c r="L99" i="4"/>
  <c r="B99" i="4"/>
  <c r="L103" i="4"/>
  <c r="B103" i="4"/>
  <c r="L107" i="4"/>
  <c r="B107" i="4"/>
  <c r="L111" i="4"/>
  <c r="B111" i="4"/>
  <c r="L115" i="4"/>
  <c r="B115" i="4"/>
  <c r="L119" i="4"/>
  <c r="B119" i="4"/>
  <c r="L123" i="4"/>
  <c r="B123" i="4"/>
  <c r="L127" i="4"/>
  <c r="B127" i="4"/>
  <c r="L131" i="4"/>
  <c r="B131" i="4"/>
  <c r="L135" i="4"/>
  <c r="B135" i="4"/>
  <c r="L139" i="4"/>
  <c r="B139" i="4"/>
  <c r="L143" i="4"/>
  <c r="B143" i="4"/>
  <c r="L148" i="4"/>
  <c r="B148" i="4"/>
  <c r="L152" i="4"/>
  <c r="B152" i="4"/>
  <c r="L156" i="4"/>
  <c r="B156" i="4"/>
  <c r="L160" i="4"/>
  <c r="B160" i="4"/>
  <c r="L164" i="4"/>
  <c r="B164" i="4"/>
  <c r="L168" i="4"/>
  <c r="B168" i="4"/>
  <c r="L172" i="4"/>
  <c r="B172" i="4"/>
  <c r="L176" i="4"/>
  <c r="B176" i="4"/>
  <c r="L180" i="4"/>
  <c r="B180" i="4"/>
  <c r="L184" i="4"/>
  <c r="B184" i="4"/>
  <c r="L188" i="4"/>
  <c r="B188" i="4"/>
  <c r="L192" i="4"/>
  <c r="B192" i="4"/>
  <c r="L196" i="4"/>
  <c r="B196" i="4"/>
  <c r="L200" i="4"/>
  <c r="B200" i="4"/>
  <c r="L204" i="4"/>
  <c r="B204" i="4"/>
  <c r="M11" i="4"/>
  <c r="L16" i="4"/>
  <c r="B16" i="4"/>
  <c r="L20" i="4"/>
  <c r="B20" i="4"/>
  <c r="L24" i="4"/>
  <c r="B24" i="4"/>
  <c r="L28" i="4"/>
  <c r="B28" i="4"/>
  <c r="L32" i="4"/>
  <c r="B32" i="4"/>
  <c r="L36" i="4"/>
  <c r="B36" i="4"/>
  <c r="L40" i="4"/>
  <c r="B40" i="4"/>
  <c r="L44" i="4"/>
  <c r="B44" i="4"/>
  <c r="L48" i="4"/>
  <c r="B48" i="4"/>
  <c r="L52" i="4"/>
  <c r="B52" i="4"/>
  <c r="L56" i="4"/>
  <c r="B56" i="4"/>
  <c r="L60" i="4"/>
  <c r="B60" i="4"/>
  <c r="L64" i="4"/>
  <c r="B64" i="4"/>
  <c r="L68" i="4"/>
  <c r="B68" i="4"/>
  <c r="L72" i="4"/>
  <c r="B72" i="4"/>
  <c r="L76" i="4"/>
  <c r="B76" i="4"/>
  <c r="L80" i="4"/>
  <c r="B80" i="4"/>
  <c r="L84" i="4"/>
  <c r="B84" i="4"/>
  <c r="L88" i="4"/>
  <c r="B88" i="4"/>
  <c r="L92" i="4"/>
  <c r="B92" i="4"/>
  <c r="L96" i="4"/>
  <c r="B96" i="4"/>
  <c r="L100" i="4"/>
  <c r="B100" i="4"/>
  <c r="L104" i="4"/>
  <c r="B104" i="4"/>
  <c r="L108" i="4"/>
  <c r="B108" i="4"/>
  <c r="L112" i="4"/>
  <c r="B112" i="4"/>
  <c r="L116" i="4"/>
  <c r="B116" i="4"/>
  <c r="L120" i="4"/>
  <c r="B120" i="4"/>
  <c r="L124" i="4"/>
  <c r="B124" i="4"/>
  <c r="L128" i="4"/>
  <c r="B128" i="4"/>
  <c r="L132" i="4"/>
  <c r="B132" i="4"/>
  <c r="L136" i="4"/>
  <c r="B136" i="4"/>
  <c r="L140" i="4"/>
  <c r="B140" i="4"/>
  <c r="L144" i="4"/>
  <c r="L149" i="4"/>
  <c r="B149" i="4"/>
  <c r="L153" i="4"/>
  <c r="B153" i="4"/>
  <c r="L157" i="4"/>
  <c r="B157" i="4"/>
  <c r="L161" i="4"/>
  <c r="L165" i="4"/>
  <c r="B165" i="4"/>
  <c r="L169" i="4"/>
  <c r="B169" i="4"/>
  <c r="L173" i="4"/>
  <c r="B173" i="4"/>
  <c r="L177" i="4"/>
  <c r="L181" i="4"/>
  <c r="B181" i="4"/>
  <c r="L185" i="4"/>
  <c r="B185" i="4"/>
  <c r="L189" i="4"/>
  <c r="B189" i="4"/>
  <c r="L193" i="4"/>
  <c r="L197" i="4"/>
  <c r="B197" i="4"/>
  <c r="L201" i="4"/>
  <c r="B201" i="4"/>
  <c r="L6" i="5"/>
  <c r="B6" i="5"/>
  <c r="M7" i="4"/>
  <c r="H10" i="4"/>
  <c r="L10" i="4" s="1"/>
  <c r="L13" i="4"/>
  <c r="B13" i="4"/>
  <c r="B17" i="4"/>
  <c r="L21" i="4"/>
  <c r="B21" i="4"/>
  <c r="L25" i="4"/>
  <c r="B25" i="4"/>
  <c r="L29" i="4"/>
  <c r="B29" i="4"/>
  <c r="L33" i="4"/>
  <c r="B33" i="4"/>
  <c r="B37" i="4"/>
  <c r="L41" i="4"/>
  <c r="B41" i="4"/>
  <c r="L45" i="4"/>
  <c r="B45" i="4"/>
  <c r="L49" i="4"/>
  <c r="B49" i="4"/>
  <c r="B53" i="4"/>
  <c r="L57" i="4"/>
  <c r="B57" i="4"/>
  <c r="L61" i="4"/>
  <c r="B61" i="4"/>
  <c r="L65" i="4"/>
  <c r="B65" i="4"/>
  <c r="L69" i="4"/>
  <c r="B69" i="4"/>
  <c r="B73" i="4"/>
  <c r="L77" i="4"/>
  <c r="B77" i="4"/>
  <c r="L81" i="4"/>
  <c r="B81" i="4"/>
  <c r="L85" i="4"/>
  <c r="B85" i="4"/>
  <c r="B89" i="4"/>
  <c r="L93" i="4"/>
  <c r="B93" i="4"/>
  <c r="L97" i="4"/>
  <c r="B97" i="4"/>
  <c r="L101" i="4"/>
  <c r="B101" i="4"/>
  <c r="B105" i="4"/>
  <c r="L109" i="4"/>
  <c r="B109" i="4"/>
  <c r="L113" i="4"/>
  <c r="B113" i="4"/>
  <c r="L117" i="4"/>
  <c r="B117" i="4"/>
  <c r="L121" i="4"/>
  <c r="B121" i="4"/>
  <c r="B125" i="4"/>
  <c r="L129" i="4"/>
  <c r="B129" i="4"/>
  <c r="L133" i="4"/>
  <c r="B133" i="4"/>
  <c r="B137" i="4"/>
  <c r="L141" i="4"/>
  <c r="B141" i="4"/>
  <c r="L145" i="4"/>
  <c r="B145" i="4"/>
  <c r="L150" i="4"/>
  <c r="B150" i="4"/>
  <c r="B154" i="4"/>
  <c r="L158" i="4"/>
  <c r="B158" i="4"/>
  <c r="L162" i="4"/>
  <c r="B162" i="4"/>
  <c r="B166" i="4"/>
  <c r="L170" i="4"/>
  <c r="B170" i="4"/>
  <c r="L174" i="4"/>
  <c r="B174" i="4"/>
  <c r="L178" i="4"/>
  <c r="B178" i="4"/>
  <c r="L182" i="4"/>
  <c r="B182" i="4"/>
  <c r="B186" i="4"/>
  <c r="L190" i="4"/>
  <c r="B190" i="4"/>
  <c r="B194" i="4"/>
  <c r="L198" i="4"/>
  <c r="B198" i="4"/>
  <c r="L202" i="4"/>
  <c r="B202" i="4"/>
  <c r="L14" i="4"/>
  <c r="B14" i="4"/>
  <c r="L18" i="4"/>
  <c r="B18" i="4"/>
  <c r="L22" i="4"/>
  <c r="B22" i="4"/>
  <c r="L26" i="4"/>
  <c r="B26" i="4"/>
  <c r="L30" i="4"/>
  <c r="B30" i="4"/>
  <c r="L34" i="4"/>
  <c r="B34" i="4"/>
  <c r="L38" i="4"/>
  <c r="B38" i="4"/>
  <c r="L42" i="4"/>
  <c r="B42" i="4"/>
  <c r="L46" i="4"/>
  <c r="B46" i="4"/>
  <c r="L50" i="4"/>
  <c r="B50" i="4"/>
  <c r="L54" i="4"/>
  <c r="B54" i="4"/>
  <c r="L58" i="4"/>
  <c r="B58" i="4"/>
  <c r="L62" i="4"/>
  <c r="B62" i="4"/>
  <c r="L66" i="4"/>
  <c r="B66" i="4"/>
  <c r="L70" i="4"/>
  <c r="B70" i="4"/>
  <c r="L74" i="4"/>
  <c r="B74" i="4"/>
  <c r="L78" i="4"/>
  <c r="B78" i="4"/>
  <c r="L82" i="4"/>
  <c r="B82" i="4"/>
  <c r="L86" i="4"/>
  <c r="B86" i="4"/>
  <c r="L90" i="4"/>
  <c r="B90" i="4"/>
  <c r="L94" i="4"/>
  <c r="B94" i="4"/>
  <c r="L98" i="4"/>
  <c r="B98" i="4"/>
  <c r="L102" i="4"/>
  <c r="B102" i="4"/>
  <c r="L106" i="4"/>
  <c r="B106" i="4"/>
  <c r="L110" i="4"/>
  <c r="B110" i="4"/>
  <c r="L114" i="4"/>
  <c r="B114" i="4"/>
  <c r="L118" i="4"/>
  <c r="B118" i="4"/>
  <c r="L122" i="4"/>
  <c r="B122" i="4"/>
  <c r="L126" i="4"/>
  <c r="B126" i="4"/>
  <c r="L130" i="4"/>
  <c r="B130" i="4"/>
  <c r="L134" i="4"/>
  <c r="B134" i="4"/>
  <c r="L138" i="4"/>
  <c r="B138" i="4"/>
  <c r="L142" i="4"/>
  <c r="B142" i="4"/>
  <c r="L147" i="4"/>
  <c r="B147" i="4"/>
  <c r="L151" i="4"/>
  <c r="B151" i="4"/>
  <c r="L155" i="4"/>
  <c r="B155" i="4"/>
  <c r="L159" i="4"/>
  <c r="B159" i="4"/>
  <c r="L163" i="4"/>
  <c r="B163" i="4"/>
  <c r="L167" i="4"/>
  <c r="B167" i="4"/>
  <c r="L171" i="4"/>
  <c r="B171" i="4"/>
  <c r="L175" i="4"/>
  <c r="B175" i="4"/>
  <c r="L179" i="4"/>
  <c r="B179" i="4"/>
  <c r="L183" i="4"/>
  <c r="B183" i="4"/>
  <c r="L187" i="4"/>
  <c r="B187" i="4"/>
  <c r="L191" i="4"/>
  <c r="B191" i="4"/>
  <c r="L195" i="4"/>
  <c r="B195" i="4"/>
  <c r="L199" i="4"/>
  <c r="B199" i="4"/>
  <c r="L203" i="4"/>
  <c r="B203" i="4"/>
  <c r="Q7" i="5"/>
  <c r="B7" i="5"/>
  <c r="L7" i="5"/>
  <c r="H9" i="4"/>
  <c r="L9" i="4" s="1"/>
  <c r="H5" i="5"/>
  <c r="R7" i="5"/>
  <c r="L66" i="5"/>
  <c r="Q66" i="5"/>
  <c r="B66" i="5"/>
  <c r="Q68" i="5"/>
  <c r="B68" i="5"/>
  <c r="R69" i="5"/>
  <c r="H69" i="5"/>
  <c r="B71" i="5"/>
  <c r="Q75" i="5"/>
  <c r="L82" i="5"/>
  <c r="Q82" i="5"/>
  <c r="B82" i="5"/>
  <c r="Q84" i="5"/>
  <c r="B84" i="5"/>
  <c r="R85" i="5"/>
  <c r="H85" i="5"/>
  <c r="B87" i="5"/>
  <c r="Q91" i="5"/>
  <c r="Q107" i="5"/>
  <c r="B107" i="5"/>
  <c r="L107" i="5"/>
  <c r="L108" i="5"/>
  <c r="Q108" i="5"/>
  <c r="B108" i="5"/>
  <c r="M7" i="5"/>
  <c r="Q10" i="5"/>
  <c r="B10" i="5"/>
  <c r="H11" i="5"/>
  <c r="R11" i="5"/>
  <c r="Q12" i="5"/>
  <c r="B12" i="5"/>
  <c r="R13" i="5"/>
  <c r="H13" i="5"/>
  <c r="Q14" i="5"/>
  <c r="B14" i="5"/>
  <c r="H15" i="5"/>
  <c r="R15" i="5"/>
  <c r="Q16" i="5"/>
  <c r="B16" i="5"/>
  <c r="R17" i="5"/>
  <c r="H17" i="5"/>
  <c r="Q18" i="5"/>
  <c r="B18" i="5"/>
  <c r="H19" i="5"/>
  <c r="R19" i="5"/>
  <c r="Q20" i="5"/>
  <c r="B20" i="5"/>
  <c r="R21" i="5"/>
  <c r="H21" i="5"/>
  <c r="Q22" i="5"/>
  <c r="B22" i="5"/>
  <c r="H23" i="5"/>
  <c r="R23" i="5"/>
  <c r="Q24" i="5"/>
  <c r="B24" i="5"/>
  <c r="R25" i="5"/>
  <c r="H25" i="5"/>
  <c r="Q26" i="5"/>
  <c r="B26" i="5"/>
  <c r="H27" i="5"/>
  <c r="R27" i="5"/>
  <c r="Q28" i="5"/>
  <c r="B28" i="5"/>
  <c r="R29" i="5"/>
  <c r="H29" i="5"/>
  <c r="Q30" i="5"/>
  <c r="B30" i="5"/>
  <c r="H31" i="5"/>
  <c r="R31" i="5"/>
  <c r="Q32" i="5"/>
  <c r="B32" i="5"/>
  <c r="R33" i="5"/>
  <c r="H33" i="5"/>
  <c r="Q34" i="5"/>
  <c r="B34" i="5"/>
  <c r="H35" i="5"/>
  <c r="R35" i="5"/>
  <c r="Q36" i="5"/>
  <c r="B36" i="5"/>
  <c r="R37" i="5"/>
  <c r="H37" i="5"/>
  <c r="Q38" i="5"/>
  <c r="B38" i="5"/>
  <c r="H39" i="5"/>
  <c r="R39" i="5"/>
  <c r="Q40" i="5"/>
  <c r="B40" i="5"/>
  <c r="R41" i="5"/>
  <c r="H41" i="5"/>
  <c r="Q42" i="5"/>
  <c r="B42" i="5"/>
  <c r="H43" i="5"/>
  <c r="R43" i="5"/>
  <c r="Q44" i="5"/>
  <c r="B44" i="5"/>
  <c r="R45" i="5"/>
  <c r="H45" i="5"/>
  <c r="Q46" i="5"/>
  <c r="B46" i="5"/>
  <c r="H47" i="5"/>
  <c r="R47" i="5"/>
  <c r="Q48" i="5"/>
  <c r="B48" i="5"/>
  <c r="R49" i="5"/>
  <c r="H49" i="5"/>
  <c r="Q50" i="5"/>
  <c r="B50" i="5"/>
  <c r="H51" i="5"/>
  <c r="R51" i="5"/>
  <c r="Q52" i="5"/>
  <c r="B52" i="5"/>
  <c r="R53" i="5"/>
  <c r="H53" i="5"/>
  <c r="Q54" i="5"/>
  <c r="B54" i="5"/>
  <c r="H55" i="5"/>
  <c r="R55" i="5"/>
  <c r="Q56" i="5"/>
  <c r="B56" i="5"/>
  <c r="R57" i="5"/>
  <c r="H57" i="5"/>
  <c r="Q58" i="5"/>
  <c r="B58" i="5"/>
  <c r="H59" i="5"/>
  <c r="M59" i="5"/>
  <c r="R59" i="5"/>
  <c r="Q62" i="5"/>
  <c r="Q64" i="5"/>
  <c r="B64" i="5"/>
  <c r="R65" i="5"/>
  <c r="H65" i="5"/>
  <c r="Q71" i="5"/>
  <c r="L78" i="5"/>
  <c r="Q78" i="5"/>
  <c r="B78" i="5"/>
  <c r="Q80" i="5"/>
  <c r="B80" i="5"/>
  <c r="R81" i="5"/>
  <c r="H81" i="5"/>
  <c r="B83" i="5"/>
  <c r="Q87" i="5"/>
  <c r="Q103" i="5"/>
  <c r="L103" i="5"/>
  <c r="L104" i="5"/>
  <c r="Q104" i="5"/>
  <c r="B104" i="5"/>
  <c r="M6" i="4"/>
  <c r="M10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4" i="5"/>
  <c r="Q4" i="5"/>
  <c r="M6" i="5"/>
  <c r="B8" i="5"/>
  <c r="Q8" i="5"/>
  <c r="Q60" i="5"/>
  <c r="B60" i="5"/>
  <c r="R61" i="5"/>
  <c r="H61" i="5"/>
  <c r="L74" i="5"/>
  <c r="Q74" i="5"/>
  <c r="B74" i="5"/>
  <c r="Q76" i="5"/>
  <c r="B76" i="5"/>
  <c r="R77" i="5"/>
  <c r="H77" i="5"/>
  <c r="L90" i="5"/>
  <c r="B90" i="5"/>
  <c r="Q92" i="5"/>
  <c r="B92" i="5"/>
  <c r="R93" i="5"/>
  <c r="H93" i="5"/>
  <c r="Q99" i="5"/>
  <c r="B99" i="5"/>
  <c r="L99" i="5"/>
  <c r="L100" i="5"/>
  <c r="Q100" i="5"/>
  <c r="B100" i="5"/>
  <c r="Q111" i="5"/>
  <c r="B111" i="5"/>
  <c r="L111" i="5"/>
  <c r="H9" i="5"/>
  <c r="L10" i="5"/>
  <c r="M11" i="5"/>
  <c r="L12" i="5"/>
  <c r="M13" i="5"/>
  <c r="L14" i="5"/>
  <c r="M15" i="5"/>
  <c r="L16" i="5"/>
  <c r="M17" i="5"/>
  <c r="L18" i="5"/>
  <c r="M19" i="5"/>
  <c r="L20" i="5"/>
  <c r="M21" i="5"/>
  <c r="L22" i="5"/>
  <c r="M23" i="5"/>
  <c r="L24" i="5"/>
  <c r="M25" i="5"/>
  <c r="L26" i="5"/>
  <c r="M27" i="5"/>
  <c r="L28" i="5"/>
  <c r="M29" i="5"/>
  <c r="L30" i="5"/>
  <c r="M31" i="5"/>
  <c r="L32" i="5"/>
  <c r="M33" i="5"/>
  <c r="L34" i="5"/>
  <c r="M35" i="5"/>
  <c r="L36" i="5"/>
  <c r="M37" i="5"/>
  <c r="L38" i="5"/>
  <c r="M39" i="5"/>
  <c r="L40" i="5"/>
  <c r="M41" i="5"/>
  <c r="L42" i="5"/>
  <c r="M43" i="5"/>
  <c r="L44" i="5"/>
  <c r="M45" i="5"/>
  <c r="L46" i="5"/>
  <c r="M47" i="5"/>
  <c r="L48" i="5"/>
  <c r="M49" i="5"/>
  <c r="L50" i="5"/>
  <c r="M51" i="5"/>
  <c r="L52" i="5"/>
  <c r="M53" i="5"/>
  <c r="L54" i="5"/>
  <c r="M55" i="5"/>
  <c r="L56" i="5"/>
  <c r="M57" i="5"/>
  <c r="L58" i="5"/>
  <c r="M65" i="5"/>
  <c r="L70" i="5"/>
  <c r="Q70" i="5"/>
  <c r="B70" i="5"/>
  <c r="Q72" i="5"/>
  <c r="B72" i="5"/>
  <c r="R73" i="5"/>
  <c r="H73" i="5"/>
  <c r="B75" i="5"/>
  <c r="M81" i="5"/>
  <c r="L86" i="5"/>
  <c r="Q86" i="5"/>
  <c r="B86" i="5"/>
  <c r="Q88" i="5"/>
  <c r="B88" i="5"/>
  <c r="R89" i="5"/>
  <c r="H89" i="5"/>
  <c r="B91" i="5"/>
  <c r="Q95" i="5"/>
  <c r="B95" i="5"/>
  <c r="L95" i="5"/>
  <c r="L96" i="5"/>
  <c r="Q96" i="5"/>
  <c r="B96" i="5"/>
  <c r="R63" i="5"/>
  <c r="R67" i="5"/>
  <c r="R71" i="5"/>
  <c r="R75" i="5"/>
  <c r="R79" i="5"/>
  <c r="R83" i="5"/>
  <c r="R87" i="5"/>
  <c r="R91" i="5"/>
  <c r="B94" i="5"/>
  <c r="Q94" i="5"/>
  <c r="R95" i="5"/>
  <c r="H97" i="5"/>
  <c r="B98" i="5"/>
  <c r="Q98" i="5"/>
  <c r="R99" i="5"/>
  <c r="H101" i="5"/>
  <c r="B102" i="5"/>
  <c r="Q102" i="5"/>
  <c r="R103" i="5"/>
  <c r="H105" i="5"/>
  <c r="B106" i="5"/>
  <c r="Q106" i="5"/>
  <c r="R107" i="5"/>
  <c r="H109" i="5"/>
  <c r="B110" i="5"/>
  <c r="Q110" i="5"/>
  <c r="M111" i="5"/>
  <c r="B112" i="5"/>
  <c r="R114" i="5"/>
  <c r="H115" i="5"/>
  <c r="R118" i="5"/>
  <c r="H119" i="5"/>
  <c r="R122" i="5"/>
  <c r="H123" i="5"/>
  <c r="R126" i="5"/>
  <c r="H127" i="5"/>
  <c r="R130" i="5"/>
  <c r="H131" i="5"/>
  <c r="R134" i="5"/>
  <c r="H135" i="5"/>
  <c r="R138" i="5"/>
  <c r="H139" i="5"/>
  <c r="R142" i="5"/>
  <c r="H143" i="5"/>
  <c r="R146" i="5"/>
  <c r="H147" i="5"/>
  <c r="R150" i="5"/>
  <c r="H151" i="5"/>
  <c r="R154" i="5"/>
  <c r="L164" i="5"/>
  <c r="Q164" i="5"/>
  <c r="B164" i="5"/>
  <c r="B165" i="5"/>
  <c r="H167" i="5"/>
  <c r="R167" i="5"/>
  <c r="Q170" i="5"/>
  <c r="H171" i="5"/>
  <c r="L179" i="5"/>
  <c r="Q179" i="5"/>
  <c r="B179" i="5"/>
  <c r="L182" i="5"/>
  <c r="Q182" i="5"/>
  <c r="B182" i="5"/>
  <c r="Q188" i="5"/>
  <c r="B188" i="5"/>
  <c r="L188" i="5"/>
  <c r="L195" i="5"/>
  <c r="Q195" i="5"/>
  <c r="B195" i="5"/>
  <c r="L198" i="5"/>
  <c r="Q198" i="5"/>
  <c r="B198" i="5"/>
  <c r="Q204" i="5"/>
  <c r="B204" i="5"/>
  <c r="L204" i="5"/>
  <c r="L211" i="5"/>
  <c r="Q211" i="5"/>
  <c r="B211" i="5"/>
  <c r="L214" i="5"/>
  <c r="Q214" i="5"/>
  <c r="B214" i="5"/>
  <c r="Q220" i="5"/>
  <c r="B220" i="5"/>
  <c r="L220" i="5"/>
  <c r="M63" i="5"/>
  <c r="M67" i="5"/>
  <c r="M71" i="5"/>
  <c r="M75" i="5"/>
  <c r="M79" i="5"/>
  <c r="M83" i="5"/>
  <c r="M87" i="5"/>
  <c r="M91" i="5"/>
  <c r="M95" i="5"/>
  <c r="M99" i="5"/>
  <c r="M103" i="5"/>
  <c r="M107" i="5"/>
  <c r="L160" i="5"/>
  <c r="Q160" i="5"/>
  <c r="B160" i="5"/>
  <c r="H163" i="5"/>
  <c r="R163" i="5"/>
  <c r="Q166" i="5"/>
  <c r="B166" i="5"/>
  <c r="L175" i="5"/>
  <c r="Q175" i="5"/>
  <c r="B175" i="5"/>
  <c r="L178" i="5"/>
  <c r="Q178" i="5"/>
  <c r="B178" i="5"/>
  <c r="Q184" i="5"/>
  <c r="B184" i="5"/>
  <c r="L184" i="5"/>
  <c r="L191" i="5"/>
  <c r="Q191" i="5"/>
  <c r="B191" i="5"/>
  <c r="L194" i="5"/>
  <c r="Q194" i="5"/>
  <c r="B194" i="5"/>
  <c r="Q200" i="5"/>
  <c r="B200" i="5"/>
  <c r="L200" i="5"/>
  <c r="L207" i="5"/>
  <c r="Q207" i="5"/>
  <c r="B207" i="5"/>
  <c r="L210" i="5"/>
  <c r="Q210" i="5"/>
  <c r="B210" i="5"/>
  <c r="Q216" i="5"/>
  <c r="B216" i="5"/>
  <c r="L216" i="5"/>
  <c r="Q223" i="5"/>
  <c r="L223" i="5"/>
  <c r="B223" i="5"/>
  <c r="R97" i="5"/>
  <c r="R101" i="5"/>
  <c r="R105" i="5"/>
  <c r="R109" i="5"/>
  <c r="M114" i="5"/>
  <c r="M115" i="5"/>
  <c r="M118" i="5"/>
  <c r="M119" i="5"/>
  <c r="M122" i="5"/>
  <c r="M123" i="5"/>
  <c r="M126" i="5"/>
  <c r="M127" i="5"/>
  <c r="M130" i="5"/>
  <c r="M131" i="5"/>
  <c r="M134" i="5"/>
  <c r="M135" i="5"/>
  <c r="M138" i="5"/>
  <c r="M139" i="5"/>
  <c r="M142" i="5"/>
  <c r="M143" i="5"/>
  <c r="M146" i="5"/>
  <c r="M147" i="5"/>
  <c r="M150" i="5"/>
  <c r="M151" i="5"/>
  <c r="M154" i="5"/>
  <c r="L156" i="5"/>
  <c r="Q156" i="5"/>
  <c r="B156" i="5"/>
  <c r="B157" i="5"/>
  <c r="H159" i="5"/>
  <c r="R159" i="5"/>
  <c r="H162" i="5"/>
  <c r="M167" i="5"/>
  <c r="L174" i="5"/>
  <c r="Q174" i="5"/>
  <c r="B174" i="5"/>
  <c r="B180" i="5"/>
  <c r="L187" i="5"/>
  <c r="Q187" i="5"/>
  <c r="B187" i="5"/>
  <c r="L190" i="5"/>
  <c r="Q190" i="5"/>
  <c r="B190" i="5"/>
  <c r="Q196" i="5"/>
  <c r="L196" i="5"/>
  <c r="L203" i="5"/>
  <c r="Q203" i="5"/>
  <c r="B203" i="5"/>
  <c r="L206" i="5"/>
  <c r="Q206" i="5"/>
  <c r="B206" i="5"/>
  <c r="B212" i="5"/>
  <c r="L219" i="5"/>
  <c r="Q219" i="5"/>
  <c r="B219" i="5"/>
  <c r="L222" i="5"/>
  <c r="Q222" i="5"/>
  <c r="B222" i="5"/>
  <c r="Q112" i="5"/>
  <c r="Q114" i="5"/>
  <c r="B114" i="5"/>
  <c r="Q118" i="5"/>
  <c r="B118" i="5"/>
  <c r="Q122" i="5"/>
  <c r="B122" i="5"/>
  <c r="Q126" i="5"/>
  <c r="B126" i="5"/>
  <c r="Q130" i="5"/>
  <c r="B130" i="5"/>
  <c r="Q134" i="5"/>
  <c r="B134" i="5"/>
  <c r="Q138" i="5"/>
  <c r="B138" i="5"/>
  <c r="Q142" i="5"/>
  <c r="B142" i="5"/>
  <c r="Q146" i="5"/>
  <c r="B146" i="5"/>
  <c r="Q150" i="5"/>
  <c r="B150" i="5"/>
  <c r="Q154" i="5"/>
  <c r="B154" i="5"/>
  <c r="H155" i="5"/>
  <c r="R155" i="5"/>
  <c r="Q157" i="5"/>
  <c r="Q158" i="5"/>
  <c r="B158" i="5"/>
  <c r="L168" i="5"/>
  <c r="Q168" i="5"/>
  <c r="B168" i="5"/>
  <c r="H172" i="5"/>
  <c r="R172" i="5"/>
  <c r="Q176" i="5"/>
  <c r="B176" i="5"/>
  <c r="L176" i="5"/>
  <c r="L183" i="5"/>
  <c r="Q183" i="5"/>
  <c r="B183" i="5"/>
  <c r="L186" i="5"/>
  <c r="Q186" i="5"/>
  <c r="B186" i="5"/>
  <c r="Q192" i="5"/>
  <c r="B192" i="5"/>
  <c r="L192" i="5"/>
  <c r="L199" i="5"/>
  <c r="Q199" i="5"/>
  <c r="B199" i="5"/>
  <c r="L202" i="5"/>
  <c r="Q202" i="5"/>
  <c r="B202" i="5"/>
  <c r="Q208" i="5"/>
  <c r="B208" i="5"/>
  <c r="L208" i="5"/>
  <c r="L215" i="5"/>
  <c r="Q215" i="5"/>
  <c r="B215" i="5"/>
  <c r="L218" i="5"/>
  <c r="Q218" i="5"/>
  <c r="B218" i="5"/>
  <c r="Q225" i="5"/>
  <c r="B225" i="5"/>
  <c r="L225" i="5"/>
  <c r="Q227" i="5"/>
  <c r="B227" i="5"/>
  <c r="L227" i="5"/>
  <c r="Q229" i="5"/>
  <c r="B229" i="5"/>
  <c r="L229" i="5"/>
  <c r="Q231" i="5"/>
  <c r="B231" i="5"/>
  <c r="L231" i="5"/>
  <c r="Q233" i="5"/>
  <c r="B233" i="5"/>
  <c r="L233" i="5"/>
  <c r="Q235" i="5"/>
  <c r="B235" i="5"/>
  <c r="L235" i="5"/>
  <c r="Q237" i="5"/>
  <c r="B237" i="5"/>
  <c r="L237" i="5"/>
  <c r="Q239" i="5"/>
  <c r="B239" i="5"/>
  <c r="L239" i="5"/>
  <c r="Q241" i="5"/>
  <c r="B241" i="5"/>
  <c r="L241" i="5"/>
  <c r="Q243" i="5"/>
  <c r="B243" i="5"/>
  <c r="L243" i="5"/>
  <c r="Q245" i="5"/>
  <c r="B245" i="5"/>
  <c r="L245" i="5"/>
  <c r="Q247" i="5"/>
  <c r="B247" i="5"/>
  <c r="L247" i="5"/>
  <c r="Q249" i="5"/>
  <c r="B249" i="5"/>
  <c r="L249" i="5"/>
  <c r="Q251" i="5"/>
  <c r="B251" i="5"/>
  <c r="L251" i="5"/>
  <c r="Q253" i="5"/>
  <c r="B253" i="5"/>
  <c r="L253" i="5"/>
  <c r="Q255" i="5"/>
  <c r="B255" i="5"/>
  <c r="L255" i="5"/>
  <c r="Q257" i="5"/>
  <c r="B257" i="5"/>
  <c r="L257" i="5"/>
  <c r="M116" i="5"/>
  <c r="M120" i="5"/>
  <c r="M124" i="5"/>
  <c r="M128" i="5"/>
  <c r="M132" i="5"/>
  <c r="M136" i="5"/>
  <c r="M140" i="5"/>
  <c r="M144" i="5"/>
  <c r="M148" i="5"/>
  <c r="M152" i="5"/>
  <c r="M156" i="5"/>
  <c r="M160" i="5"/>
  <c r="M164" i="5"/>
  <c r="M168" i="5"/>
  <c r="M173" i="5"/>
  <c r="R176" i="5"/>
  <c r="M177" i="5"/>
  <c r="R180" i="5"/>
  <c r="M181" i="5"/>
  <c r="R184" i="5"/>
  <c r="M185" i="5"/>
  <c r="R188" i="5"/>
  <c r="M189" i="5"/>
  <c r="R192" i="5"/>
  <c r="M193" i="5"/>
  <c r="R196" i="5"/>
  <c r="M197" i="5"/>
  <c r="R200" i="5"/>
  <c r="M201" i="5"/>
  <c r="R204" i="5"/>
  <c r="M205" i="5"/>
  <c r="R208" i="5"/>
  <c r="M209" i="5"/>
  <c r="R212" i="5"/>
  <c r="M213" i="5"/>
  <c r="R216" i="5"/>
  <c r="M217" i="5"/>
  <c r="R220" i="5"/>
  <c r="M221" i="5"/>
  <c r="R223" i="5"/>
  <c r="R224" i="5"/>
  <c r="H224" i="5"/>
  <c r="H226" i="5"/>
  <c r="R226" i="5"/>
  <c r="R228" i="5"/>
  <c r="H228" i="5"/>
  <c r="H230" i="5"/>
  <c r="R230" i="5"/>
  <c r="R232" i="5"/>
  <c r="H232" i="5"/>
  <c r="H234" i="5"/>
  <c r="R234" i="5"/>
  <c r="R236" i="5"/>
  <c r="H236" i="5"/>
  <c r="H238" i="5"/>
  <c r="R238" i="5"/>
  <c r="R240" i="5"/>
  <c r="H240" i="5"/>
  <c r="H242" i="5"/>
  <c r="R242" i="5"/>
  <c r="R244" i="5"/>
  <c r="H244" i="5"/>
  <c r="H246" i="5"/>
  <c r="R246" i="5"/>
  <c r="R248" i="5"/>
  <c r="H248" i="5"/>
  <c r="H250" i="5"/>
  <c r="R250" i="5"/>
  <c r="R252" i="5"/>
  <c r="H252" i="5"/>
  <c r="H254" i="5"/>
  <c r="R254" i="5"/>
  <c r="R256" i="5"/>
  <c r="H256" i="5"/>
  <c r="H258" i="5"/>
  <c r="R258" i="5"/>
  <c r="Q278" i="5"/>
  <c r="B278" i="5"/>
  <c r="L278" i="5"/>
  <c r="L281" i="5"/>
  <c r="Q281" i="5"/>
  <c r="B281" i="5"/>
  <c r="M176" i="5"/>
  <c r="M180" i="5"/>
  <c r="M184" i="5"/>
  <c r="M188" i="5"/>
  <c r="M192" i="5"/>
  <c r="M196" i="5"/>
  <c r="M200" i="5"/>
  <c r="M204" i="5"/>
  <c r="M208" i="5"/>
  <c r="M212" i="5"/>
  <c r="M216" i="5"/>
  <c r="M220" i="5"/>
  <c r="Q274" i="5"/>
  <c r="B274" i="5"/>
  <c r="L274" i="5"/>
  <c r="L277" i="5"/>
  <c r="Q277" i="5"/>
  <c r="B277" i="5"/>
  <c r="M158" i="5"/>
  <c r="M162" i="5"/>
  <c r="M166" i="5"/>
  <c r="M171" i="5"/>
  <c r="B173" i="5"/>
  <c r="Q173" i="5"/>
  <c r="M175" i="5"/>
  <c r="B177" i="5"/>
  <c r="Q177" i="5"/>
  <c r="M179" i="5"/>
  <c r="B181" i="5"/>
  <c r="Q181" i="5"/>
  <c r="M183" i="5"/>
  <c r="B185" i="5"/>
  <c r="Q185" i="5"/>
  <c r="M187" i="5"/>
  <c r="B189" i="5"/>
  <c r="Q189" i="5"/>
  <c r="M191" i="5"/>
  <c r="B193" i="5"/>
  <c r="Q193" i="5"/>
  <c r="M195" i="5"/>
  <c r="B197" i="5"/>
  <c r="Q197" i="5"/>
  <c r="M199" i="5"/>
  <c r="B201" i="5"/>
  <c r="Q201" i="5"/>
  <c r="M203" i="5"/>
  <c r="B205" i="5"/>
  <c r="Q205" i="5"/>
  <c r="M207" i="5"/>
  <c r="B209" i="5"/>
  <c r="Q209" i="5"/>
  <c r="M211" i="5"/>
  <c r="B213" i="5"/>
  <c r="Q213" i="5"/>
  <c r="M215" i="5"/>
  <c r="B217" i="5"/>
  <c r="Q217" i="5"/>
  <c r="M219" i="5"/>
  <c r="B221" i="5"/>
  <c r="Q221" i="5"/>
  <c r="M223" i="5"/>
  <c r="L263" i="5"/>
  <c r="Q263" i="5"/>
  <c r="B263" i="5"/>
  <c r="Q265" i="5"/>
  <c r="B265" i="5"/>
  <c r="H266" i="5"/>
  <c r="R266" i="5"/>
  <c r="Q270" i="5"/>
  <c r="B270" i="5"/>
  <c r="L270" i="5"/>
  <c r="L273" i="5"/>
  <c r="Q273" i="5"/>
  <c r="B273" i="5"/>
  <c r="L259" i="5"/>
  <c r="Q259" i="5"/>
  <c r="B259" i="5"/>
  <c r="Q261" i="5"/>
  <c r="B261" i="5"/>
  <c r="H262" i="5"/>
  <c r="R262" i="5"/>
  <c r="L269" i="5"/>
  <c r="Q269" i="5"/>
  <c r="B269" i="5"/>
  <c r="H260" i="5"/>
  <c r="H264" i="5"/>
  <c r="H268" i="5"/>
  <c r="R270" i="5"/>
  <c r="H272" i="5"/>
  <c r="R274" i="5"/>
  <c r="H276" i="5"/>
  <c r="R278" i="5"/>
  <c r="H280" i="5"/>
  <c r="B41" i="6"/>
  <c r="J42" i="6"/>
  <c r="B45" i="6"/>
  <c r="J46" i="6"/>
  <c r="B49" i="6"/>
  <c r="J50" i="6"/>
  <c r="B53" i="6"/>
  <c r="J54" i="6"/>
  <c r="B57" i="6"/>
  <c r="J58" i="6"/>
  <c r="B61" i="6"/>
  <c r="J62" i="6"/>
  <c r="B65" i="6"/>
  <c r="J66" i="6"/>
  <c r="B69" i="6"/>
  <c r="J70" i="6"/>
  <c r="B73" i="6"/>
  <c r="J74" i="6"/>
  <c r="B77" i="6"/>
  <c r="J78" i="6"/>
  <c r="B81" i="6"/>
  <c r="J82" i="6"/>
  <c r="B85" i="6"/>
  <c r="J86" i="6"/>
  <c r="B89" i="6"/>
  <c r="J90" i="6"/>
  <c r="B93" i="6"/>
  <c r="J94" i="6"/>
  <c r="B97" i="6"/>
  <c r="J98" i="6"/>
  <c r="B101" i="6"/>
  <c r="J102" i="6"/>
  <c r="B105" i="6"/>
  <c r="J106" i="6"/>
  <c r="B109" i="6"/>
  <c r="J110" i="6"/>
  <c r="B113" i="6"/>
  <c r="J114" i="6"/>
  <c r="B117" i="6"/>
  <c r="J118" i="6"/>
  <c r="B121" i="6"/>
  <c r="J122" i="6"/>
  <c r="B125" i="6"/>
  <c r="M270" i="5"/>
  <c r="M274" i="5"/>
  <c r="M278" i="5"/>
  <c r="R260" i="5"/>
  <c r="R264" i="5"/>
  <c r="B267" i="5"/>
  <c r="Q267" i="5"/>
  <c r="R268" i="5"/>
  <c r="B271" i="5"/>
  <c r="Q271" i="5"/>
  <c r="R272" i="5"/>
  <c r="B275" i="5"/>
  <c r="Q275" i="5"/>
  <c r="R276" i="5"/>
  <c r="B279" i="5"/>
  <c r="Q279" i="5"/>
  <c r="R280" i="5"/>
  <c r="J4" i="6"/>
  <c r="J6" i="6"/>
  <c r="J8" i="6"/>
  <c r="J10" i="6"/>
  <c r="J12" i="6"/>
  <c r="J14" i="6"/>
  <c r="J16" i="6"/>
  <c r="J18" i="6"/>
  <c r="J20" i="6"/>
  <c r="J22" i="6"/>
  <c r="J24" i="6"/>
  <c r="J26" i="6"/>
  <c r="J28" i="6"/>
  <c r="J30" i="6"/>
  <c r="J32" i="6"/>
  <c r="J34" i="6"/>
  <c r="J36" i="6"/>
  <c r="J38" i="6"/>
  <c r="J40" i="6"/>
  <c r="B43" i="6"/>
  <c r="J44" i="6"/>
  <c r="B47" i="6"/>
  <c r="J48" i="6"/>
  <c r="B51" i="6"/>
  <c r="J52" i="6"/>
  <c r="B55" i="6"/>
  <c r="J56" i="6"/>
  <c r="B59" i="6"/>
  <c r="J60" i="6"/>
  <c r="B63" i="6"/>
  <c r="J64" i="6"/>
  <c r="B67" i="6"/>
  <c r="J68" i="6"/>
  <c r="B71" i="6"/>
  <c r="J72" i="6"/>
  <c r="B75" i="6"/>
  <c r="J76" i="6"/>
  <c r="B79" i="6"/>
  <c r="J80" i="6"/>
  <c r="B83" i="6"/>
  <c r="J84" i="6"/>
  <c r="B87" i="6"/>
  <c r="J88" i="6"/>
  <c r="B91" i="6"/>
  <c r="J92" i="6"/>
  <c r="B95" i="6"/>
  <c r="J96" i="6"/>
  <c r="B99" i="6"/>
  <c r="J100" i="6"/>
  <c r="B103" i="6"/>
  <c r="J104" i="6"/>
  <c r="B107" i="6"/>
  <c r="J108" i="6"/>
  <c r="B111" i="6"/>
  <c r="J112" i="6"/>
  <c r="B115" i="6"/>
  <c r="J116" i="6"/>
  <c r="B119" i="6"/>
  <c r="J120" i="6"/>
  <c r="B123" i="6"/>
  <c r="J124" i="6"/>
  <c r="L126" i="6"/>
  <c r="L128" i="6"/>
  <c r="L130" i="6"/>
  <c r="L132" i="6"/>
  <c r="L134" i="6"/>
  <c r="L136" i="6"/>
  <c r="L138" i="6"/>
  <c r="L140" i="6"/>
  <c r="L142" i="6"/>
  <c r="L144" i="6"/>
  <c r="L146" i="6"/>
  <c r="L148" i="6"/>
  <c r="L150" i="6"/>
  <c r="L152" i="6"/>
  <c r="L154" i="6"/>
  <c r="L156" i="6"/>
  <c r="L158" i="6"/>
  <c r="L160" i="6"/>
  <c r="L162" i="6"/>
  <c r="L164" i="6"/>
  <c r="L166" i="6"/>
  <c r="L168" i="6"/>
  <c r="L170" i="6"/>
  <c r="L172" i="6"/>
  <c r="L174" i="6"/>
  <c r="L176" i="6"/>
  <c r="L178" i="6"/>
  <c r="L180" i="6"/>
  <c r="B182" i="6"/>
  <c r="B186" i="6"/>
  <c r="L189" i="6"/>
  <c r="L191" i="6"/>
  <c r="L193" i="6"/>
  <c r="L195" i="6"/>
  <c r="L197" i="6"/>
  <c r="L199" i="6"/>
  <c r="L201" i="6"/>
  <c r="L203" i="6"/>
  <c r="L205" i="6"/>
  <c r="L207" i="6"/>
  <c r="L209" i="6"/>
  <c r="L211" i="6"/>
  <c r="L213" i="6"/>
  <c r="L215" i="6"/>
  <c r="L217" i="6"/>
  <c r="L219" i="6"/>
  <c r="L221" i="6"/>
  <c r="L223" i="6"/>
  <c r="L226" i="6"/>
  <c r="L228" i="6"/>
  <c r="L230" i="6"/>
  <c r="L232" i="6"/>
  <c r="L234" i="6"/>
  <c r="L183" i="6"/>
  <c r="L187" i="6"/>
  <c r="L190" i="6"/>
  <c r="B190" i="6"/>
  <c r="L192" i="6"/>
  <c r="B192" i="6"/>
  <c r="L194" i="6"/>
  <c r="B194" i="6"/>
  <c r="L196" i="6"/>
  <c r="B196" i="6"/>
  <c r="L198" i="6"/>
  <c r="B198" i="6"/>
  <c r="L200" i="6"/>
  <c r="B200" i="6"/>
  <c r="L202" i="6"/>
  <c r="B202" i="6"/>
  <c r="L204" i="6"/>
  <c r="B204" i="6"/>
  <c r="L206" i="6"/>
  <c r="B206" i="6"/>
  <c r="L208" i="6"/>
  <c r="B208" i="6"/>
  <c r="L210" i="6"/>
  <c r="B210" i="6"/>
  <c r="L212" i="6"/>
  <c r="B212" i="6"/>
  <c r="L214" i="6"/>
  <c r="B214" i="6"/>
  <c r="L216" i="6"/>
  <c r="B216" i="6"/>
  <c r="L218" i="6"/>
  <c r="B218" i="6"/>
  <c r="L220" i="6"/>
  <c r="B220" i="6"/>
  <c r="L222" i="6"/>
  <c r="B222" i="6"/>
  <c r="L224" i="6"/>
  <c r="B224" i="6"/>
  <c r="L227" i="6"/>
  <c r="B227" i="6"/>
  <c r="L229" i="6"/>
  <c r="B229" i="6"/>
  <c r="L231" i="6"/>
  <c r="B231" i="6"/>
  <c r="L233" i="6"/>
  <c r="B233" i="6"/>
  <c r="L235" i="6"/>
  <c r="B235" i="6"/>
  <c r="L237" i="6"/>
  <c r="B237" i="6"/>
  <c r="L239" i="6"/>
  <c r="B239" i="6"/>
  <c r="B241" i="6"/>
  <c r="B243" i="6"/>
  <c r="B245" i="6"/>
  <c r="B247" i="6"/>
  <c r="B249" i="6"/>
  <c r="B252" i="6"/>
  <c r="J253" i="6"/>
  <c r="B256" i="6"/>
  <c r="J257" i="6"/>
  <c r="B260" i="6"/>
  <c r="J261" i="6"/>
  <c r="B264" i="6"/>
  <c r="J265" i="6"/>
  <c r="B268" i="6"/>
  <c r="J269" i="6"/>
  <c r="B272" i="6"/>
  <c r="J273" i="6"/>
  <c r="B276" i="6"/>
  <c r="J277" i="6"/>
  <c r="L283" i="6"/>
  <c r="J283" i="6"/>
  <c r="L291" i="6"/>
  <c r="J291" i="6"/>
  <c r="L299" i="6"/>
  <c r="J299" i="6"/>
  <c r="L307" i="6"/>
  <c r="J307" i="6"/>
  <c r="L317" i="6"/>
  <c r="J317" i="6"/>
  <c r="L325" i="6"/>
  <c r="J325" i="6"/>
  <c r="L333" i="6"/>
  <c r="J333" i="6"/>
  <c r="L341" i="6"/>
  <c r="J341" i="6"/>
  <c r="L349" i="6"/>
  <c r="J349" i="6"/>
  <c r="L279" i="6"/>
  <c r="L285" i="6"/>
  <c r="J285" i="6"/>
  <c r="L293" i="6"/>
  <c r="J293" i="6"/>
  <c r="L301" i="6"/>
  <c r="J301" i="6"/>
  <c r="L309" i="6"/>
  <c r="J309" i="6"/>
  <c r="L319" i="6"/>
  <c r="J319" i="6"/>
  <c r="L327" i="6"/>
  <c r="J327" i="6"/>
  <c r="L335" i="6"/>
  <c r="J335" i="6"/>
  <c r="L343" i="6"/>
  <c r="J343" i="6"/>
  <c r="L351" i="6"/>
  <c r="J351" i="6"/>
  <c r="J251" i="6"/>
  <c r="B254" i="6"/>
  <c r="J255" i="6"/>
  <c r="B258" i="6"/>
  <c r="J259" i="6"/>
  <c r="B262" i="6"/>
  <c r="J263" i="6"/>
  <c r="B266" i="6"/>
  <c r="J267" i="6"/>
  <c r="B270" i="6"/>
  <c r="J271" i="6"/>
  <c r="B274" i="6"/>
  <c r="J275" i="6"/>
  <c r="B278" i="6"/>
  <c r="J279" i="6"/>
  <c r="L287" i="6"/>
  <c r="J287" i="6"/>
  <c r="L295" i="6"/>
  <c r="J295" i="6"/>
  <c r="L303" i="6"/>
  <c r="J303" i="6"/>
  <c r="L311" i="6"/>
  <c r="J311" i="6"/>
  <c r="L321" i="6"/>
  <c r="J321" i="6"/>
  <c r="L329" i="6"/>
  <c r="J329" i="6"/>
  <c r="L337" i="6"/>
  <c r="J337" i="6"/>
  <c r="L345" i="6"/>
  <c r="J345" i="6"/>
  <c r="L353" i="6"/>
  <c r="J353" i="6"/>
  <c r="L281" i="6"/>
  <c r="J281" i="6"/>
  <c r="L289" i="6"/>
  <c r="J289" i="6"/>
  <c r="L297" i="6"/>
  <c r="J297" i="6"/>
  <c r="L305" i="6"/>
  <c r="J305" i="6"/>
  <c r="L313" i="6"/>
  <c r="J313" i="6"/>
  <c r="L315" i="6"/>
  <c r="J315" i="6"/>
  <c r="L323" i="6"/>
  <c r="J323" i="6"/>
  <c r="L331" i="6"/>
  <c r="J331" i="6"/>
  <c r="L339" i="6"/>
  <c r="J339" i="6"/>
  <c r="L347" i="6"/>
  <c r="J347" i="6"/>
  <c r="L355" i="6"/>
  <c r="J355" i="6"/>
  <c r="L383" i="6"/>
  <c r="J383" i="6"/>
  <c r="L391" i="6"/>
  <c r="J391" i="6"/>
  <c r="B358" i="6"/>
  <c r="J359" i="6"/>
  <c r="B362" i="6"/>
  <c r="J363" i="6"/>
  <c r="B366" i="6"/>
  <c r="J367" i="6"/>
  <c r="B370" i="6"/>
  <c r="J371" i="6"/>
  <c r="B374" i="6"/>
  <c r="J375" i="6"/>
  <c r="B378" i="6"/>
  <c r="J379" i="6"/>
  <c r="L385" i="6"/>
  <c r="J385" i="6"/>
  <c r="L387" i="6"/>
  <c r="J387" i="6"/>
  <c r="B356" i="6"/>
  <c r="J357" i="6"/>
  <c r="B360" i="6"/>
  <c r="J361" i="6"/>
  <c r="B364" i="6"/>
  <c r="J365" i="6"/>
  <c r="B368" i="6"/>
  <c r="J369" i="6"/>
  <c r="B372" i="6"/>
  <c r="J373" i="6"/>
  <c r="B376" i="6"/>
  <c r="J377" i="6"/>
  <c r="B380" i="6"/>
  <c r="L389" i="6"/>
  <c r="J389" i="6"/>
  <c r="J393" i="6"/>
  <c r="J395" i="6"/>
  <c r="J397" i="6"/>
  <c r="J399" i="6"/>
  <c r="J401" i="6"/>
  <c r="J403" i="6"/>
  <c r="J405" i="6"/>
  <c r="J407" i="6"/>
  <c r="J409" i="6"/>
  <c r="J411" i="6"/>
  <c r="J413" i="6"/>
  <c r="J415" i="6"/>
  <c r="J417" i="6"/>
  <c r="J419" i="6"/>
  <c r="J421" i="6"/>
  <c r="J423" i="6"/>
  <c r="J425" i="6"/>
  <c r="J427" i="6"/>
  <c r="J429" i="6"/>
  <c r="J431" i="6"/>
  <c r="J433" i="6"/>
  <c r="J435" i="6"/>
  <c r="J437" i="6"/>
  <c r="J439" i="6"/>
  <c r="R69" i="16" l="1"/>
  <c r="R70" i="16"/>
  <c r="O73" i="16"/>
  <c r="L66" i="16" s="1"/>
  <c r="L212" i="5"/>
  <c r="Q180" i="5"/>
  <c r="B62" i="5"/>
  <c r="G65" i="16"/>
  <c r="K182" i="2" s="1"/>
  <c r="F33" i="7"/>
  <c r="G33" i="7"/>
  <c r="L149" i="5"/>
  <c r="B149" i="5"/>
  <c r="Q149" i="5"/>
  <c r="L133" i="5"/>
  <c r="B133" i="5"/>
  <c r="Q133" i="5"/>
  <c r="L117" i="5"/>
  <c r="B117" i="5"/>
  <c r="Q117" i="5"/>
  <c r="L170" i="5"/>
  <c r="B170" i="5"/>
  <c r="L129" i="5"/>
  <c r="B129" i="5"/>
  <c r="Q129" i="5"/>
  <c r="Q165" i="5"/>
  <c r="F35" i="7"/>
  <c r="L78" i="16"/>
  <c r="O75" i="16"/>
  <c r="L71" i="16" s="1"/>
  <c r="L75" i="16" s="1"/>
  <c r="L67" i="5"/>
  <c r="B67" i="5"/>
  <c r="Q67" i="5"/>
  <c r="L144" i="5"/>
  <c r="B144" i="5"/>
  <c r="Q144" i="5"/>
  <c r="L148" i="5"/>
  <c r="B148" i="5"/>
  <c r="Q148" i="5"/>
  <c r="L116" i="5"/>
  <c r="B116" i="5"/>
  <c r="Q116" i="5"/>
  <c r="L128" i="5"/>
  <c r="B128" i="5"/>
  <c r="Q128" i="5"/>
  <c r="L161" i="5"/>
  <c r="B161" i="5"/>
  <c r="L140" i="5"/>
  <c r="Q140" i="5"/>
  <c r="B140" i="5"/>
  <c r="L124" i="5"/>
  <c r="Q124" i="5"/>
  <c r="B124" i="5"/>
  <c r="L63" i="5"/>
  <c r="Q63" i="5"/>
  <c r="B63" i="5"/>
  <c r="L83" i="5"/>
  <c r="Q83" i="5"/>
  <c r="R46" i="16"/>
  <c r="L40" i="16"/>
  <c r="G44" i="16"/>
  <c r="L181" i="2" s="1"/>
  <c r="G41" i="16"/>
  <c r="J181" i="2" s="1"/>
  <c r="R47" i="16"/>
  <c r="R42" i="16"/>
  <c r="G42" i="16" s="1"/>
  <c r="K181" i="2" s="1"/>
  <c r="L49" i="16"/>
  <c r="L52" i="16"/>
  <c r="O74" i="16"/>
  <c r="L63" i="16" s="1"/>
  <c r="U60" i="16"/>
  <c r="U61" i="16"/>
  <c r="G32" i="7"/>
  <c r="F32" i="7"/>
  <c r="L280" i="5"/>
  <c r="Q280" i="5"/>
  <c r="B280" i="5"/>
  <c r="Q262" i="5"/>
  <c r="B262" i="5"/>
  <c r="L262" i="5"/>
  <c r="L256" i="5"/>
  <c r="B256" i="5"/>
  <c r="Q256" i="5"/>
  <c r="L236" i="5"/>
  <c r="B236" i="5"/>
  <c r="Q236" i="5"/>
  <c r="L224" i="5"/>
  <c r="B224" i="5"/>
  <c r="Q224" i="5"/>
  <c r="Q162" i="5"/>
  <c r="B162" i="5"/>
  <c r="L162" i="5"/>
  <c r="L9" i="5"/>
  <c r="B9" i="5"/>
  <c r="Q9" i="5"/>
  <c r="L61" i="5"/>
  <c r="Q61" i="5"/>
  <c r="B61" i="5"/>
  <c r="L59" i="5"/>
  <c r="B59" i="5"/>
  <c r="Q59" i="5"/>
  <c r="L55" i="5"/>
  <c r="B55" i="5"/>
  <c r="Q55" i="5"/>
  <c r="L51" i="5"/>
  <c r="B51" i="5"/>
  <c r="Q51" i="5"/>
  <c r="L47" i="5"/>
  <c r="B47" i="5"/>
  <c r="Q47" i="5"/>
  <c r="L43" i="5"/>
  <c r="B43" i="5"/>
  <c r="Q43" i="5"/>
  <c r="L39" i="5"/>
  <c r="B39" i="5"/>
  <c r="Q39" i="5"/>
  <c r="L35" i="5"/>
  <c r="B35" i="5"/>
  <c r="Q35" i="5"/>
  <c r="L31" i="5"/>
  <c r="B31" i="5"/>
  <c r="Q31" i="5"/>
  <c r="L27" i="5"/>
  <c r="B27" i="5"/>
  <c r="Q27" i="5"/>
  <c r="L23" i="5"/>
  <c r="B23" i="5"/>
  <c r="Q23" i="5"/>
  <c r="L19" i="5"/>
  <c r="B19" i="5"/>
  <c r="Q19" i="5"/>
  <c r="L15" i="5"/>
  <c r="B15" i="5"/>
  <c r="Q15" i="5"/>
  <c r="L11" i="5"/>
  <c r="B11" i="5"/>
  <c r="Q11" i="5"/>
  <c r="L85" i="5"/>
  <c r="Q85" i="5"/>
  <c r="B85" i="5"/>
  <c r="L272" i="5"/>
  <c r="Q272" i="5"/>
  <c r="B272" i="5"/>
  <c r="L252" i="5"/>
  <c r="B252" i="5"/>
  <c r="Q252" i="5"/>
  <c r="L244" i="5"/>
  <c r="B244" i="5"/>
  <c r="Q244" i="5"/>
  <c r="L228" i="5"/>
  <c r="B228" i="5"/>
  <c r="Q228" i="5"/>
  <c r="L276" i="5"/>
  <c r="Q276" i="5"/>
  <c r="B276" i="5"/>
  <c r="L268" i="5"/>
  <c r="Q268" i="5"/>
  <c r="B268" i="5"/>
  <c r="Q266" i="5"/>
  <c r="B266" i="5"/>
  <c r="L266" i="5"/>
  <c r="Q172" i="5"/>
  <c r="B172" i="5"/>
  <c r="L172" i="5"/>
  <c r="Q155" i="5"/>
  <c r="B155" i="5"/>
  <c r="L155" i="5"/>
  <c r="Q167" i="5"/>
  <c r="B167" i="5"/>
  <c r="L167" i="5"/>
  <c r="Q147" i="5"/>
  <c r="B147" i="5"/>
  <c r="L147" i="5"/>
  <c r="Q139" i="5"/>
  <c r="B139" i="5"/>
  <c r="L139" i="5"/>
  <c r="Q131" i="5"/>
  <c r="B131" i="5"/>
  <c r="L131" i="5"/>
  <c r="Q123" i="5"/>
  <c r="B123" i="5"/>
  <c r="L123" i="5"/>
  <c r="Q115" i="5"/>
  <c r="B115" i="5"/>
  <c r="L115" i="5"/>
  <c r="L77" i="5"/>
  <c r="Q77" i="5"/>
  <c r="B77" i="5"/>
  <c r="L69" i="5"/>
  <c r="Q69" i="5"/>
  <c r="B69" i="5"/>
  <c r="L5" i="5"/>
  <c r="Q5" i="5"/>
  <c r="B5" i="5"/>
  <c r="L260" i="5"/>
  <c r="Q260" i="5"/>
  <c r="B260" i="5"/>
  <c r="L248" i="5"/>
  <c r="B248" i="5"/>
  <c r="Q248" i="5"/>
  <c r="L240" i="5"/>
  <c r="B240" i="5"/>
  <c r="Q240" i="5"/>
  <c r="L232" i="5"/>
  <c r="B232" i="5"/>
  <c r="Q232" i="5"/>
  <c r="L264" i="5"/>
  <c r="B264" i="5"/>
  <c r="Q264" i="5"/>
  <c r="Q171" i="5"/>
  <c r="B171" i="5"/>
  <c r="L171" i="5"/>
  <c r="L89" i="5"/>
  <c r="Q89" i="5"/>
  <c r="B89" i="5"/>
  <c r="L93" i="5"/>
  <c r="Q93" i="5"/>
  <c r="B93" i="5"/>
  <c r="Q258" i="5"/>
  <c r="L258" i="5"/>
  <c r="B258" i="5"/>
  <c r="L254" i="5"/>
  <c r="B254" i="5"/>
  <c r="Q254" i="5"/>
  <c r="L250" i="5"/>
  <c r="B250" i="5"/>
  <c r="Q250" i="5"/>
  <c r="L246" i="5"/>
  <c r="B246" i="5"/>
  <c r="Q246" i="5"/>
  <c r="L242" i="5"/>
  <c r="B242" i="5"/>
  <c r="Q242" i="5"/>
  <c r="L238" i="5"/>
  <c r="B238" i="5"/>
  <c r="Q238" i="5"/>
  <c r="L234" i="5"/>
  <c r="B234" i="5"/>
  <c r="Q234" i="5"/>
  <c r="L230" i="5"/>
  <c r="B230" i="5"/>
  <c r="Q230" i="5"/>
  <c r="L226" i="5"/>
  <c r="B226" i="5"/>
  <c r="Q226" i="5"/>
  <c r="Q159" i="5"/>
  <c r="B159" i="5"/>
  <c r="L159" i="5"/>
  <c r="Q163" i="5"/>
  <c r="B163" i="5"/>
  <c r="L163" i="5"/>
  <c r="Q151" i="5"/>
  <c r="B151" i="5"/>
  <c r="L151" i="5"/>
  <c r="Q143" i="5"/>
  <c r="B143" i="5"/>
  <c r="L143" i="5"/>
  <c r="Q135" i="5"/>
  <c r="B135" i="5"/>
  <c r="L135" i="5"/>
  <c r="Q127" i="5"/>
  <c r="B127" i="5"/>
  <c r="L127" i="5"/>
  <c r="Q119" i="5"/>
  <c r="B119" i="5"/>
  <c r="L119" i="5"/>
  <c r="L109" i="5"/>
  <c r="Q109" i="5"/>
  <c r="B109" i="5"/>
  <c r="L105" i="5"/>
  <c r="Q105" i="5"/>
  <c r="B105" i="5"/>
  <c r="L101" i="5"/>
  <c r="Q101" i="5"/>
  <c r="B101" i="5"/>
  <c r="L97" i="5"/>
  <c r="Q97" i="5"/>
  <c r="B97" i="5"/>
  <c r="L73" i="5"/>
  <c r="Q73" i="5"/>
  <c r="B73" i="5"/>
  <c r="L81" i="5"/>
  <c r="Q81" i="5"/>
  <c r="B81" i="5"/>
  <c r="L65" i="5"/>
  <c r="Q65" i="5"/>
  <c r="B65" i="5"/>
  <c r="L57" i="5"/>
  <c r="B57" i="5"/>
  <c r="Q57" i="5"/>
  <c r="L53" i="5"/>
  <c r="B53" i="5"/>
  <c r="Q53" i="5"/>
  <c r="L49" i="5"/>
  <c r="B49" i="5"/>
  <c r="Q49" i="5"/>
  <c r="L45" i="5"/>
  <c r="B45" i="5"/>
  <c r="Q45" i="5"/>
  <c r="L41" i="5"/>
  <c r="B41" i="5"/>
  <c r="Q41" i="5"/>
  <c r="L37" i="5"/>
  <c r="B37" i="5"/>
  <c r="Q37" i="5"/>
  <c r="L33" i="5"/>
  <c r="B33" i="5"/>
  <c r="Q33" i="5"/>
  <c r="L29" i="5"/>
  <c r="B29" i="5"/>
  <c r="Q29" i="5"/>
  <c r="L25" i="5"/>
  <c r="B25" i="5"/>
  <c r="Q25" i="5"/>
  <c r="L21" i="5"/>
  <c r="B21" i="5"/>
  <c r="Q21" i="5"/>
  <c r="L17" i="5"/>
  <c r="B17" i="5"/>
  <c r="Q17" i="5"/>
  <c r="L13" i="5"/>
  <c r="B13" i="5"/>
  <c r="Q13" i="5"/>
  <c r="L72" i="16" l="1"/>
  <c r="L44" i="16"/>
  <c r="L41" i="16"/>
  <c r="L67" i="16"/>
  <c r="L64" i="16"/>
  <c r="L42" i="1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I3" authorId="0" shapeId="0" xr:uid="{E6450CEF-B305-413F-B69C-48DDCEE9C027}">
      <text>
        <r>
          <rPr>
            <b/>
            <sz val="9"/>
            <color indexed="81"/>
            <rFont val="Tahoma"/>
            <family val="2"/>
          </rPr>
          <t>Localisation sur la structure ou nom de la File</t>
        </r>
      </text>
    </comment>
    <comment ref="I5" authorId="0" shapeId="0" xr:uid="{B4E3F9A5-7500-4173-9661-0E2AF9EA83D3}">
      <text>
        <r>
          <rPr>
            <b/>
            <sz val="9"/>
            <color indexed="81"/>
            <rFont val="Tahoma"/>
            <family val="2"/>
          </rPr>
          <t xml:space="preserve">Orientation du Profil Porteur
 </t>
        </r>
        <r>
          <rPr>
            <sz val="9"/>
            <color indexed="81"/>
            <rFont val="Tahoma"/>
            <family val="2"/>
          </rPr>
          <t>- Poutre
 - Poteau sur Semelles
 - Poteau dans l'Âme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X28" authorId="0" shapeId="0" xr:uid="{D6B2A5F9-42E6-466D-BADC-BCDF2103F25B}">
      <text/>
    </comment>
    <comment ref="E36" authorId="0" shapeId="0" xr:uid="{DD945AEA-53B5-44D5-8675-2F3C320F285A}">
      <text>
        <r>
          <rPr>
            <b/>
            <sz val="9"/>
            <color indexed="81"/>
            <rFont val="Tahoma"/>
            <family val="2"/>
          </rPr>
          <t>Le présent Onlget :
Informations Légales, Contenu, Normes utilisées Légendes et Révisions du Classeur</t>
        </r>
      </text>
    </comment>
    <comment ref="I36" authorId="0" shapeId="0" xr:uid="{208021E9-741B-4598-9FE9-132CB71CC015}">
      <text>
        <r>
          <rPr>
            <b/>
            <sz val="9"/>
            <color indexed="81"/>
            <rFont val="Tahoma"/>
            <family val="2"/>
          </rPr>
          <t>Données Géométriques et de Matériaux pour le Calcul de l'Attache</t>
        </r>
      </text>
    </comment>
    <comment ref="O36" authorId="0" shapeId="0" xr:uid="{CEA22A9C-C32F-403F-9C84-13FE54934655}">
      <text>
        <r>
          <rPr>
            <b/>
            <sz val="9"/>
            <color indexed="81"/>
            <rFont val="Tahoma"/>
            <family val="2"/>
          </rPr>
          <t>Note de Calculs Complète avec les Formules et les Références</t>
        </r>
      </text>
    </comment>
    <comment ref="T36" authorId="0" shapeId="0" xr:uid="{DF9AD7A6-62AA-4123-AB9C-173E4A232FEB}">
      <text>
        <r>
          <rPr>
            <b/>
            <sz val="9"/>
            <color indexed="81"/>
            <rFont val="Tahoma"/>
            <family val="2"/>
          </rPr>
          <t>Note de Calculs Simplifiée avec uniquement les Résultats</t>
        </r>
      </text>
    </comment>
    <comment ref="Y36" authorId="0" shapeId="0" xr:uid="{9EA5BAB2-5449-4D4C-BB04-295120CC4EFD}">
      <text>
        <r>
          <rPr>
            <b/>
            <sz val="9"/>
            <color indexed="81"/>
            <rFont val="Tahoma"/>
            <family val="2"/>
          </rPr>
          <t>Permet de définir des PRS pour les attaches</t>
        </r>
      </text>
    </comment>
    <comment ref="E40" authorId="0" shapeId="0" xr:uid="{5395F4D4-0402-4668-AD9B-D10C255E3A94}">
      <text>
        <r>
          <rPr>
            <b/>
            <sz val="9"/>
            <color indexed="81"/>
            <rFont val="Tahoma"/>
            <family val="2"/>
          </rPr>
          <t>Données des Listes de Choix</t>
        </r>
      </text>
    </comment>
    <comment ref="H40" authorId="0" shapeId="0" xr:uid="{E5E8A54E-4A80-44D4-8BA8-8C02DFAA5981}">
      <text>
        <r>
          <rPr>
            <b/>
            <sz val="9"/>
            <color indexed="81"/>
            <rFont val="Tahoma"/>
            <family val="2"/>
          </rPr>
          <t>Catalogue des Profils Laminés et PRS</t>
        </r>
      </text>
    </comment>
    <comment ref="K40" authorId="0" shapeId="0" xr:uid="{93E62570-D156-41C6-AB46-5B32681BC832}">
      <text>
        <r>
          <rPr>
            <b/>
            <sz val="9"/>
            <color indexed="81"/>
            <rFont val="Tahoma"/>
            <family val="2"/>
          </rPr>
          <t>Catalogues des Cornières</t>
        </r>
      </text>
    </comment>
    <comment ref="O40" authorId="0" shapeId="0" xr:uid="{D1B56238-C1A2-4402-88EB-992D2F91AED7}">
      <text>
        <r>
          <rPr>
            <b/>
            <sz val="9"/>
            <color indexed="81"/>
            <rFont val="Tahoma"/>
            <family val="2"/>
          </rPr>
          <t>Catalogue des Tubes Carrés</t>
        </r>
      </text>
    </comment>
    <comment ref="S40" authorId="0" shapeId="0" xr:uid="{8F0A95BA-C12A-4250-8EFC-0E7997FC4A26}">
      <text>
        <r>
          <rPr>
            <b/>
            <sz val="9"/>
            <color indexed="81"/>
            <rFont val="Tahoma"/>
            <family val="2"/>
          </rPr>
          <t>Catalogue des Tubes Rectangulaires</t>
        </r>
      </text>
    </comment>
    <comment ref="W40" authorId="0" shapeId="0" xr:uid="{AD78124F-7E35-47EF-9BD0-C92A3898DF30}">
      <text>
        <r>
          <rPr>
            <b/>
            <sz val="9"/>
            <color indexed="81"/>
            <rFont val="Tahoma"/>
            <family val="2"/>
          </rPr>
          <t>Catalogue des Tubes Ronds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RIQUE Guillaume</author>
  </authors>
  <commentList>
    <comment ref="D4" authorId="0" shapeId="0" xr:uid="{560D70D2-8EB8-4AC2-BEED-A0D31CF2B3BE}">
      <text>
        <r>
          <rPr>
            <b/>
            <sz val="9"/>
            <color indexed="81"/>
            <rFont val="Tahoma"/>
            <family val="2"/>
          </rPr>
          <t>Permet de dimensionner la flèche
Med-ELS = Med-ELU / 1.5</t>
        </r>
      </text>
    </comment>
    <comment ref="G7" authorId="0" shapeId="0" xr:uid="{31187AC7-D9E9-4BF5-8208-0FFE26FB8D45}">
      <text>
        <r>
          <rPr>
            <b/>
            <sz val="9"/>
            <color indexed="81"/>
            <rFont val="Tahoma"/>
            <family val="2"/>
          </rPr>
          <t xml:space="preserve">
Flèche sous Med-ELU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8" authorId="0" shapeId="0" xr:uid="{92EAED1B-66D2-4691-B639-8F49B9B3D86F}">
      <text>
        <r>
          <rPr>
            <b/>
            <sz val="9"/>
            <color indexed="81"/>
            <rFont val="Tahoma"/>
            <family val="2"/>
          </rPr>
          <t xml:space="preserve">
Flèche sous Med-ELS</t>
        </r>
      </text>
    </comment>
    <comment ref="C27" authorId="0" shapeId="0" xr:uid="{C167EFD4-525F-4F36-AEA5-28B35B2C8F6D}">
      <text>
        <r>
          <rPr>
            <b/>
            <sz val="9"/>
            <color indexed="81"/>
            <rFont val="Tahoma"/>
            <family val="2"/>
          </rPr>
          <t>Nuance pour calculer ε à configurer en haut de page.</t>
        </r>
      </text>
    </comment>
    <comment ref="C52" authorId="0" shapeId="0" xr:uid="{76ABA4B2-E4AC-41AD-BD28-7F43C71CA43D}">
      <text>
        <r>
          <rPr>
            <b/>
            <sz val="9"/>
            <color indexed="81"/>
            <rFont val="Tahoma"/>
            <family val="2"/>
          </rPr>
          <t>Nuance pour calculer ε à configurer en haut de page.</t>
        </r>
      </text>
    </comment>
    <comment ref="C75" authorId="0" shapeId="0" xr:uid="{9105F43D-8110-4D57-BB45-5168A22679E2}">
      <text>
        <r>
          <rPr>
            <b/>
            <sz val="9"/>
            <color indexed="81"/>
            <rFont val="Tahoma"/>
            <family val="2"/>
          </rPr>
          <t>Nuance pour calculer ε à configurer en haut de page.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L12" authorId="0" shapeId="0" xr:uid="{03351906-DAFA-4A33-AB58-1A822F415388}">
      <text>
        <r>
          <rPr>
            <b/>
            <sz val="9"/>
            <color indexed="81"/>
            <rFont val="Tahoma"/>
            <family val="2"/>
          </rPr>
          <t>Valeurs à contrôler</t>
        </r>
      </text>
    </comment>
  </commentList>
</comments>
</file>

<file path=xl/sharedStrings.xml><?xml version="1.0" encoding="utf-8"?>
<sst xmlns="http://schemas.openxmlformats.org/spreadsheetml/2006/main" count="1029" uniqueCount="641">
  <si>
    <t>Type de profilé</t>
  </si>
  <si>
    <t>Masse</t>
  </si>
  <si>
    <t>Dimensions</t>
  </si>
  <si>
    <t>Aire</t>
  </si>
  <si>
    <t>Inertie</t>
  </si>
  <si>
    <t>Modules de flexion</t>
  </si>
  <si>
    <t>Rayon de giration</t>
  </si>
  <si>
    <t>Aire de cisaillement</t>
  </si>
  <si>
    <t>Inertie de Torsion</t>
  </si>
  <si>
    <t>Inertie de Gauchissement</t>
  </si>
  <si>
    <t>G (kg/ml)</t>
  </si>
  <si>
    <t>h (mm)</t>
  </si>
  <si>
    <t>b (mm)</t>
  </si>
  <si>
    <t>tw (mm)</t>
  </si>
  <si>
    <t>tf (mm)</t>
  </si>
  <si>
    <t>r (mm)</t>
  </si>
  <si>
    <t>A (cm2)</t>
  </si>
  <si>
    <t>Iy (cm4)</t>
  </si>
  <si>
    <t>Wely (cm3)</t>
  </si>
  <si>
    <t>Wply (cm3)</t>
  </si>
  <si>
    <t>iy (cm)</t>
  </si>
  <si>
    <t>Ayz (cm2)</t>
  </si>
  <si>
    <t>Iz (cm4)</t>
  </si>
  <si>
    <t>Welz (cm3)</t>
  </si>
  <si>
    <t>Wplz (cm3)</t>
  </si>
  <si>
    <t>iz (cm)</t>
  </si>
  <si>
    <t>Azy (cm2)</t>
  </si>
  <si>
    <t>It (cm4)</t>
  </si>
  <si>
    <t>Ix (cm6)</t>
  </si>
  <si>
    <t>IPE</t>
  </si>
  <si>
    <t>IPE 80</t>
  </si>
  <si>
    <t>IPE 100</t>
  </si>
  <si>
    <t>IPE 120</t>
  </si>
  <si>
    <t>IPE 140</t>
  </si>
  <si>
    <t>IPE 160</t>
  </si>
  <si>
    <t>IPE 180</t>
  </si>
  <si>
    <t>IPE 200</t>
  </si>
  <si>
    <t>IPE 220</t>
  </si>
  <si>
    <t>IPE 240</t>
  </si>
  <si>
    <t>IPE 270</t>
  </si>
  <si>
    <t>IPE 300</t>
  </si>
  <si>
    <t>IPE 330</t>
  </si>
  <si>
    <t>IPE 360</t>
  </si>
  <si>
    <t>IPE 400</t>
  </si>
  <si>
    <t>IPE 450</t>
  </si>
  <si>
    <t>IPE 500</t>
  </si>
  <si>
    <t>IPE 550</t>
  </si>
  <si>
    <t>IPE 600</t>
  </si>
  <si>
    <t>IPE-A</t>
  </si>
  <si>
    <t>IPE-A 80</t>
  </si>
  <si>
    <t>IPE-A 100</t>
  </si>
  <si>
    <t>IPE-A 120</t>
  </si>
  <si>
    <t>IPE-A 140</t>
  </si>
  <si>
    <t>IPE-A 160</t>
  </si>
  <si>
    <t>IPE-A 180</t>
  </si>
  <si>
    <t>IPE-A 200</t>
  </si>
  <si>
    <t>IPE-A 220</t>
  </si>
  <si>
    <t>IPE-A 240</t>
  </si>
  <si>
    <t>IPE-A 270</t>
  </si>
  <si>
    <t>IPE-A 300</t>
  </si>
  <si>
    <t>IPE-A 330</t>
  </si>
  <si>
    <t>IPE-A 360</t>
  </si>
  <si>
    <t>IPE-A 400</t>
  </si>
  <si>
    <t>IPE-A 450</t>
  </si>
  <si>
    <t>IPE-A 500</t>
  </si>
  <si>
    <t>IPE-A 550</t>
  </si>
  <si>
    <t>IPE-A 600</t>
  </si>
  <si>
    <t>IPN</t>
  </si>
  <si>
    <t>IPN 80</t>
  </si>
  <si>
    <t>IPN 100</t>
  </si>
  <si>
    <t>IPN 120</t>
  </si>
  <si>
    <t>IPN 140</t>
  </si>
  <si>
    <t>IPN 160</t>
  </si>
  <si>
    <t>IPN 180</t>
  </si>
  <si>
    <t>IPN 200</t>
  </si>
  <si>
    <t>IPN 220</t>
  </si>
  <si>
    <t>IPN 240</t>
  </si>
  <si>
    <t>IPN 260</t>
  </si>
  <si>
    <t>IPN 280</t>
  </si>
  <si>
    <t>IPN 300</t>
  </si>
  <si>
    <t>IPN 320</t>
  </si>
  <si>
    <t>IPN 340</t>
  </si>
  <si>
    <t>IPN 360</t>
  </si>
  <si>
    <t>IPN 380</t>
  </si>
  <si>
    <t>IPN 400</t>
  </si>
  <si>
    <t>IPN 450</t>
  </si>
  <si>
    <t>IPN 500</t>
  </si>
  <si>
    <t>IPN 550</t>
  </si>
  <si>
    <t>HEA</t>
  </si>
  <si>
    <t>HEA 100</t>
  </si>
  <si>
    <t>HEA 120</t>
  </si>
  <si>
    <t>HEA 140</t>
  </si>
  <si>
    <t>HEA 160</t>
  </si>
  <si>
    <t>HEA 180</t>
  </si>
  <si>
    <t>HEA 200</t>
  </si>
  <si>
    <t>HEA 220</t>
  </si>
  <si>
    <t>HEA 240</t>
  </si>
  <si>
    <t>HEA 260</t>
  </si>
  <si>
    <t>HEA 280</t>
  </si>
  <si>
    <t>HEA 300</t>
  </si>
  <si>
    <t>HEA 320</t>
  </si>
  <si>
    <t>HEA 340</t>
  </si>
  <si>
    <t>HEA 360</t>
  </si>
  <si>
    <t>HEA 400</t>
  </si>
  <si>
    <t>HEA 450</t>
  </si>
  <si>
    <t>HEA 500</t>
  </si>
  <si>
    <t>HEA 550</t>
  </si>
  <si>
    <t>HEA 600</t>
  </si>
  <si>
    <t>HEA 650</t>
  </si>
  <si>
    <t>HEA 700</t>
  </si>
  <si>
    <t>HEA 800</t>
  </si>
  <si>
    <t>HEA 900</t>
  </si>
  <si>
    <t>HEA 1000</t>
  </si>
  <si>
    <t>HEB</t>
  </si>
  <si>
    <t>HEB 100</t>
  </si>
  <si>
    <t>HEB 120</t>
  </si>
  <si>
    <t>HEB 140</t>
  </si>
  <si>
    <t>HEB 160</t>
  </si>
  <si>
    <t>HEB 180</t>
  </si>
  <si>
    <t>HEB 200</t>
  </si>
  <si>
    <t>HEB 220</t>
  </si>
  <si>
    <t>HEB 240</t>
  </si>
  <si>
    <t>HEB 260</t>
  </si>
  <si>
    <t>HEB 280</t>
  </si>
  <si>
    <t>HEB 300</t>
  </si>
  <si>
    <t>HEB 320</t>
  </si>
  <si>
    <t>HEB 340</t>
  </si>
  <si>
    <t>HEB 360</t>
  </si>
  <si>
    <t>HEB 400</t>
  </si>
  <si>
    <t>HEB 450</t>
  </si>
  <si>
    <t>HEB 500</t>
  </si>
  <si>
    <t>HEB 550</t>
  </si>
  <si>
    <t>HEB 600</t>
  </si>
  <si>
    <t>HEB 650</t>
  </si>
  <si>
    <t>HEB 700</t>
  </si>
  <si>
    <t>HEB 800</t>
  </si>
  <si>
    <t>HEB 900</t>
  </si>
  <si>
    <t>HEB 1000</t>
  </si>
  <si>
    <t>HEM</t>
  </si>
  <si>
    <t>HEM 100</t>
  </si>
  <si>
    <t>HEM 120</t>
  </si>
  <si>
    <t>HEM 140</t>
  </si>
  <si>
    <t>HEM 160</t>
  </si>
  <si>
    <t>HEM 180</t>
  </si>
  <si>
    <t>HEM 200</t>
  </si>
  <si>
    <t>HEM 220</t>
  </si>
  <si>
    <t>HEM 240</t>
  </si>
  <si>
    <t>HEM 260</t>
  </si>
  <si>
    <t>HEM 280</t>
  </si>
  <si>
    <t>HEM 300</t>
  </si>
  <si>
    <t>HEM 320</t>
  </si>
  <si>
    <t>HEM 340</t>
  </si>
  <si>
    <t>HEM 360</t>
  </si>
  <si>
    <t>HEM 400</t>
  </si>
  <si>
    <t>HEM 450</t>
  </si>
  <si>
    <t>HEM 500</t>
  </si>
  <si>
    <t>HEM 550</t>
  </si>
  <si>
    <t>HEM 600</t>
  </si>
  <si>
    <t>HEM 650</t>
  </si>
  <si>
    <t>HEM 700</t>
  </si>
  <si>
    <t>HEM 800</t>
  </si>
  <si>
    <t>HEM 900</t>
  </si>
  <si>
    <t>HEM 1000</t>
  </si>
  <si>
    <t>UPN</t>
  </si>
  <si>
    <t>UPN 80</t>
  </si>
  <si>
    <t>UPN 100</t>
  </si>
  <si>
    <t>UPN 120</t>
  </si>
  <si>
    <t>UPN 140</t>
  </si>
  <si>
    <t>UPN 160</t>
  </si>
  <si>
    <t>UPN 180</t>
  </si>
  <si>
    <t>UPN 200</t>
  </si>
  <si>
    <t>UPN 220</t>
  </si>
  <si>
    <t>UPN 240</t>
  </si>
  <si>
    <t>UPN 260</t>
  </si>
  <si>
    <t>UPN 280</t>
  </si>
  <si>
    <t>UPN 300</t>
  </si>
  <si>
    <t>UPN 320</t>
  </si>
  <si>
    <t>UPN 350</t>
  </si>
  <si>
    <t>UPN 380</t>
  </si>
  <si>
    <t>UPN 400</t>
  </si>
  <si>
    <t>UAP</t>
  </si>
  <si>
    <t>UAP 80</t>
  </si>
  <si>
    <t>UAP 100</t>
  </si>
  <si>
    <t>UAP 130</t>
  </si>
  <si>
    <t>UAP 150</t>
  </si>
  <si>
    <t>UAP 175</t>
  </si>
  <si>
    <t>UAP 200</t>
  </si>
  <si>
    <t>UAP 220</t>
  </si>
  <si>
    <t>UAP 250</t>
  </si>
  <si>
    <t>UAP 300</t>
  </si>
  <si>
    <t>UPE</t>
  </si>
  <si>
    <t>UPE 80</t>
  </si>
  <si>
    <t>UPE 100</t>
  </si>
  <si>
    <t>UPE 120</t>
  </si>
  <si>
    <t>UPE 140</t>
  </si>
  <si>
    <t>UPE 160</t>
  </si>
  <si>
    <t>UPE 180</t>
  </si>
  <si>
    <t>UPE 200</t>
  </si>
  <si>
    <t>UPE 220</t>
  </si>
  <si>
    <t>UPE 240</t>
  </si>
  <si>
    <t>UPE 270</t>
  </si>
  <si>
    <t>UPE 300</t>
  </si>
  <si>
    <t>UPE 330</t>
  </si>
  <si>
    <t>UPE 360</t>
  </si>
  <si>
    <t>UPE 400</t>
  </si>
  <si>
    <t>PRS</t>
  </si>
  <si>
    <t>Trusquinage et diamètres boulons</t>
  </si>
  <si>
    <t>Dist cdg / Dos ailes</t>
  </si>
  <si>
    <t>Inclinaison des axes</t>
  </si>
  <si>
    <t>Module de flexion</t>
  </si>
  <si>
    <t>Axes principaux</t>
  </si>
  <si>
    <t>h</t>
  </si>
  <si>
    <t>b</t>
  </si>
  <si>
    <t>t</t>
  </si>
  <si>
    <t>r1</t>
  </si>
  <si>
    <t>r2</t>
  </si>
  <si>
    <t>A</t>
  </si>
  <si>
    <t>e</t>
  </si>
  <si>
    <t>d</t>
  </si>
  <si>
    <t>dy</t>
  </si>
  <si>
    <t>dz</t>
  </si>
  <si>
    <t>tg (alpha)</t>
  </si>
  <si>
    <t>Iy</t>
  </si>
  <si>
    <t>Wel,y</t>
  </si>
  <si>
    <t>iy</t>
  </si>
  <si>
    <t>Iz</t>
  </si>
  <si>
    <t>Wel,z</t>
  </si>
  <si>
    <t>iz</t>
  </si>
  <si>
    <t>Iz'</t>
  </si>
  <si>
    <t>dz/fibre</t>
  </si>
  <si>
    <t>Wel,z'</t>
  </si>
  <si>
    <t>iz'</t>
  </si>
  <si>
    <t>Iy'</t>
  </si>
  <si>
    <t>dy'/fibre</t>
  </si>
  <si>
    <t>Wel,y'</t>
  </si>
  <si>
    <t>iy'</t>
  </si>
  <si>
    <t>h1/y</t>
  </si>
  <si>
    <t>Wpl,y</t>
  </si>
  <si>
    <t>h1/z</t>
  </si>
  <si>
    <t>Wpl,z</t>
  </si>
  <si>
    <t>mm</t>
  </si>
  <si>
    <t>kg</t>
  </si>
  <si>
    <t>cm²</t>
  </si>
  <si>
    <t>Grande aile</t>
  </si>
  <si>
    <t>Petite aile</t>
  </si>
  <si>
    <t>cm</t>
  </si>
  <si>
    <r>
      <t>cm</t>
    </r>
    <r>
      <rPr>
        <vertAlign val="superscript"/>
        <sz val="10"/>
        <rFont val="Arial"/>
        <family val="2"/>
      </rPr>
      <t>4</t>
    </r>
  </si>
  <si>
    <r>
      <t>cm</t>
    </r>
    <r>
      <rPr>
        <vertAlign val="superscript"/>
        <sz val="10"/>
        <rFont val="Arial"/>
        <family val="2"/>
      </rPr>
      <t>3</t>
    </r>
  </si>
  <si>
    <t>CAE</t>
  </si>
  <si>
    <t>CAE 20x20x3</t>
  </si>
  <si>
    <t>CAE 25x25x3</t>
  </si>
  <si>
    <t>CAE 25x25x4</t>
  </si>
  <si>
    <t>CAE 25x25x5</t>
  </si>
  <si>
    <t>CAE 30x30x3</t>
  </si>
  <si>
    <t>CAE 30x30x3,5</t>
  </si>
  <si>
    <t>CAE 30x30x4</t>
  </si>
  <si>
    <t>CAE 30x30x5</t>
  </si>
  <si>
    <t>CAE 35x35x3,5</t>
  </si>
  <si>
    <t>CAE 35x35x4</t>
  </si>
  <si>
    <t>CAE 35x35x5</t>
  </si>
  <si>
    <t>CAE 40x40x3</t>
  </si>
  <si>
    <t>CAE 40x40x4</t>
  </si>
  <si>
    <t>CAE 40x40x5</t>
  </si>
  <si>
    <t>CAE 40x40x6</t>
  </si>
  <si>
    <t>CAE 45x45x3</t>
  </si>
  <si>
    <t>CAE 45x45x4</t>
  </si>
  <si>
    <t>CAE 45x45x4,5</t>
  </si>
  <si>
    <t>CAE 45x45x5</t>
  </si>
  <si>
    <t>CAE 45x45x6</t>
  </si>
  <si>
    <t>CAE 50x50x3</t>
  </si>
  <si>
    <t>CAE 50x50x4</t>
  </si>
  <si>
    <t>CAE 50x50x5</t>
  </si>
  <si>
    <t>CAE 50x50x6</t>
  </si>
  <si>
    <t>CAE 50x50x7</t>
  </si>
  <si>
    <t>CAE 50x50x8</t>
  </si>
  <si>
    <t>CAE 55x55x6</t>
  </si>
  <si>
    <t>CAE 60x60x4</t>
  </si>
  <si>
    <t>CAE 60x60x5</t>
  </si>
  <si>
    <t>CAE 60x60x6</t>
  </si>
  <si>
    <t>CAE 60x60x7</t>
  </si>
  <si>
    <t>CAE 60x60x8</t>
  </si>
  <si>
    <t>CAE 60x60x10</t>
  </si>
  <si>
    <t>CAE 65x65x5</t>
  </si>
  <si>
    <t>CAE 65x65x6</t>
  </si>
  <si>
    <t>CAE 65x65x7</t>
  </si>
  <si>
    <t>CAE 65x65x8</t>
  </si>
  <si>
    <t>CAE 65x65x9</t>
  </si>
  <si>
    <t>CAE 70x70x5</t>
  </si>
  <si>
    <t>CAE 70x70x6</t>
  </si>
  <si>
    <t>CAE 70x70x7</t>
  </si>
  <si>
    <t>CAE 70x70x9</t>
  </si>
  <si>
    <t>CAE 75x75x5</t>
  </si>
  <si>
    <t>CAE 75x75x6</t>
  </si>
  <si>
    <t>CAE 75x75x7</t>
  </si>
  <si>
    <t>CAE 75x75x8</t>
  </si>
  <si>
    <t>CAE 75x75x10</t>
  </si>
  <si>
    <t>CAE 80x80x5</t>
  </si>
  <si>
    <t>CAE 80x80x5,5</t>
  </si>
  <si>
    <t>CAE 80x80x6</t>
  </si>
  <si>
    <t>CAE 80x80x6,5</t>
  </si>
  <si>
    <t>CAE 80x80x8</t>
  </si>
  <si>
    <t>CAE 80x80x10</t>
  </si>
  <si>
    <t>CAE 90x90x6</t>
  </si>
  <si>
    <t>CAE 90x90x7</t>
  </si>
  <si>
    <t>CAE 90x90x8</t>
  </si>
  <si>
    <t>CAE 90x90x9</t>
  </si>
  <si>
    <t>CAE 90x90x10</t>
  </si>
  <si>
    <t>CAE 90x90x11</t>
  </si>
  <si>
    <t>CAE 90x90x12</t>
  </si>
  <si>
    <t>CAE 100x100x7</t>
  </si>
  <si>
    <t>CAE 100x100x8</t>
  </si>
  <si>
    <t>CAE 100x100x9</t>
  </si>
  <si>
    <t>CAE 100x100x10</t>
  </si>
  <si>
    <t>CAE 100x100x11</t>
  </si>
  <si>
    <t>CAE 100x100x12</t>
  </si>
  <si>
    <t>CAE 110x110x10</t>
  </si>
  <si>
    <t>CAE 110x110x12</t>
  </si>
  <si>
    <t>CAE 120x120x8</t>
  </si>
  <si>
    <t>CAE 120x120x9</t>
  </si>
  <si>
    <t>CAE 120x120x10</t>
  </si>
  <si>
    <t>CAE 120x120x11</t>
  </si>
  <si>
    <t>CAE 120x120x12</t>
  </si>
  <si>
    <t>CAE 120x120x13</t>
  </si>
  <si>
    <t>CAE 120x120x14</t>
  </si>
  <si>
    <t>CAE 120x120x15</t>
  </si>
  <si>
    <t>CAE 130x130x12</t>
  </si>
  <si>
    <t>CAE 140x140x13</t>
  </si>
  <si>
    <t>CAE 150x150x10</t>
  </si>
  <si>
    <t>CAE 150x150x12</t>
  </si>
  <si>
    <t>CAE 150x150x14</t>
  </si>
  <si>
    <t>CAE 150x150x15</t>
  </si>
  <si>
    <t>CAE 150x150x16</t>
  </si>
  <si>
    <t>CAE 150x150x18</t>
  </si>
  <si>
    <t>CAE 160x160x15</t>
  </si>
  <si>
    <t>CAE 160x160x17</t>
  </si>
  <si>
    <t>CAE 180x180x16</t>
  </si>
  <si>
    <t>CAE 180x180x18</t>
  </si>
  <si>
    <t>CAE 180x180x20</t>
  </si>
  <si>
    <t>CAE 200x200x16</t>
  </si>
  <si>
    <t>CAE 200x200x18</t>
  </si>
  <si>
    <t>CAE 200x200x20</t>
  </si>
  <si>
    <t>CAE 200x200x24</t>
  </si>
  <si>
    <t>CAI</t>
  </si>
  <si>
    <t>CAI 30x20x3</t>
  </si>
  <si>
    <t>CAI 30x20x4</t>
  </si>
  <si>
    <t>CAI 35x20x3,5</t>
  </si>
  <si>
    <t>CAI 35x20x4</t>
  </si>
  <si>
    <t>CAI 40x20x3</t>
  </si>
  <si>
    <t>CAI 40x20x4</t>
  </si>
  <si>
    <t>CAI 40x25x4</t>
  </si>
  <si>
    <t>CAI 40x25x5</t>
  </si>
  <si>
    <t>CAI 45x30x4</t>
  </si>
  <si>
    <t>CAI 45x30x5</t>
  </si>
  <si>
    <t>CAI 50x30x4</t>
  </si>
  <si>
    <t>CAI 50x30x5</t>
  </si>
  <si>
    <t>CAI 50x30x6</t>
  </si>
  <si>
    <t>CAI 50x40x5</t>
  </si>
  <si>
    <t>CAI 50x40x6</t>
  </si>
  <si>
    <t>CAI 60x30x5</t>
  </si>
  <si>
    <t>CAI 60x40x5</t>
  </si>
  <si>
    <t>CAI 60x40x6</t>
  </si>
  <si>
    <t>CAI 60x40x7</t>
  </si>
  <si>
    <t>CAI 65x50x5</t>
  </si>
  <si>
    <t>CAI 65x50x6</t>
  </si>
  <si>
    <t>CAI 65x50x7</t>
  </si>
  <si>
    <t>CAI 65x50x8</t>
  </si>
  <si>
    <t>CAI 70x50x6</t>
  </si>
  <si>
    <t>CAI 70x50x7</t>
  </si>
  <si>
    <t>CAI 75x50x5</t>
  </si>
  <si>
    <t>CAI 75x50x6</t>
  </si>
  <si>
    <t>CAI 75x50x7</t>
  </si>
  <si>
    <t>CAI 75x50x8</t>
  </si>
  <si>
    <t>CAI 80x40x6</t>
  </si>
  <si>
    <t>CAI 80x40x8</t>
  </si>
  <si>
    <t>CAI 80x60x7</t>
  </si>
  <si>
    <t>CAI 80x60x8</t>
  </si>
  <si>
    <t>CAI 80x65x6</t>
  </si>
  <si>
    <t>CAI 80x65x8</t>
  </si>
  <si>
    <t>CAI 80x65x10</t>
  </si>
  <si>
    <t>CAI 90x70x8</t>
  </si>
  <si>
    <t>CAI 90x70x9</t>
  </si>
  <si>
    <t>CAI 90x70x10</t>
  </si>
  <si>
    <t>CAI 100x80x9</t>
  </si>
  <si>
    <t>CAI 100x80x10</t>
  </si>
  <si>
    <t>CAI 100x80x11</t>
  </si>
  <si>
    <t>CAI 100x80x12</t>
  </si>
  <si>
    <t>CAI 120x80x8</t>
  </si>
  <si>
    <t>CAI 120x80x10</t>
  </si>
  <si>
    <t>CAI 120x80x12</t>
  </si>
  <si>
    <t>CAI 150x90x10</t>
  </si>
  <si>
    <t>CAI 150x90x11</t>
  </si>
  <si>
    <t>CAI 150x90x12</t>
  </si>
  <si>
    <t>CAI 150x90x13</t>
  </si>
  <si>
    <t>CAI 150x90x15</t>
  </si>
  <si>
    <t>CAI 200x100x10</t>
  </si>
  <si>
    <t>CAI 200x100x12</t>
  </si>
  <si>
    <t>CAI 200x100x14</t>
  </si>
  <si>
    <t>CAI 200x100x15</t>
  </si>
  <si>
    <t>Constante de Torsion</t>
  </si>
  <si>
    <t>t (mm)</t>
  </si>
  <si>
    <t>ri (mm(</t>
  </si>
  <si>
    <t>ra (mm)</t>
  </si>
  <si>
    <t>I (cm4)</t>
  </si>
  <si>
    <t>Wel (cm3)</t>
  </si>
  <si>
    <t>Wpl (cm3)</t>
  </si>
  <si>
    <t>i (cm)</t>
  </si>
  <si>
    <t>Av (cm2)</t>
  </si>
  <si>
    <t>Ct (cm3)</t>
  </si>
  <si>
    <t>CARF</t>
  </si>
  <si>
    <t>1,64</t>
  </si>
  <si>
    <t>1,89</t>
  </si>
  <si>
    <t>1,68</t>
  </si>
  <si>
    <t>2,03</t>
  </si>
  <si>
    <t>2,36</t>
  </si>
  <si>
    <t>2,31</t>
  </si>
  <si>
    <t>2,82</t>
  </si>
  <si>
    <t>CARC</t>
  </si>
  <si>
    <t>ri (mm)</t>
  </si>
  <si>
    <t>RECF</t>
  </si>
  <si>
    <t>RECC</t>
  </si>
  <si>
    <t>CIRF</t>
  </si>
  <si>
    <t xml:space="preserve"> </t>
  </si>
  <si>
    <t>CIRC</t>
  </si>
  <si>
    <t>G</t>
  </si>
  <si>
    <t>Nuance</t>
  </si>
  <si>
    <t>fy</t>
  </si>
  <si>
    <t>fu</t>
  </si>
  <si>
    <t>βw</t>
  </si>
  <si>
    <t>Øboulons</t>
  </si>
  <si>
    <t>Pas</t>
  </si>
  <si>
    <t>hnut</t>
  </si>
  <si>
    <t>AS</t>
  </si>
  <si>
    <t>do</t>
  </si>
  <si>
    <t>dm</t>
  </si>
  <si>
    <t>Coefficients partiels</t>
  </si>
  <si>
    <t>Fleche 1/</t>
  </si>
  <si>
    <t>S235</t>
  </si>
  <si>
    <t>Acier</t>
  </si>
  <si>
    <t>S275</t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</si>
  <si>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0</t>
    </r>
  </si>
  <si>
    <t>S355</t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</si>
  <si>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/>
    </r>
  </si>
  <si>
    <t>S460</t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</si>
  <si>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/>
    </r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</si>
  <si>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/>
    </r>
  </si>
  <si>
    <t>Classes</t>
  </si>
  <si>
    <r>
      <rPr>
        <b/>
        <sz val="12"/>
        <color theme="0" tint="-0.34998626667073579"/>
        <rFont val="Calibri"/>
        <family val="2"/>
      </rPr>
      <t>α</t>
    </r>
    <r>
      <rPr>
        <b/>
        <sz val="12"/>
        <color theme="0" tint="-0.34998626667073579"/>
        <rFont val="Calibri"/>
        <family val="2"/>
        <scheme val="minor"/>
      </rPr>
      <t>v</t>
    </r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</si>
  <si>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/>
    </r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</si>
  <si>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/>
    </r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</si>
  <si>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/>
    </r>
  </si>
  <si>
    <t>Béton</t>
  </si>
  <si>
    <t>γc</t>
  </si>
  <si>
    <t>kf</t>
  </si>
  <si>
    <t>Goujon Nelson</t>
  </si>
  <si>
    <t>Poutres</t>
  </si>
  <si>
    <t>Oui</t>
  </si>
  <si>
    <t>Filetée</t>
  </si>
  <si>
    <t>Art-Art</t>
  </si>
  <si>
    <t>Non</t>
  </si>
  <si>
    <t>Non filetée</t>
  </si>
  <si>
    <t>Art-Enc</t>
  </si>
  <si>
    <t>Enc-Enc</t>
  </si>
  <si>
    <t>fck</t>
  </si>
  <si>
    <t>fck,cube</t>
  </si>
  <si>
    <t>fcm</t>
  </si>
  <si>
    <t>fctm</t>
  </si>
  <si>
    <t>fctk,0.05</t>
  </si>
  <si>
    <t>fctk,0.95</t>
  </si>
  <si>
    <t>Ecm</t>
  </si>
  <si>
    <t>[daN/mm²]</t>
  </si>
  <si>
    <t>[GPa]</t>
  </si>
  <si>
    <t>C 16/20</t>
  </si>
  <si>
    <t>C 20/25</t>
  </si>
  <si>
    <t>C 25/30</t>
  </si>
  <si>
    <t>C 30/37</t>
  </si>
  <si>
    <t>C 35/45</t>
  </si>
  <si>
    <t>C 40/50</t>
  </si>
  <si>
    <t>C 45/55</t>
  </si>
  <si>
    <t>C 50/60</t>
  </si>
  <si>
    <t>C 55/67</t>
  </si>
  <si>
    <t>C 60/75</t>
  </si>
  <si>
    <t>C 70/85</t>
  </si>
  <si>
    <t>Avertissement :</t>
  </si>
  <si>
    <t>Objectifs :</t>
  </si>
  <si>
    <t>Légende :</t>
  </si>
  <si>
    <t>Normes, Guides et Recommandations utilisées dans cette feuille :</t>
  </si>
  <si>
    <t>Cases des données à renseigner (Saisie manuelle ou menu déroulant) :</t>
  </si>
  <si>
    <t>?</t>
  </si>
  <si>
    <t>Cases comportant des Commentaires / Schémas descriptifs des paramètres à saisir :</t>
  </si>
  <si>
    <t>Onglets de la feuille de calcul :</t>
  </si>
  <si>
    <t>Informations</t>
  </si>
  <si>
    <t>Données d'Entrées</t>
  </si>
  <si>
    <t>NdC Détaillée</t>
  </si>
  <si>
    <t>NdC Simplifiée</t>
  </si>
  <si>
    <t>Feuille 1</t>
  </si>
  <si>
    <t>Feuille 3</t>
  </si>
  <si>
    <t>Feuille 4</t>
  </si>
  <si>
    <t>Feuille 2</t>
  </si>
  <si>
    <t>Feuilles de données à ne pas modifier !</t>
  </si>
  <si>
    <t>Data</t>
  </si>
  <si>
    <t>Profilés</t>
  </si>
  <si>
    <t>Cornières</t>
  </si>
  <si>
    <t>Tubes_SHS</t>
  </si>
  <si>
    <t>Tubes_RHS</t>
  </si>
  <si>
    <t>Tubes_CHS</t>
  </si>
  <si>
    <t>Feuille 5</t>
  </si>
  <si>
    <t>Feuille 6</t>
  </si>
  <si>
    <t>Feuilles Principales de l'Utilitaire</t>
  </si>
  <si>
    <t>Révisions :</t>
  </si>
  <si>
    <t>Version</t>
  </si>
  <si>
    <t>Date</t>
  </si>
  <si>
    <t>Modification / Correction</t>
  </si>
  <si>
    <t>La présente feuille de calculs est fournie en l'état et ne peux engager la responsabilitée de son auteur. Son utilisation engage la seule responsabilité de son utilisateur. Il apartient à l'utilisateur de contrôler les résultats.</t>
  </si>
  <si>
    <t>V0.0</t>
  </si>
  <si>
    <t>Feuille 7</t>
  </si>
  <si>
    <t>Feuille 8</t>
  </si>
  <si>
    <t>Feuille 9</t>
  </si>
  <si>
    <t>Feuille 10</t>
  </si>
  <si>
    <t>Feuille 11</t>
  </si>
  <si>
    <t>Outils de prédimensionnement</t>
  </si>
  <si>
    <r>
      <t>M</t>
    </r>
    <r>
      <rPr>
        <b/>
        <sz val="10"/>
        <color theme="1"/>
        <rFont val="Calibri"/>
        <family val="2"/>
        <scheme val="minor"/>
      </rPr>
      <t>ed-ELU</t>
    </r>
  </si>
  <si>
    <t>daN*m</t>
  </si>
  <si>
    <t>On considère une charge uniformément répartie</t>
  </si>
  <si>
    <r>
      <t>M</t>
    </r>
    <r>
      <rPr>
        <b/>
        <sz val="10"/>
        <color theme="1"/>
        <rFont val="Calibri"/>
        <family val="2"/>
        <scheme val="minor"/>
      </rPr>
      <t>ed-ELS</t>
    </r>
  </si>
  <si>
    <r>
      <t>W</t>
    </r>
    <r>
      <rPr>
        <b/>
        <sz val="10"/>
        <color theme="1"/>
        <rFont val="Calibri"/>
        <family val="2"/>
        <scheme val="minor"/>
      </rPr>
      <t>min-ELU</t>
    </r>
  </si>
  <si>
    <r>
      <t>cm</t>
    </r>
    <r>
      <rPr>
        <b/>
        <vertAlign val="superscript"/>
        <sz val="14"/>
        <color rgb="FF000000"/>
        <rFont val="Calibri"/>
        <family val="2"/>
        <scheme val="minor"/>
      </rPr>
      <t>3</t>
    </r>
  </si>
  <si>
    <t>Nuance Prédim</t>
  </si>
  <si>
    <t>Poutre</t>
  </si>
  <si>
    <t>Longueur</t>
  </si>
  <si>
    <t>m</t>
  </si>
  <si>
    <r>
      <t>I</t>
    </r>
    <r>
      <rPr>
        <b/>
        <sz val="10"/>
        <color theme="1"/>
        <rFont val="Calibri"/>
        <family val="2"/>
        <scheme val="minor"/>
      </rPr>
      <t>min-ELU</t>
    </r>
  </si>
  <si>
    <r>
      <t>cm</t>
    </r>
    <r>
      <rPr>
        <b/>
        <vertAlign val="superscript"/>
        <sz val="14"/>
        <color rgb="FF000000"/>
        <rFont val="Calibri"/>
        <family val="2"/>
        <scheme val="minor"/>
      </rPr>
      <t>4</t>
    </r>
  </si>
  <si>
    <t>Flèche</t>
  </si>
  <si>
    <t>ème</t>
  </si>
  <si>
    <r>
      <t>I</t>
    </r>
    <r>
      <rPr>
        <b/>
        <sz val="10"/>
        <color theme="1"/>
        <rFont val="Calibri"/>
        <family val="2"/>
        <scheme val="minor"/>
      </rPr>
      <t>min-ELS</t>
    </r>
  </si>
  <si>
    <t>PRS 1</t>
  </si>
  <si>
    <t>Nuance PRS 1</t>
  </si>
  <si>
    <t>A1</t>
  </si>
  <si>
    <t>mm²</t>
  </si>
  <si>
    <t>Dimensions [mm]</t>
  </si>
  <si>
    <t>ε</t>
  </si>
  <si>
    <t>Aw</t>
  </si>
  <si>
    <t>b1</t>
  </si>
  <si>
    <t>Masse linéaire</t>
  </si>
  <si>
    <t>kg/m</t>
  </si>
  <si>
    <t>Awz+</t>
  </si>
  <si>
    <t>Tf1</t>
  </si>
  <si>
    <t>Awz-</t>
  </si>
  <si>
    <t>c/t</t>
  </si>
  <si>
    <t>A2</t>
  </si>
  <si>
    <t>Hw</t>
  </si>
  <si>
    <t>Wely</t>
  </si>
  <si>
    <t>w</t>
  </si>
  <si>
    <t>b2</t>
  </si>
  <si>
    <t>Tw</t>
  </si>
  <si>
    <t>Wply</t>
  </si>
  <si>
    <t>CdGz+</t>
  </si>
  <si>
    <t>Avz</t>
  </si>
  <si>
    <t>CdGz-</t>
  </si>
  <si>
    <t>CdGy</t>
  </si>
  <si>
    <t>Tf2</t>
  </si>
  <si>
    <t>Am/V</t>
  </si>
  <si>
    <r>
      <t>m</t>
    </r>
    <r>
      <rPr>
        <b/>
        <vertAlign val="superscript"/>
        <sz val="14"/>
        <color rgb="FF000000"/>
        <rFont val="Calibri"/>
        <family val="2"/>
        <scheme val="minor"/>
      </rPr>
      <t>-1</t>
    </r>
  </si>
  <si>
    <t>[Am/V]b</t>
  </si>
  <si>
    <t>Wely +</t>
  </si>
  <si>
    <r>
      <t>cm</t>
    </r>
    <r>
      <rPr>
        <vertAlign val="superscript"/>
        <sz val="11"/>
        <color theme="0" tint="-0.499984740745262"/>
        <rFont val="Calibri"/>
        <family val="2"/>
        <scheme val="minor"/>
      </rPr>
      <t>3</t>
    </r>
  </si>
  <si>
    <t>Wely -</t>
  </si>
  <si>
    <t>CdG</t>
  </si>
  <si>
    <t>YG</t>
  </si>
  <si>
    <t>Welz</t>
  </si>
  <si>
    <t>ZG</t>
  </si>
  <si>
    <t>Wplz</t>
  </si>
  <si>
    <t>Avy</t>
  </si>
  <si>
    <t>Classe</t>
  </si>
  <si>
    <t>Compression</t>
  </si>
  <si>
    <t>Flexion</t>
  </si>
  <si>
    <t>Ame</t>
  </si>
  <si>
    <t>Semelle 1</t>
  </si>
  <si>
    <t>It</t>
  </si>
  <si>
    <t>Semelle 2</t>
  </si>
  <si>
    <t>Iw</t>
  </si>
  <si>
    <r>
      <t>cm</t>
    </r>
    <r>
      <rPr>
        <b/>
        <vertAlign val="superscript"/>
        <sz val="14"/>
        <color rgb="FF000000"/>
        <rFont val="Calibri"/>
        <family val="2"/>
        <scheme val="minor"/>
      </rPr>
      <t>6</t>
    </r>
  </si>
  <si>
    <t>* Les soudures sont négligées pour les calculs d'inertie et de Classe</t>
  </si>
  <si>
    <t>* Les PRS utlisés pour les calculs d'attaches doivent être bi-symétriques</t>
  </si>
  <si>
    <t>PRS 2</t>
  </si>
  <si>
    <t>Section efficace de profil à âme de classe 3 et semelles de classe 1 ou 2</t>
  </si>
  <si>
    <t>A,eff</t>
  </si>
  <si>
    <t>Nuance PRS 2</t>
  </si>
  <si>
    <t>Awz+,eff</t>
  </si>
  <si>
    <t>Iy,eff</t>
  </si>
  <si>
    <r>
      <t>cm</t>
    </r>
    <r>
      <rPr>
        <vertAlign val="superscript"/>
        <sz val="14"/>
        <color theme="0" tint="-0.499984740745262"/>
        <rFont val="Calibri"/>
        <family val="2"/>
        <scheme val="minor"/>
      </rPr>
      <t>4</t>
    </r>
  </si>
  <si>
    <t>Wely,eff</t>
  </si>
  <si>
    <r>
      <t>cm</t>
    </r>
    <r>
      <rPr>
        <vertAlign val="superscript"/>
        <sz val="14"/>
        <color theme="0" tint="-0.499984740745262"/>
        <rFont val="Calibri"/>
        <family val="2"/>
        <scheme val="minor"/>
      </rPr>
      <t>3</t>
    </r>
  </si>
  <si>
    <t>Wply,eff</t>
  </si>
  <si>
    <t>Avz,eff</t>
  </si>
  <si>
    <t>iy,eff</t>
  </si>
  <si>
    <t>[Am/V]</t>
  </si>
  <si>
    <t>20 ε tw</t>
  </si>
  <si>
    <t>Hw,suppr</t>
  </si>
  <si>
    <t>Iz,eff</t>
  </si>
  <si>
    <t>Aw,suppr</t>
  </si>
  <si>
    <t>Welz,eff</t>
  </si>
  <si>
    <t>Huyghens,y</t>
  </si>
  <si>
    <t>Wplz,eff</t>
  </si>
  <si>
    <t>Huyghens,z</t>
  </si>
  <si>
    <t>Avy,eff</t>
  </si>
  <si>
    <t>iz,eff</t>
  </si>
  <si>
    <t>It,eff</t>
  </si>
  <si>
    <t>Iw,eff</t>
  </si>
  <si>
    <r>
      <t>cm</t>
    </r>
    <r>
      <rPr>
        <vertAlign val="superscript"/>
        <sz val="14"/>
        <color theme="0" tint="-0.499984740745262"/>
        <rFont val="Calibri"/>
        <family val="2"/>
        <scheme val="minor"/>
      </rPr>
      <t>6</t>
    </r>
  </si>
  <si>
    <t>PRS 3</t>
  </si>
  <si>
    <t>Section efficace de profil à âme de classe 4 et semelles de classe 1, 2 ou 3</t>
  </si>
  <si>
    <t xml:space="preserve">Nuance PRS </t>
  </si>
  <si>
    <t>Hw / Tw*ε ≤</t>
  </si>
  <si>
    <t>21 ε tw</t>
  </si>
  <si>
    <t>25 ε tw</t>
  </si>
  <si>
    <t>37 ε tw</t>
  </si>
  <si>
    <t>Description de l'attache</t>
  </si>
  <si>
    <t>Type d'attache</t>
  </si>
  <si>
    <t>Schéma</t>
  </si>
  <si>
    <t>Zoom</t>
  </si>
  <si>
    <t>Profils</t>
  </si>
  <si>
    <t>Connecteurs</t>
  </si>
  <si>
    <t>Cases contenant des Résultats :</t>
  </si>
  <si>
    <t>NF EN 1993-1-1 (Octobre 2005) : Calcul des structures en acier</t>
  </si>
  <si>
    <t>Partie 1-1 : règles générales et règles pour les bâtiments</t>
  </si>
  <si>
    <t>Europratic : Calcul suivant les Eurocodes d'un bâtiment simple en acier à l'usage des praticiens</t>
  </si>
  <si>
    <t>Anthony Rodier, éd.CTICM 2015</t>
  </si>
  <si>
    <t>Calcul des caractéristiques de PRS</t>
  </si>
  <si>
    <t xml:space="preserve">La présente Feuille a été créée par </t>
  </si>
  <si>
    <t>La présente feuille de calcul permet de calculer rapidement les caractéristiques mécaniques des PRS bi-symétriques et mono-symétriques de classes 1, 2 et 3 ainis que les PRS de classe équivalente 2 et les PRS de classe équivalente 3 par des méthodes simplifiées.</t>
  </si>
  <si>
    <t xml:space="preserve">Merci de me contacter à </t>
  </si>
  <si>
    <t>cours.constructionacier@gmail.com</t>
  </si>
  <si>
    <t>pour signaler toute erreur dans cette feuille.</t>
  </si>
  <si>
    <t>http://coursconstructionacier.fr</t>
  </si>
  <si>
    <t xml:space="preserve"> Première Version</t>
  </si>
  <si>
    <t>01/11/2020</t>
  </si>
  <si>
    <t>NF EN 1993-1-1 §5.5.2(11) et §6.2.2.4</t>
  </si>
  <si>
    <t>Europratic : Annexe C</t>
  </si>
  <si>
    <t>et est sous licence</t>
  </si>
  <si>
    <t>CreativeCommon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</si>
</sst>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"/>
    <numFmt numFmtId="165" formatCode="0.000"/>
    <numFmt numFmtId="166" formatCode="#,##0.0"/>
    <numFmt numFmtId="167" formatCode="#,##0.00&quot;  mm&quot;"/>
    <numFmt numFmtId="168" formatCode="#,##0&quot;  mm&quot;"/>
    <numFmt numFmtId="169" formatCode="0&quot; mm²&quot;"/>
    <numFmt numFmtId="170" formatCode="&quot;S&quot;0"/>
  </numFmts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vertAlign val="superscript"/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sz val="11"/>
      <color theme="0" tint="-0.34998626667073579"/>
      <name val="Calibri"/>
      <family val="2"/>
      <scheme val="minor"/>
    </font>
    <font>
      <b/>
      <sz val="12"/>
      <color theme="0" tint="-0.34998626667073579"/>
      <name val="Calibri"/>
      <family val="2"/>
      <scheme val="minor"/>
    </font>
    <font>
      <sz val="10"/>
      <name val="MS Sans Serif"/>
    </font>
    <font>
      <sz val="11"/>
      <color theme="0" tint="-0.34998626667073579"/>
      <name val="Calibri"/>
      <family val="2"/>
    </font>
    <font>
      <b/>
      <sz val="12"/>
      <color theme="0" tint="-0.34998626667073579"/>
      <name val="Calibri"/>
      <family val="2"/>
    </font>
    <font>
      <b/>
      <sz val="9"/>
      <color indexed="81"/>
      <name val="Tahoma"/>
      <family val="2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vertAlign val="superscript"/>
      <sz val="14"/>
      <color rgb="FF00000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4"/>
      <color theme="2" tint="-0.249977111117893"/>
      <name val="Calibri"/>
      <family val="2"/>
      <scheme val="minor"/>
    </font>
    <font>
      <vertAlign val="superscript"/>
      <sz val="11"/>
      <color theme="0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0" tint="-0.499984740745262"/>
      <name val="Calibri"/>
      <family val="2"/>
      <scheme val="minor"/>
    </font>
    <font>
      <sz val="14"/>
      <color theme="0" tint="-0.499984740745262"/>
      <name val="Calibri"/>
      <family val="2"/>
      <scheme val="minor"/>
    </font>
    <font>
      <vertAlign val="superscript"/>
      <sz val="14"/>
      <color theme="0" tint="-0.499984740745262"/>
      <name val="Calibri"/>
      <family val="2"/>
      <scheme val="minor"/>
    </font>
    <font>
      <b/>
      <sz val="13"/>
      <color theme="0" tint="-0.499984740745262"/>
      <name val="Calibri"/>
      <family val="2"/>
      <scheme val="minor"/>
    </font>
    <font>
      <sz val="9"/>
      <color indexed="81"/>
      <name val="Tahoma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4"/>
      <color theme="1" tint="0.34998626667073579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600"/>
        <bgColor indexed="64"/>
      </patternFill>
    </fill>
    <fill>
      <patternFill patternType="solid">
        <fgColor theme="7" tint="0.79998168889431442"/>
        <bgColor indexed="64"/>
      </patternFill>
    </fill>
  </fills>
  <borders count="9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auto="1"/>
      </diagonal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</borders>
  <cellStyleXfs count="4">
    <xf numFmtId="0" fontId="0" fillId="0" borderId="0"/>
    <xf numFmtId="0" fontId="5" fillId="0" borderId="0"/>
    <xf numFmtId="0" fontId="13" fillId="0" borderId="0"/>
    <xf numFmtId="0" fontId="20" fillId="0" borderId="0" applyNumberFormat="0" applyFill="0" applyBorder="0" applyAlignment="0" applyProtection="0"/>
  </cellStyleXfs>
  <cellXfs count="508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/>
    </xf>
    <xf numFmtId="0" fontId="2" fillId="3" borderId="16" xfId="0" applyFont="1" applyFill="1" applyBorder="1"/>
    <xf numFmtId="0" fontId="2" fillId="3" borderId="17" xfId="0" applyFont="1" applyFill="1" applyBorder="1"/>
    <xf numFmtId="0" fontId="2" fillId="3" borderId="18" xfId="0" applyFont="1" applyFill="1" applyBorder="1"/>
    <xf numFmtId="0" fontId="3" fillId="0" borderId="0" xfId="0" applyFont="1" applyAlignment="1">
      <alignment wrapText="1"/>
    </xf>
    <xf numFmtId="0" fontId="3" fillId="0" borderId="0" xfId="0" applyFont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1" xfId="0" applyBorder="1" applyAlignment="1">
      <alignment horizontal="center"/>
    </xf>
    <xf numFmtId="2" fontId="0" fillId="0" borderId="22" xfId="0" applyNumberFormat="1" applyBorder="1"/>
    <xf numFmtId="3" fontId="0" fillId="0" borderId="21" xfId="0" applyNumberFormat="1" applyBorder="1"/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3" fontId="2" fillId="3" borderId="18" xfId="0" applyNumberFormat="1" applyFont="1" applyFill="1" applyBorder="1"/>
    <xf numFmtId="164" fontId="0" fillId="0" borderId="19" xfId="0" applyNumberFormat="1" applyBorder="1" applyAlignment="1">
      <alignment horizontal="center"/>
    </xf>
    <xf numFmtId="2" fontId="0" fillId="0" borderId="19" xfId="0" applyNumberFormat="1" applyBorder="1" applyAlignment="1">
      <alignment horizontal="center"/>
    </xf>
    <xf numFmtId="164" fontId="0" fillId="0" borderId="20" xfId="0" applyNumberFormat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21" xfId="0" applyNumberFormat="1" applyBorder="1" applyAlignment="1">
      <alignment horizontal="center"/>
    </xf>
    <xf numFmtId="2" fontId="0" fillId="0" borderId="20" xfId="0" applyNumberFormat="1" applyBorder="1" applyAlignment="1">
      <alignment horizontal="center"/>
    </xf>
    <xf numFmtId="1" fontId="0" fillId="0" borderId="10" xfId="0" applyNumberForma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6" xfId="0" applyFont="1" applyFill="1" applyBorder="1"/>
    <xf numFmtId="0" fontId="4" fillId="3" borderId="17" xfId="0" applyFont="1" applyFill="1" applyBorder="1"/>
    <xf numFmtId="3" fontId="4" fillId="3" borderId="18" xfId="0" applyNumberFormat="1" applyFont="1" applyFill="1" applyBorder="1"/>
    <xf numFmtId="0" fontId="4" fillId="3" borderId="18" xfId="0" applyFont="1" applyFill="1" applyBorder="1"/>
    <xf numFmtId="164" fontId="0" fillId="0" borderId="21" xfId="0" applyNumberFormat="1" applyBorder="1" applyAlignment="1">
      <alignment horizontal="center"/>
    </xf>
    <xf numFmtId="0" fontId="0" fillId="0" borderId="22" xfId="0" applyBorder="1"/>
    <xf numFmtId="0" fontId="0" fillId="0" borderId="27" xfId="0" applyBorder="1"/>
    <xf numFmtId="3" fontId="0" fillId="0" borderId="28" xfId="0" applyNumberFormat="1" applyBorder="1"/>
    <xf numFmtId="0" fontId="0" fillId="0" borderId="11" xfId="0" applyBorder="1" applyAlignment="1">
      <alignment horizontal="center"/>
    </xf>
    <xf numFmtId="1" fontId="0" fillId="0" borderId="12" xfId="0" applyNumberFormat="1" applyBorder="1" applyAlignment="1">
      <alignment horizontal="center"/>
    </xf>
    <xf numFmtId="1" fontId="0" fillId="0" borderId="13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15" xfId="0" applyNumberFormat="1" applyBorder="1"/>
    <xf numFmtId="1" fontId="0" fillId="0" borderId="14" xfId="0" applyNumberFormat="1" applyBorder="1"/>
    <xf numFmtId="0" fontId="0" fillId="2" borderId="30" xfId="0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29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2" borderId="1" xfId="1" applyFill="1" applyBorder="1" applyAlignment="1">
      <alignment horizontal="center" vertical="center"/>
    </xf>
    <xf numFmtId="0" fontId="5" fillId="2" borderId="4" xfId="1" applyFill="1" applyBorder="1" applyAlignment="1">
      <alignment horizontal="center" vertical="center"/>
    </xf>
    <xf numFmtId="0" fontId="5" fillId="2" borderId="1" xfId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5" fillId="0" borderId="0" xfId="1"/>
    <xf numFmtId="0" fontId="6" fillId="2" borderId="20" xfId="1" applyFont="1" applyFill="1" applyBorder="1" applyAlignment="1">
      <alignment horizontal="center"/>
    </xf>
    <xf numFmtId="0" fontId="6" fillId="2" borderId="10" xfId="1" applyFont="1" applyFill="1" applyBorder="1" applyAlignment="1">
      <alignment horizontal="center"/>
    </xf>
    <xf numFmtId="0" fontId="6" fillId="2" borderId="21" xfId="1" applyFont="1" applyFill="1" applyBorder="1" applyAlignment="1">
      <alignment horizontal="center"/>
    </xf>
    <xf numFmtId="0" fontId="6" fillId="2" borderId="37" xfId="1" applyFont="1" applyFill="1" applyBorder="1" applyAlignment="1">
      <alignment horizontal="center"/>
    </xf>
    <xf numFmtId="0" fontId="6" fillId="2" borderId="19" xfId="1" applyFont="1" applyFill="1" applyBorder="1" applyAlignment="1">
      <alignment horizontal="center"/>
    </xf>
    <xf numFmtId="0" fontId="6" fillId="2" borderId="38" xfId="1" applyFont="1" applyFill="1" applyBorder="1" applyAlignment="1">
      <alignment horizontal="center"/>
    </xf>
    <xf numFmtId="0" fontId="6" fillId="2" borderId="39" xfId="1" applyFont="1" applyFill="1" applyBorder="1" applyAlignment="1">
      <alignment horizontal="center"/>
    </xf>
    <xf numFmtId="0" fontId="6" fillId="2" borderId="40" xfId="1" applyFont="1" applyFill="1" applyBorder="1" applyAlignment="1">
      <alignment horizontal="center"/>
    </xf>
    <xf numFmtId="0" fontId="6" fillId="2" borderId="43" xfId="1" applyFont="1" applyFill="1" applyBorder="1" applyAlignment="1">
      <alignment horizontal="center"/>
    </xf>
    <xf numFmtId="0" fontId="7" fillId="2" borderId="41" xfId="1" applyFont="1" applyFill="1" applyBorder="1" applyAlignment="1">
      <alignment horizontal="center"/>
    </xf>
    <xf numFmtId="0" fontId="7" fillId="2" borderId="39" xfId="1" applyFont="1" applyFill="1" applyBorder="1" applyAlignment="1">
      <alignment horizontal="center"/>
    </xf>
    <xf numFmtId="0" fontId="7" fillId="2" borderId="42" xfId="1" applyFont="1" applyFill="1" applyBorder="1" applyAlignment="1">
      <alignment horizontal="center"/>
    </xf>
    <xf numFmtId="0" fontId="7" fillId="2" borderId="20" xfId="1" applyFont="1" applyFill="1" applyBorder="1" applyAlignment="1">
      <alignment horizontal="center"/>
    </xf>
    <xf numFmtId="0" fontId="7" fillId="2" borderId="38" xfId="1" applyFont="1" applyFill="1" applyBorder="1" applyAlignment="1">
      <alignment horizontal="center"/>
    </xf>
    <xf numFmtId="0" fontId="7" fillId="2" borderId="40" xfId="1" applyFont="1" applyFill="1" applyBorder="1" applyAlignment="1">
      <alignment horizontal="center"/>
    </xf>
    <xf numFmtId="0" fontId="5" fillId="2" borderId="12" xfId="1" applyFill="1" applyBorder="1" applyAlignment="1">
      <alignment horizontal="center"/>
    </xf>
    <xf numFmtId="0" fontId="5" fillId="2" borderId="13" xfId="1" applyFill="1" applyBorder="1" applyAlignment="1">
      <alignment horizontal="center"/>
    </xf>
    <xf numFmtId="0" fontId="5" fillId="2" borderId="14" xfId="1" applyFill="1" applyBorder="1" applyAlignment="1">
      <alignment horizontal="center"/>
    </xf>
    <xf numFmtId="0" fontId="5" fillId="2" borderId="44" xfId="1" applyFill="1" applyBorder="1" applyAlignment="1">
      <alignment horizontal="center"/>
    </xf>
    <xf numFmtId="0" fontId="5" fillId="2" borderId="11" xfId="1" applyFill="1" applyBorder="1" applyAlignment="1">
      <alignment horizontal="center"/>
    </xf>
    <xf numFmtId="0" fontId="5" fillId="2" borderId="45" xfId="1" applyFill="1" applyBorder="1" applyAlignment="1">
      <alignment horizontal="center"/>
    </xf>
    <xf numFmtId="0" fontId="5" fillId="2" borderId="46" xfId="1" applyFill="1" applyBorder="1" applyAlignment="1">
      <alignment horizontal="center"/>
    </xf>
    <xf numFmtId="49" fontId="6" fillId="4" borderId="48" xfId="1" applyNumberFormat="1" applyFont="1" applyFill="1" applyBorder="1"/>
    <xf numFmtId="49" fontId="6" fillId="0" borderId="50" xfId="1" applyNumberFormat="1" applyFont="1" applyBorder="1" applyAlignment="1">
      <alignment horizontal="center"/>
    </xf>
    <xf numFmtId="1" fontId="6" fillId="0" borderId="50" xfId="1" applyNumberFormat="1" applyFont="1" applyBorder="1" applyAlignment="1">
      <alignment horizontal="center"/>
    </xf>
    <xf numFmtId="164" fontId="6" fillId="0" borderId="50" xfId="1" applyNumberFormat="1" applyFont="1" applyBorder="1" applyAlignment="1">
      <alignment horizontal="center"/>
    </xf>
    <xf numFmtId="2" fontId="6" fillId="0" borderId="50" xfId="1" applyNumberFormat="1" applyFont="1" applyBorder="1" applyAlignment="1">
      <alignment horizontal="center"/>
    </xf>
    <xf numFmtId="165" fontId="6" fillId="0" borderId="50" xfId="1" applyNumberFormat="1" applyFont="1" applyBorder="1" applyAlignment="1">
      <alignment horizontal="center"/>
    </xf>
    <xf numFmtId="2" fontId="6" fillId="0" borderId="51" xfId="1" applyNumberFormat="1" applyFont="1" applyBorder="1" applyAlignment="1">
      <alignment horizontal="center"/>
    </xf>
    <xf numFmtId="0" fontId="6" fillId="0" borderId="0" xfId="1" applyFont="1"/>
    <xf numFmtId="49" fontId="6" fillId="5" borderId="52" xfId="1" applyNumberFormat="1" applyFont="1" applyFill="1" applyBorder="1" applyAlignment="1">
      <alignment horizontal="center"/>
    </xf>
    <xf numFmtId="1" fontId="6" fillId="5" borderId="52" xfId="1" applyNumberFormat="1" applyFont="1" applyFill="1" applyBorder="1" applyAlignment="1">
      <alignment horizontal="center"/>
    </xf>
    <xf numFmtId="164" fontId="6" fillId="5" borderId="52" xfId="1" applyNumberFormat="1" applyFont="1" applyFill="1" applyBorder="1" applyAlignment="1">
      <alignment horizontal="center"/>
    </xf>
    <xf numFmtId="2" fontId="6" fillId="5" borderId="52" xfId="1" applyNumberFormat="1" applyFont="1" applyFill="1" applyBorder="1" applyAlignment="1">
      <alignment horizontal="center"/>
    </xf>
    <xf numFmtId="165" fontId="6" fillId="5" borderId="52" xfId="1" applyNumberFormat="1" applyFont="1" applyFill="1" applyBorder="1" applyAlignment="1">
      <alignment horizontal="center"/>
    </xf>
    <xf numFmtId="2" fontId="6" fillId="5" borderId="53" xfId="1" applyNumberFormat="1" applyFont="1" applyFill="1" applyBorder="1" applyAlignment="1">
      <alignment horizontal="center"/>
    </xf>
    <xf numFmtId="49" fontId="5" fillId="5" borderId="50" xfId="1" applyNumberFormat="1" applyFill="1" applyBorder="1" applyAlignment="1">
      <alignment horizontal="center"/>
    </xf>
    <xf numFmtId="1" fontId="5" fillId="5" borderId="50" xfId="1" applyNumberFormat="1" applyFill="1" applyBorder="1" applyAlignment="1">
      <alignment horizontal="center"/>
    </xf>
    <xf numFmtId="164" fontId="5" fillId="5" borderId="50" xfId="1" applyNumberFormat="1" applyFill="1" applyBorder="1" applyAlignment="1">
      <alignment horizontal="center"/>
    </xf>
    <xf numFmtId="2" fontId="5" fillId="5" borderId="50" xfId="1" applyNumberFormat="1" applyFill="1" applyBorder="1" applyAlignment="1">
      <alignment horizontal="center"/>
    </xf>
    <xf numFmtId="165" fontId="5" fillId="5" borderId="50" xfId="1" applyNumberFormat="1" applyFill="1" applyBorder="1" applyAlignment="1">
      <alignment horizontal="center"/>
    </xf>
    <xf numFmtId="2" fontId="5" fillId="5" borderId="51" xfId="1" applyNumberFormat="1" applyFill="1" applyBorder="1" applyAlignment="1">
      <alignment horizontal="center"/>
    </xf>
    <xf numFmtId="49" fontId="5" fillId="5" borderId="54" xfId="1" applyNumberFormat="1" applyFill="1" applyBorder="1" applyAlignment="1">
      <alignment horizontal="center"/>
    </xf>
    <xf numFmtId="1" fontId="5" fillId="5" borderId="54" xfId="1" applyNumberFormat="1" applyFill="1" applyBorder="1" applyAlignment="1">
      <alignment horizontal="center"/>
    </xf>
    <xf numFmtId="164" fontId="5" fillId="5" borderId="54" xfId="1" applyNumberFormat="1" applyFill="1" applyBorder="1" applyAlignment="1">
      <alignment horizontal="center"/>
    </xf>
    <xf numFmtId="2" fontId="5" fillId="5" borderId="54" xfId="1" applyNumberFormat="1" applyFill="1" applyBorder="1" applyAlignment="1">
      <alignment horizontal="center"/>
    </xf>
    <xf numFmtId="165" fontId="5" fillId="5" borderId="54" xfId="1" applyNumberFormat="1" applyFill="1" applyBorder="1" applyAlignment="1">
      <alignment horizontal="center"/>
    </xf>
    <xf numFmtId="2" fontId="5" fillId="5" borderId="55" xfId="1" applyNumberFormat="1" applyFill="1" applyBorder="1" applyAlignment="1">
      <alignment horizontal="center"/>
    </xf>
    <xf numFmtId="49" fontId="5" fillId="0" borderId="50" xfId="1" applyNumberFormat="1" applyBorder="1" applyAlignment="1">
      <alignment horizontal="center"/>
    </xf>
    <xf numFmtId="1" fontId="5" fillId="0" borderId="50" xfId="1" applyNumberFormat="1" applyBorder="1" applyAlignment="1">
      <alignment horizontal="center"/>
    </xf>
    <xf numFmtId="164" fontId="5" fillId="0" borderId="50" xfId="1" applyNumberFormat="1" applyBorder="1" applyAlignment="1">
      <alignment horizontal="center"/>
    </xf>
    <xf numFmtId="2" fontId="5" fillId="0" borderId="50" xfId="1" applyNumberFormat="1" applyBorder="1" applyAlignment="1">
      <alignment horizontal="center"/>
    </xf>
    <xf numFmtId="165" fontId="5" fillId="0" borderId="50" xfId="1" applyNumberFormat="1" applyBorder="1" applyAlignment="1">
      <alignment horizontal="center"/>
    </xf>
    <xf numFmtId="2" fontId="5" fillId="0" borderId="51" xfId="1" applyNumberFormat="1" applyBorder="1" applyAlignment="1">
      <alignment horizontal="center"/>
    </xf>
    <xf numFmtId="49" fontId="6" fillId="5" borderId="56" xfId="1" applyNumberFormat="1" applyFont="1" applyFill="1" applyBorder="1" applyAlignment="1">
      <alignment horizontal="center"/>
    </xf>
    <xf numFmtId="1" fontId="6" fillId="5" borderId="56" xfId="1" applyNumberFormat="1" applyFont="1" applyFill="1" applyBorder="1" applyAlignment="1">
      <alignment horizontal="center"/>
    </xf>
    <xf numFmtId="164" fontId="6" fillId="5" borderId="56" xfId="1" applyNumberFormat="1" applyFont="1" applyFill="1" applyBorder="1" applyAlignment="1">
      <alignment horizontal="center"/>
    </xf>
    <xf numFmtId="2" fontId="6" fillId="5" borderId="56" xfId="1" applyNumberFormat="1" applyFont="1" applyFill="1" applyBorder="1" applyAlignment="1">
      <alignment horizontal="center"/>
    </xf>
    <xf numFmtId="165" fontId="6" fillId="5" borderId="56" xfId="1" applyNumberFormat="1" applyFont="1" applyFill="1" applyBorder="1" applyAlignment="1">
      <alignment horizontal="center"/>
    </xf>
    <xf numFmtId="2" fontId="6" fillId="5" borderId="57" xfId="1" applyNumberFormat="1" applyFont="1" applyFill="1" applyBorder="1" applyAlignment="1">
      <alignment horizontal="center"/>
    </xf>
    <xf numFmtId="0" fontId="6" fillId="5" borderId="52" xfId="1" applyFont="1" applyFill="1" applyBorder="1" applyAlignment="1">
      <alignment horizontal="center"/>
    </xf>
    <xf numFmtId="0" fontId="5" fillId="5" borderId="50" xfId="1" applyFill="1" applyBorder="1" applyAlignment="1">
      <alignment horizontal="center"/>
    </xf>
    <xf numFmtId="0" fontId="5" fillId="5" borderId="54" xfId="1" applyFill="1" applyBorder="1" applyAlignment="1">
      <alignment horizontal="center"/>
    </xf>
    <xf numFmtId="0" fontId="6" fillId="0" borderId="50" xfId="1" applyFont="1" applyBorder="1" applyAlignment="1">
      <alignment horizontal="center"/>
    </xf>
    <xf numFmtId="0" fontId="5" fillId="0" borderId="50" xfId="1" applyBorder="1" applyAlignment="1">
      <alignment horizontal="center"/>
    </xf>
    <xf numFmtId="49" fontId="6" fillId="5" borderId="50" xfId="1" applyNumberFormat="1" applyFont="1" applyFill="1" applyBorder="1" applyAlignment="1">
      <alignment horizontal="center"/>
    </xf>
    <xf numFmtId="1" fontId="6" fillId="5" borderId="50" xfId="1" applyNumberFormat="1" applyFont="1" applyFill="1" applyBorder="1" applyAlignment="1">
      <alignment horizontal="center"/>
    </xf>
    <xf numFmtId="164" fontId="6" fillId="5" borderId="50" xfId="1" applyNumberFormat="1" applyFont="1" applyFill="1" applyBorder="1" applyAlignment="1">
      <alignment horizontal="center"/>
    </xf>
    <xf numFmtId="2" fontId="6" fillId="5" borderId="50" xfId="1" applyNumberFormat="1" applyFont="1" applyFill="1" applyBorder="1" applyAlignment="1">
      <alignment horizontal="center"/>
    </xf>
    <xf numFmtId="165" fontId="6" fillId="5" borderId="50" xfId="1" applyNumberFormat="1" applyFont="1" applyFill="1" applyBorder="1" applyAlignment="1">
      <alignment horizontal="center"/>
    </xf>
    <xf numFmtId="2" fontId="6" fillId="5" borderId="51" xfId="1" applyNumberFormat="1" applyFont="1" applyFill="1" applyBorder="1" applyAlignment="1">
      <alignment horizontal="center"/>
    </xf>
    <xf numFmtId="49" fontId="9" fillId="5" borderId="52" xfId="1" applyNumberFormat="1" applyFont="1" applyFill="1" applyBorder="1" applyAlignment="1">
      <alignment horizontal="center"/>
    </xf>
    <xf numFmtId="49" fontId="10" fillId="5" borderId="50" xfId="1" applyNumberFormat="1" applyFont="1" applyFill="1" applyBorder="1" applyAlignment="1">
      <alignment horizontal="center"/>
    </xf>
    <xf numFmtId="49" fontId="10" fillId="5" borderId="54" xfId="1" applyNumberFormat="1" applyFont="1" applyFill="1" applyBorder="1" applyAlignment="1">
      <alignment horizontal="center"/>
    </xf>
    <xf numFmtId="49" fontId="9" fillId="0" borderId="50" xfId="1" applyNumberFormat="1" applyFont="1" applyBorder="1" applyAlignment="1">
      <alignment horizontal="center"/>
    </xf>
    <xf numFmtId="49" fontId="10" fillId="0" borderId="50" xfId="1" applyNumberFormat="1" applyFont="1" applyBorder="1" applyAlignment="1">
      <alignment horizontal="center"/>
    </xf>
    <xf numFmtId="49" fontId="5" fillId="0" borderId="0" xfId="1" applyNumberFormat="1"/>
    <xf numFmtId="49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2" borderId="23" xfId="0" applyNumberFormat="1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49" fontId="2" fillId="3" borderId="58" xfId="0" applyNumberFormat="1" applyFont="1" applyFill="1" applyBorder="1" applyAlignment="1">
      <alignment horizontal="center"/>
    </xf>
    <xf numFmtId="0" fontId="2" fillId="3" borderId="47" xfId="0" applyFont="1" applyFill="1" applyBorder="1"/>
    <xf numFmtId="0" fontId="2" fillId="3" borderId="49" xfId="0" applyFont="1" applyFill="1" applyBorder="1"/>
    <xf numFmtId="0" fontId="2" fillId="3" borderId="48" xfId="0" applyFont="1" applyFill="1" applyBorder="1"/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49" fontId="0" fillId="5" borderId="46" xfId="0" applyNumberFormat="1" applyFill="1" applyBorder="1" applyAlignment="1">
      <alignment horizontal="center"/>
    </xf>
    <xf numFmtId="0" fontId="0" fillId="5" borderId="44" xfId="0" applyFill="1" applyBorder="1" applyAlignment="1">
      <alignment horizontal="center"/>
    </xf>
    <xf numFmtId="2" fontId="0" fillId="5" borderId="44" xfId="0" applyNumberFormat="1" applyFill="1" applyBorder="1" applyAlignment="1">
      <alignment horizontal="center"/>
    </xf>
    <xf numFmtId="165" fontId="0" fillId="5" borderId="44" xfId="0" applyNumberFormat="1" applyFill="1" applyBorder="1" applyAlignment="1">
      <alignment horizontal="center"/>
    </xf>
    <xf numFmtId="166" fontId="0" fillId="5" borderId="44" xfId="0" applyNumberFormat="1" applyFill="1" applyBorder="1" applyAlignment="1">
      <alignment horizontal="center"/>
    </xf>
    <xf numFmtId="0" fontId="0" fillId="5" borderId="45" xfId="0" applyFill="1" applyBorder="1" applyAlignment="1">
      <alignment horizontal="center"/>
    </xf>
    <xf numFmtId="49" fontId="0" fillId="5" borderId="59" xfId="0" applyNumberFormat="1" applyFill="1" applyBorder="1" applyAlignment="1">
      <alignment horizontal="center"/>
    </xf>
    <xf numFmtId="0" fontId="0" fillId="5" borderId="0" xfId="0" applyFill="1" applyAlignment="1">
      <alignment horizontal="center"/>
    </xf>
    <xf numFmtId="2" fontId="0" fillId="5" borderId="0" xfId="0" applyNumberFormat="1" applyFill="1" applyAlignment="1">
      <alignment horizontal="center"/>
    </xf>
    <xf numFmtId="165" fontId="0" fillId="5" borderId="0" xfId="0" applyNumberFormat="1" applyFill="1" applyAlignment="1">
      <alignment horizontal="center"/>
    </xf>
    <xf numFmtId="166" fontId="0" fillId="5" borderId="0" xfId="0" applyNumberFormat="1" applyFill="1" applyAlignment="1">
      <alignment horizontal="center"/>
    </xf>
    <xf numFmtId="0" fontId="0" fillId="5" borderId="60" xfId="0" applyFill="1" applyBorder="1" applyAlignment="1">
      <alignment horizontal="center"/>
    </xf>
    <xf numFmtId="49" fontId="0" fillId="5" borderId="42" xfId="0" applyNumberFormat="1" applyFill="1" applyBorder="1" applyAlignment="1">
      <alignment horizontal="center"/>
    </xf>
    <xf numFmtId="0" fontId="0" fillId="5" borderId="37" xfId="0" applyFill="1" applyBorder="1" applyAlignment="1">
      <alignment horizontal="center"/>
    </xf>
    <xf numFmtId="2" fontId="0" fillId="5" borderId="37" xfId="0" applyNumberFormat="1" applyFill="1" applyBorder="1" applyAlignment="1">
      <alignment horizontal="center"/>
    </xf>
    <xf numFmtId="165" fontId="0" fillId="5" borderId="37" xfId="0" applyNumberFormat="1" applyFill="1" applyBorder="1" applyAlignment="1">
      <alignment horizontal="center"/>
    </xf>
    <xf numFmtId="166" fontId="0" fillId="5" borderId="37" xfId="0" applyNumberFormat="1" applyFill="1" applyBorder="1" applyAlignment="1">
      <alignment horizontal="center"/>
    </xf>
    <xf numFmtId="0" fontId="0" fillId="5" borderId="41" xfId="0" applyFill="1" applyBorder="1" applyAlignment="1">
      <alignment horizontal="center"/>
    </xf>
    <xf numFmtId="3" fontId="0" fillId="5" borderId="44" xfId="0" applyNumberFormat="1" applyFill="1" applyBorder="1" applyAlignment="1">
      <alignment horizontal="center"/>
    </xf>
    <xf numFmtId="3" fontId="0" fillId="5" borderId="0" xfId="0" applyNumberFormat="1" applyFill="1" applyAlignment="1">
      <alignment horizontal="center"/>
    </xf>
    <xf numFmtId="3" fontId="0" fillId="5" borderId="37" xfId="0" applyNumberFormat="1" applyFill="1" applyBorder="1" applyAlignment="1">
      <alignment horizontal="center"/>
    </xf>
    <xf numFmtId="3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4" fontId="0" fillId="5" borderId="44" xfId="0" applyNumberFormat="1" applyFill="1" applyBorder="1" applyAlignment="1">
      <alignment horizontal="center"/>
    </xf>
    <xf numFmtId="164" fontId="0" fillId="5" borderId="0" xfId="0" applyNumberFormat="1" applyFill="1" applyAlignment="1">
      <alignment horizontal="center"/>
    </xf>
    <xf numFmtId="164" fontId="0" fillId="5" borderId="37" xfId="0" applyNumberFormat="1" applyFill="1" applyBorder="1" applyAlignment="1">
      <alignment horizontal="center"/>
    </xf>
    <xf numFmtId="49" fontId="0" fillId="2" borderId="11" xfId="0" applyNumberForma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49" fontId="0" fillId="5" borderId="46" xfId="0" applyNumberFormat="1" applyFill="1" applyBorder="1" applyAlignment="1">
      <alignment horizontal="center" vertical="center"/>
    </xf>
    <xf numFmtId="2" fontId="0" fillId="5" borderId="44" xfId="0" applyNumberFormat="1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166" fontId="0" fillId="5" borderId="44" xfId="0" applyNumberFormat="1" applyFill="1" applyBorder="1" applyAlignment="1">
      <alignment horizontal="center" vertical="center"/>
    </xf>
    <xf numFmtId="0" fontId="0" fillId="5" borderId="45" xfId="0" applyFill="1" applyBorder="1" applyAlignment="1">
      <alignment horizontal="center" vertical="center"/>
    </xf>
    <xf numFmtId="49" fontId="0" fillId="5" borderId="59" xfId="0" applyNumberFormat="1" applyFill="1" applyBorder="1" applyAlignment="1">
      <alignment horizontal="center" vertical="center"/>
    </xf>
    <xf numFmtId="2" fontId="0" fillId="5" borderId="0" xfId="0" applyNumberForma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166" fontId="0" fillId="5" borderId="0" xfId="0" applyNumberFormat="1" applyFill="1" applyAlignment="1">
      <alignment horizontal="center" vertical="center"/>
    </xf>
    <xf numFmtId="0" fontId="0" fillId="5" borderId="60" xfId="0" applyFill="1" applyBorder="1" applyAlignment="1">
      <alignment horizontal="center" vertical="center"/>
    </xf>
    <xf numFmtId="49" fontId="0" fillId="5" borderId="42" xfId="0" applyNumberFormat="1" applyFill="1" applyBorder="1" applyAlignment="1">
      <alignment horizontal="center" vertical="center"/>
    </xf>
    <xf numFmtId="2" fontId="0" fillId="5" borderId="37" xfId="0" applyNumberFormat="1" applyFill="1" applyBorder="1" applyAlignment="1">
      <alignment horizontal="center" vertical="center"/>
    </xf>
    <xf numFmtId="0" fontId="0" fillId="5" borderId="37" xfId="0" applyFill="1" applyBorder="1" applyAlignment="1">
      <alignment horizontal="center" vertical="center"/>
    </xf>
    <xf numFmtId="166" fontId="0" fillId="5" borderId="37" xfId="0" applyNumberFormat="1" applyFill="1" applyBorder="1" applyAlignment="1">
      <alignment horizontal="center" vertical="center"/>
    </xf>
    <xf numFmtId="0" fontId="0" fillId="5" borderId="41" xfId="0" applyFill="1" applyBorder="1" applyAlignment="1">
      <alignment horizontal="center" vertical="center"/>
    </xf>
    <xf numFmtId="0" fontId="2" fillId="3" borderId="47" xfId="0" applyFont="1" applyFill="1" applyBorder="1" applyAlignment="1">
      <alignment horizontal="center"/>
    </xf>
    <xf numFmtId="0" fontId="2" fillId="3" borderId="49" xfId="0" applyFont="1" applyFill="1" applyBorder="1" applyAlignment="1">
      <alignment horizontal="center"/>
    </xf>
    <xf numFmtId="0" fontId="2" fillId="3" borderId="48" xfId="0" applyFont="1" applyFill="1" applyBorder="1" applyAlignment="1">
      <alignment horizontal="center"/>
    </xf>
    <xf numFmtId="49" fontId="0" fillId="0" borderId="0" xfId="0" applyNumberFormat="1"/>
    <xf numFmtId="0" fontId="0" fillId="2" borderId="1" xfId="0" applyFill="1" applyBorder="1" applyAlignment="1">
      <alignment horizontal="center" vertical="center" wrapText="1"/>
    </xf>
    <xf numFmtId="0" fontId="2" fillId="3" borderId="58" xfId="0" applyFont="1" applyFill="1" applyBorder="1" applyAlignment="1">
      <alignment horizontal="center"/>
    </xf>
    <xf numFmtId="4" fontId="0" fillId="0" borderId="0" xfId="0" applyNumberFormat="1" applyAlignment="1">
      <alignment horizontal="center"/>
    </xf>
    <xf numFmtId="0" fontId="0" fillId="5" borderId="46" xfId="0" applyFill="1" applyBorder="1" applyAlignment="1">
      <alignment horizontal="center"/>
    </xf>
    <xf numFmtId="4" fontId="0" fillId="5" borderId="44" xfId="0" applyNumberFormat="1" applyFill="1" applyBorder="1" applyAlignment="1">
      <alignment horizontal="center"/>
    </xf>
    <xf numFmtId="0" fontId="0" fillId="5" borderId="45" xfId="0" applyFill="1" applyBorder="1"/>
    <xf numFmtId="0" fontId="0" fillId="5" borderId="59" xfId="0" applyFill="1" applyBorder="1" applyAlignment="1">
      <alignment horizontal="center"/>
    </xf>
    <xf numFmtId="4" fontId="0" fillId="5" borderId="0" xfId="0" applyNumberFormat="1" applyFill="1" applyAlignment="1">
      <alignment horizontal="center"/>
    </xf>
    <xf numFmtId="0" fontId="0" fillId="5" borderId="60" xfId="0" applyFill="1" applyBorder="1"/>
    <xf numFmtId="0" fontId="0" fillId="5" borderId="42" xfId="0" applyFill="1" applyBorder="1" applyAlignment="1">
      <alignment horizontal="center"/>
    </xf>
    <xf numFmtId="4" fontId="0" fillId="5" borderId="37" xfId="0" applyNumberFormat="1" applyFill="1" applyBorder="1" applyAlignment="1">
      <alignment horizontal="center"/>
    </xf>
    <xf numFmtId="0" fontId="0" fillId="5" borderId="41" xfId="0" applyFill="1" applyBorder="1"/>
    <xf numFmtId="1" fontId="0" fillId="0" borderId="0" xfId="0" applyNumberFormat="1" applyAlignment="1">
      <alignment horizontal="center"/>
    </xf>
    <xf numFmtId="1" fontId="0" fillId="5" borderId="44" xfId="0" applyNumberFormat="1" applyFill="1" applyBorder="1" applyAlignment="1">
      <alignment horizontal="center"/>
    </xf>
    <xf numFmtId="1" fontId="0" fillId="5" borderId="0" xfId="0" applyNumberFormat="1" applyFill="1" applyAlignment="1">
      <alignment horizontal="center"/>
    </xf>
    <xf numFmtId="1" fontId="0" fillId="5" borderId="37" xfId="0" applyNumberFormat="1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3" xfId="0" applyFill="1" applyBorder="1" applyAlignment="1">
      <alignment horizontal="center" vertical="center" wrapText="1"/>
    </xf>
    <xf numFmtId="0" fontId="0" fillId="2" borderId="61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6" fillId="4" borderId="47" xfId="1" applyFont="1" applyFill="1" applyBorder="1" applyAlignment="1"/>
    <xf numFmtId="0" fontId="6" fillId="4" borderId="49" xfId="1" applyFont="1" applyFill="1" applyBorder="1" applyAlignment="1"/>
    <xf numFmtId="0" fontId="6" fillId="4" borderId="48" xfId="1" applyFont="1" applyFill="1" applyBorder="1" applyAlignment="1"/>
    <xf numFmtId="0" fontId="0" fillId="6" borderId="0" xfId="0" applyFill="1"/>
    <xf numFmtId="0" fontId="0" fillId="2" borderId="7" xfId="0" applyFill="1" applyBorder="1" applyAlignment="1">
      <alignment horizontal="center" vertical="center" wrapText="1"/>
    </xf>
    <xf numFmtId="0" fontId="7" fillId="2" borderId="37" xfId="1" applyFont="1" applyFill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2" xfId="2" applyFont="1" applyBorder="1" applyAlignment="1">
      <alignment horizontal="center"/>
    </xf>
    <xf numFmtId="0" fontId="12" fillId="0" borderId="3" xfId="2" applyFont="1" applyBorder="1"/>
    <xf numFmtId="0" fontId="12" fillId="0" borderId="3" xfId="2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1" fillId="0" borderId="63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/>
    </xf>
    <xf numFmtId="167" fontId="11" fillId="0" borderId="63" xfId="2" applyNumberFormat="1" applyFont="1" applyBorder="1" applyAlignment="1">
      <alignment horizontal="center"/>
    </xf>
    <xf numFmtId="167" fontId="11" fillId="0" borderId="0" xfId="2" applyNumberFormat="1" applyFont="1" applyAlignment="1">
      <alignment horizontal="center"/>
    </xf>
    <xf numFmtId="168" fontId="11" fillId="0" borderId="0" xfId="0" applyNumberFormat="1" applyFont="1" applyAlignment="1">
      <alignment horizontal="center"/>
    </xf>
    <xf numFmtId="169" fontId="11" fillId="0" borderId="0" xfId="0" applyNumberFormat="1" applyFont="1" applyAlignment="1">
      <alignment horizontal="center"/>
    </xf>
    <xf numFmtId="167" fontId="11" fillId="0" borderId="36" xfId="0" applyNumberFormat="1" applyFont="1" applyBorder="1" applyAlignment="1">
      <alignment horizontal="center"/>
    </xf>
    <xf numFmtId="0" fontId="11" fillId="0" borderId="22" xfId="0" applyFont="1" applyBorder="1" applyAlignment="1">
      <alignment horizontal="center"/>
    </xf>
    <xf numFmtId="0" fontId="11" fillId="0" borderId="64" xfId="0" applyFont="1" applyBorder="1" applyAlignment="1">
      <alignment horizontal="center"/>
    </xf>
    <xf numFmtId="0" fontId="11" fillId="0" borderId="65" xfId="0" applyFont="1" applyBorder="1" applyAlignment="1">
      <alignment horizontal="center"/>
    </xf>
    <xf numFmtId="0" fontId="11" fillId="0" borderId="66" xfId="0" applyFont="1" applyBorder="1" applyAlignment="1">
      <alignment horizontal="center"/>
    </xf>
    <xf numFmtId="0" fontId="11" fillId="0" borderId="67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/>
    </xf>
    <xf numFmtId="0" fontId="11" fillId="0" borderId="62" xfId="0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/>
    </xf>
    <xf numFmtId="167" fontId="11" fillId="5" borderId="36" xfId="0" applyNumberFormat="1" applyFont="1" applyFill="1" applyBorder="1" applyAlignment="1">
      <alignment horizontal="center"/>
    </xf>
    <xf numFmtId="0" fontId="14" fillId="0" borderId="66" xfId="0" applyFont="1" applyBorder="1" applyAlignment="1">
      <alignment horizontal="center"/>
    </xf>
    <xf numFmtId="0" fontId="14" fillId="0" borderId="68" xfId="0" applyFont="1" applyBorder="1" applyAlignment="1">
      <alignment horizontal="center"/>
    </xf>
    <xf numFmtId="0" fontId="12" fillId="0" borderId="30" xfId="0" applyFont="1" applyBorder="1" applyAlignment="1">
      <alignment horizontal="center"/>
    </xf>
    <xf numFmtId="167" fontId="11" fillId="0" borderId="67" xfId="2" applyNumberFormat="1" applyFont="1" applyBorder="1" applyAlignment="1">
      <alignment horizontal="center"/>
    </xf>
    <xf numFmtId="167" fontId="11" fillId="0" borderId="27" xfId="2" applyNumberFormat="1" applyFont="1" applyBorder="1" applyAlignment="1">
      <alignment horizontal="center"/>
    </xf>
    <xf numFmtId="168" fontId="11" fillId="0" borderId="27" xfId="0" applyNumberFormat="1" applyFont="1" applyBorder="1" applyAlignment="1">
      <alignment horizontal="center"/>
    </xf>
    <xf numFmtId="169" fontId="11" fillId="0" borderId="27" xfId="0" applyNumberFormat="1" applyFont="1" applyBorder="1" applyAlignment="1">
      <alignment horizontal="center"/>
    </xf>
    <xf numFmtId="167" fontId="11" fillId="5" borderId="62" xfId="0" applyNumberFormat="1" applyFont="1" applyFill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30" xfId="0" applyFont="1" applyBorder="1" applyAlignment="1">
      <alignment horizontal="center"/>
    </xf>
    <xf numFmtId="0" fontId="11" fillId="0" borderId="69" xfId="0" applyFont="1" applyBorder="1" applyAlignment="1">
      <alignment horizontal="center"/>
    </xf>
    <xf numFmtId="0" fontId="11" fillId="0" borderId="67" xfId="0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0" fontId="12" fillId="0" borderId="18" xfId="0" applyFont="1" applyBorder="1" applyAlignment="1">
      <alignment horizontal="center"/>
    </xf>
    <xf numFmtId="0" fontId="11" fillId="0" borderId="37" xfId="0" applyFont="1" applyBorder="1" applyAlignment="1">
      <alignment horizontal="center"/>
    </xf>
    <xf numFmtId="0" fontId="11" fillId="0" borderId="71" xfId="0" applyFont="1" applyBorder="1" applyAlignment="1">
      <alignment horizontal="center"/>
    </xf>
    <xf numFmtId="164" fontId="11" fillId="0" borderId="0" xfId="0" applyNumberFormat="1" applyFont="1" applyAlignment="1">
      <alignment horizontal="center"/>
    </xf>
    <xf numFmtId="1" fontId="11" fillId="0" borderId="36" xfId="0" applyNumberFormat="1" applyFont="1" applyBorder="1" applyAlignment="1">
      <alignment horizontal="center"/>
    </xf>
    <xf numFmtId="164" fontId="11" fillId="0" borderId="27" xfId="0" applyNumberFormat="1" applyFont="1" applyBorder="1" applyAlignment="1">
      <alignment horizontal="center"/>
    </xf>
    <xf numFmtId="1" fontId="11" fillId="0" borderId="62" xfId="0" applyNumberFormat="1" applyFont="1" applyBorder="1" applyAlignment="1">
      <alignment horizontal="center"/>
    </xf>
    <xf numFmtId="0" fontId="1" fillId="6" borderId="27" xfId="0" applyFont="1" applyFill="1" applyBorder="1"/>
    <xf numFmtId="0" fontId="0" fillId="6" borderId="27" xfId="0" applyFill="1" applyBorder="1"/>
    <xf numFmtId="0" fontId="21" fillId="6" borderId="0" xfId="3" applyFont="1" applyFill="1" applyBorder="1" applyProtection="1"/>
    <xf numFmtId="0" fontId="24" fillId="13" borderId="10" xfId="0" applyFont="1" applyFill="1" applyBorder="1" applyAlignment="1" applyProtection="1">
      <alignment vertical="center"/>
      <protection locked="0"/>
    </xf>
    <xf numFmtId="170" fontId="19" fillId="13" borderId="10" xfId="0" applyNumberFormat="1" applyFont="1" applyFill="1" applyBorder="1" applyAlignment="1" applyProtection="1">
      <alignment horizontal="center" vertical="center"/>
      <protection locked="0"/>
    </xf>
    <xf numFmtId="0" fontId="19" fillId="13" borderId="10" xfId="0" applyFont="1" applyFill="1" applyBorder="1" applyAlignment="1" applyProtection="1">
      <alignment horizontal="center"/>
      <protection locked="0"/>
    </xf>
    <xf numFmtId="0" fontId="19" fillId="13" borderId="10" xfId="0" applyFont="1" applyFill="1" applyBorder="1" applyProtection="1">
      <protection locked="0"/>
    </xf>
    <xf numFmtId="0" fontId="19" fillId="13" borderId="10" xfId="0" applyFont="1" applyFill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164" fontId="0" fillId="0" borderId="12" xfId="0" applyNumberFormat="1" applyBorder="1" applyAlignment="1">
      <alignment horizontal="center"/>
    </xf>
    <xf numFmtId="164" fontId="0" fillId="0" borderId="13" xfId="0" applyNumberFormat="1" applyBorder="1" applyAlignment="1">
      <alignment horizontal="center"/>
    </xf>
    <xf numFmtId="1" fontId="0" fillId="0" borderId="14" xfId="0" applyNumberFormat="1" applyBorder="1" applyAlignment="1">
      <alignment horizontal="center"/>
    </xf>
    <xf numFmtId="0" fontId="0" fillId="2" borderId="3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 wrapText="1"/>
    </xf>
    <xf numFmtId="0" fontId="1" fillId="6" borderId="0" xfId="0" applyFont="1" applyFill="1"/>
    <xf numFmtId="0" fontId="0" fillId="10" borderId="10" xfId="0" applyFill="1" applyBorder="1" applyAlignment="1">
      <alignment horizontal="center" vertical="center"/>
    </xf>
    <xf numFmtId="0" fontId="0" fillId="6" borderId="0" xfId="0" applyFill="1" applyAlignment="1">
      <alignment horizontal="right" vertical="center"/>
    </xf>
    <xf numFmtId="0" fontId="0" fillId="6" borderId="86" xfId="0" applyFill="1" applyBorder="1"/>
    <xf numFmtId="0" fontId="0" fillId="6" borderId="87" xfId="0" applyFill="1" applyBorder="1"/>
    <xf numFmtId="0" fontId="0" fillId="6" borderId="87" xfId="0" applyFill="1" applyBorder="1" applyAlignment="1">
      <alignment horizontal="center" vertical="center"/>
    </xf>
    <xf numFmtId="0" fontId="0" fillId="6" borderId="88" xfId="0" applyFill="1" applyBorder="1"/>
    <xf numFmtId="0" fontId="0" fillId="6" borderId="89" xfId="0" applyFill="1" applyBorder="1"/>
    <xf numFmtId="0" fontId="0" fillId="6" borderId="0" xfId="0" applyFill="1" applyAlignment="1">
      <alignment horizontal="center" vertical="center"/>
    </xf>
    <xf numFmtId="0" fontId="0" fillId="6" borderId="90" xfId="0" applyFill="1" applyBorder="1"/>
    <xf numFmtId="0" fontId="0" fillId="6" borderId="91" xfId="0" applyFill="1" applyBorder="1"/>
    <xf numFmtId="0" fontId="0" fillId="6" borderId="92" xfId="0" applyFill="1" applyBorder="1"/>
    <xf numFmtId="0" fontId="0" fillId="6" borderId="93" xfId="0" applyFill="1" applyBorder="1"/>
    <xf numFmtId="0" fontId="1" fillId="6" borderId="37" xfId="0" applyFont="1" applyFill="1" applyBorder="1"/>
    <xf numFmtId="0" fontId="0" fillId="6" borderId="37" xfId="0" applyFill="1" applyBorder="1"/>
    <xf numFmtId="0" fontId="0" fillId="0" borderId="69" xfId="0" applyBorder="1" applyAlignment="1">
      <alignment horizontal="center"/>
    </xf>
    <xf numFmtId="164" fontId="0" fillId="0" borderId="69" xfId="0" applyNumberFormat="1" applyBorder="1" applyAlignment="1">
      <alignment horizontal="center"/>
    </xf>
    <xf numFmtId="1" fontId="0" fillId="0" borderId="68" xfId="0" applyNumberFormat="1" applyBorder="1" applyAlignment="1">
      <alignment horizontal="center"/>
    </xf>
    <xf numFmtId="1" fontId="0" fillId="0" borderId="95" xfId="0" applyNumberFormat="1" applyBorder="1" applyAlignment="1">
      <alignment horizontal="center"/>
    </xf>
    <xf numFmtId="1" fontId="0" fillId="0" borderId="28" xfId="0" applyNumberFormat="1" applyBorder="1" applyAlignment="1">
      <alignment horizontal="center"/>
    </xf>
    <xf numFmtId="164" fontId="0" fillId="0" borderId="68" xfId="0" applyNumberFormat="1" applyBorder="1" applyAlignment="1">
      <alignment horizontal="center"/>
    </xf>
    <xf numFmtId="164" fontId="0" fillId="0" borderId="95" xfId="0" applyNumberFormat="1" applyBorder="1" applyAlignment="1">
      <alignment horizontal="center"/>
    </xf>
    <xf numFmtId="2" fontId="0" fillId="0" borderId="95" xfId="0" applyNumberFormat="1" applyBorder="1" applyAlignment="1">
      <alignment horizontal="center"/>
    </xf>
    <xf numFmtId="2" fontId="0" fillId="0" borderId="28" xfId="0" applyNumberFormat="1" applyBorder="1" applyAlignment="1">
      <alignment horizontal="center"/>
    </xf>
    <xf numFmtId="2" fontId="0" fillId="0" borderId="67" xfId="0" applyNumberFormat="1" applyBorder="1"/>
    <xf numFmtId="1" fontId="0" fillId="0" borderId="28" xfId="0" applyNumberFormat="1" applyBorder="1"/>
    <xf numFmtId="1" fontId="0" fillId="0" borderId="20" xfId="0" applyNumberFormat="1" applyBorder="1" applyAlignment="1">
      <alignment horizontal="center"/>
    </xf>
    <xf numFmtId="1" fontId="0" fillId="0" borderId="21" xfId="0" applyNumberFormat="1" applyBorder="1" applyAlignment="1">
      <alignment horizontal="center"/>
    </xf>
    <xf numFmtId="1" fontId="0" fillId="0" borderId="21" xfId="0" applyNumberFormat="1" applyBorder="1"/>
    <xf numFmtId="0" fontId="0" fillId="6" borderId="0" xfId="0" applyFill="1" applyAlignment="1">
      <alignment horizontal="center" wrapText="1"/>
    </xf>
    <xf numFmtId="0" fontId="0" fillId="6" borderId="17" xfId="0" applyFill="1" applyBorder="1" applyAlignment="1">
      <alignment vertical="center"/>
    </xf>
    <xf numFmtId="0" fontId="0" fillId="6" borderId="0" xfId="0" applyFill="1" applyAlignment="1">
      <alignment vertical="center"/>
    </xf>
    <xf numFmtId="0" fontId="19" fillId="6" borderId="0" xfId="0" applyFont="1" applyFill="1" applyAlignment="1" applyProtection="1">
      <alignment vertical="center"/>
    </xf>
    <xf numFmtId="0" fontId="22" fillId="6" borderId="0" xfId="0" applyFont="1" applyFill="1" applyAlignment="1" applyProtection="1">
      <alignment horizontal="center" vertical="center"/>
    </xf>
    <xf numFmtId="0" fontId="19" fillId="6" borderId="59" xfId="0" applyFont="1" applyFill="1" applyBorder="1" applyAlignment="1" applyProtection="1">
      <alignment vertical="center"/>
    </xf>
    <xf numFmtId="0" fontId="22" fillId="6" borderId="0" xfId="0" applyFont="1" applyFill="1" applyAlignment="1" applyProtection="1">
      <alignment horizontal="right" vertical="center"/>
    </xf>
    <xf numFmtId="0" fontId="22" fillId="6" borderId="0" xfId="0" applyFont="1" applyFill="1" applyAlignment="1" applyProtection="1">
      <alignment vertical="center"/>
    </xf>
    <xf numFmtId="0" fontId="25" fillId="6" borderId="0" xfId="0" applyFont="1" applyFill="1" applyAlignment="1" applyProtection="1">
      <alignment vertical="center"/>
    </xf>
    <xf numFmtId="0" fontId="19" fillId="6" borderId="60" xfId="0" applyFont="1" applyFill="1" applyBorder="1" applyAlignment="1" applyProtection="1">
      <alignment vertical="center"/>
    </xf>
    <xf numFmtId="164" fontId="24" fillId="10" borderId="10" xfId="0" applyNumberFormat="1" applyFont="1" applyFill="1" applyBorder="1" applyAlignment="1" applyProtection="1">
      <alignment vertical="center"/>
    </xf>
    <xf numFmtId="164" fontId="19" fillId="14" borderId="10" xfId="0" applyNumberFormat="1" applyFont="1" applyFill="1" applyBorder="1" applyAlignment="1" applyProtection="1">
      <alignment vertical="center"/>
    </xf>
    <xf numFmtId="0" fontId="26" fillId="6" borderId="60" xfId="0" applyFont="1" applyFill="1" applyBorder="1" applyAlignment="1" applyProtection="1">
      <alignment vertical="center"/>
    </xf>
    <xf numFmtId="0" fontId="26" fillId="6" borderId="0" xfId="0" applyFont="1" applyFill="1" applyAlignment="1" applyProtection="1">
      <alignment vertical="center"/>
    </xf>
    <xf numFmtId="0" fontId="28" fillId="6" borderId="0" xfId="0" applyFont="1" applyFill="1" applyAlignment="1" applyProtection="1">
      <alignment horizontal="right" vertical="center"/>
    </xf>
    <xf numFmtId="0" fontId="28" fillId="6" borderId="0" xfId="0" applyFont="1" applyFill="1" applyAlignment="1" applyProtection="1">
      <alignment horizontal="center" vertical="center"/>
    </xf>
    <xf numFmtId="0" fontId="22" fillId="6" borderId="0" xfId="0" applyFont="1" applyFill="1" applyAlignment="1" applyProtection="1">
      <alignment horizontal="right"/>
    </xf>
    <xf numFmtId="0" fontId="22" fillId="6" borderId="0" xfId="0" applyFont="1" applyFill="1" applyProtection="1"/>
    <xf numFmtId="0" fontId="29" fillId="6" borderId="0" xfId="0" applyFont="1" applyFill="1" applyAlignment="1" applyProtection="1">
      <alignment vertical="center"/>
    </xf>
    <xf numFmtId="0" fontId="1" fillId="6" borderId="0" xfId="0" applyFont="1" applyFill="1" applyAlignment="1" applyProtection="1">
      <alignment horizontal="left" vertical="top"/>
    </xf>
    <xf numFmtId="0" fontId="19" fillId="6" borderId="61" xfId="0" applyFont="1" applyFill="1" applyBorder="1" applyAlignment="1" applyProtection="1">
      <alignment vertical="center"/>
    </xf>
    <xf numFmtId="0" fontId="22" fillId="6" borderId="59" xfId="0" applyFont="1" applyFill="1" applyBorder="1" applyAlignment="1" applyProtection="1">
      <alignment vertical="center"/>
    </xf>
    <xf numFmtId="0" fontId="19" fillId="6" borderId="17" xfId="0" applyFont="1" applyFill="1" applyBorder="1" applyAlignment="1" applyProtection="1">
      <alignment vertical="center"/>
    </xf>
    <xf numFmtId="0" fontId="19" fillId="6" borderId="0" xfId="0" applyFont="1" applyFill="1" applyAlignment="1" applyProtection="1">
      <alignment horizontal="right" vertical="center"/>
    </xf>
    <xf numFmtId="49" fontId="22" fillId="6" borderId="60" xfId="0" applyNumberFormat="1" applyFont="1" applyFill="1" applyBorder="1" applyAlignment="1" applyProtection="1">
      <alignment vertical="center"/>
    </xf>
    <xf numFmtId="49" fontId="22" fillId="6" borderId="0" xfId="0" applyNumberFormat="1" applyFont="1" applyFill="1" applyAlignment="1" applyProtection="1">
      <alignment vertical="center"/>
    </xf>
    <xf numFmtId="2" fontId="28" fillId="6" borderId="0" xfId="0" applyNumberFormat="1" applyFont="1" applyFill="1" applyAlignment="1" applyProtection="1">
      <alignment horizontal="center" vertical="center"/>
    </xf>
    <xf numFmtId="0" fontId="22" fillId="6" borderId="60" xfId="0" applyFont="1" applyFill="1" applyBorder="1" applyAlignment="1" applyProtection="1">
      <alignment vertical="center"/>
    </xf>
    <xf numFmtId="0" fontId="28" fillId="6" borderId="0" xfId="0" applyFont="1" applyFill="1" applyAlignment="1" applyProtection="1">
      <alignment horizontal="center"/>
    </xf>
    <xf numFmtId="0" fontId="19" fillId="6" borderId="59" xfId="0" applyFont="1" applyFill="1" applyBorder="1" applyAlignment="1" applyProtection="1">
      <alignment horizontal="right" vertical="center"/>
    </xf>
    <xf numFmtId="2" fontId="19" fillId="14" borderId="10" xfId="0" applyNumberFormat="1" applyFont="1" applyFill="1" applyBorder="1" applyAlignment="1" applyProtection="1">
      <alignment vertical="center"/>
    </xf>
    <xf numFmtId="0" fontId="19" fillId="6" borderId="0" xfId="0" applyFont="1" applyFill="1" applyAlignment="1" applyProtection="1">
      <alignment horizontal="center" vertical="center"/>
    </xf>
    <xf numFmtId="1" fontId="19" fillId="14" borderId="10" xfId="0" applyNumberFormat="1" applyFont="1" applyFill="1" applyBorder="1" applyAlignment="1" applyProtection="1">
      <alignment vertical="center"/>
    </xf>
    <xf numFmtId="164" fontId="28" fillId="6" borderId="0" xfId="0" applyNumberFormat="1" applyFont="1" applyFill="1" applyAlignment="1" applyProtection="1">
      <alignment horizontal="center" vertical="center"/>
    </xf>
    <xf numFmtId="1" fontId="28" fillId="6" borderId="0" xfId="0" applyNumberFormat="1" applyFont="1" applyFill="1" applyAlignment="1" applyProtection="1">
      <alignment horizontal="center" vertical="center"/>
    </xf>
    <xf numFmtId="0" fontId="22" fillId="6" borderId="72" xfId="0" applyFont="1" applyFill="1" applyBorder="1" applyAlignment="1" applyProtection="1">
      <alignment horizontal="center" vertical="center"/>
    </xf>
    <xf numFmtId="0" fontId="22" fillId="6" borderId="73" xfId="0" applyFont="1" applyFill="1" applyBorder="1" applyAlignment="1" applyProtection="1">
      <alignment horizontal="center" vertical="center"/>
    </xf>
    <xf numFmtId="0" fontId="22" fillId="6" borderId="74" xfId="0" applyFont="1" applyFill="1" applyBorder="1" applyAlignment="1" applyProtection="1">
      <alignment horizontal="center" vertical="center"/>
    </xf>
    <xf numFmtId="0" fontId="22" fillId="6" borderId="10" xfId="0" applyFont="1" applyFill="1" applyBorder="1" applyAlignment="1" applyProtection="1">
      <alignment horizontal="right" vertical="center"/>
    </xf>
    <xf numFmtId="164" fontId="19" fillId="14" borderId="39" xfId="0" applyNumberFormat="1" applyFont="1" applyFill="1" applyBorder="1" applyAlignment="1" applyProtection="1">
      <alignment vertical="center"/>
    </xf>
    <xf numFmtId="49" fontId="22" fillId="6" borderId="10" xfId="0" applyNumberFormat="1" applyFont="1" applyFill="1" applyBorder="1" applyAlignment="1" applyProtection="1">
      <alignment vertical="center"/>
    </xf>
    <xf numFmtId="164" fontId="24" fillId="14" borderId="10" xfId="0" applyNumberFormat="1" applyFont="1" applyFill="1" applyBorder="1" applyAlignment="1" applyProtection="1">
      <alignment vertical="center"/>
    </xf>
    <xf numFmtId="49" fontId="19" fillId="6" borderId="0" xfId="0" applyNumberFormat="1" applyFont="1" applyFill="1" applyAlignment="1" applyProtection="1">
      <alignment vertical="center"/>
    </xf>
    <xf numFmtId="0" fontId="22" fillId="10" borderId="10" xfId="0" applyFont="1" applyFill="1" applyBorder="1" applyAlignment="1" applyProtection="1">
      <alignment horizontal="right" vertical="center"/>
    </xf>
    <xf numFmtId="0" fontId="22" fillId="6" borderId="10" xfId="0" applyFont="1" applyFill="1" applyBorder="1" applyAlignment="1" applyProtection="1">
      <alignment horizontal="center" vertical="center"/>
    </xf>
    <xf numFmtId="0" fontId="19" fillId="14" borderId="10" xfId="0" applyFont="1" applyFill="1" applyBorder="1" applyAlignment="1" applyProtection="1">
      <alignment horizontal="center" vertical="center"/>
    </xf>
    <xf numFmtId="0" fontId="19" fillId="6" borderId="76" xfId="0" applyFont="1" applyFill="1" applyBorder="1" applyAlignment="1" applyProtection="1">
      <alignment vertical="center"/>
    </xf>
    <xf numFmtId="0" fontId="31" fillId="6" borderId="59" xfId="0" applyFont="1" applyFill="1" applyBorder="1" applyAlignment="1" applyProtection="1">
      <alignment vertical="center"/>
    </xf>
    <xf numFmtId="0" fontId="32" fillId="6" borderId="0" xfId="0" applyFont="1" applyFill="1" applyAlignment="1" applyProtection="1">
      <alignment horizontal="center"/>
    </xf>
    <xf numFmtId="0" fontId="19" fillId="6" borderId="42" xfId="0" applyFont="1" applyFill="1" applyBorder="1" applyAlignment="1" applyProtection="1">
      <alignment vertical="center"/>
    </xf>
    <xf numFmtId="0" fontId="19" fillId="6" borderId="37" xfId="0" applyFont="1" applyFill="1" applyBorder="1" applyAlignment="1" applyProtection="1">
      <alignment vertical="center"/>
    </xf>
    <xf numFmtId="0" fontId="3" fillId="6" borderId="37" xfId="0" applyFont="1" applyFill="1" applyBorder="1" applyAlignment="1" applyProtection="1"/>
    <xf numFmtId="0" fontId="19" fillId="6" borderId="41" xfId="0" applyFont="1" applyFill="1" applyBorder="1" applyAlignment="1" applyProtection="1">
      <alignment vertical="center"/>
    </xf>
    <xf numFmtId="0" fontId="22" fillId="6" borderId="46" xfId="0" applyFont="1" applyFill="1" applyBorder="1" applyAlignment="1" applyProtection="1">
      <alignment vertical="center"/>
    </xf>
    <xf numFmtId="0" fontId="19" fillId="6" borderId="44" xfId="0" applyFont="1" applyFill="1" applyBorder="1" applyAlignment="1" applyProtection="1">
      <alignment vertical="center"/>
    </xf>
    <xf numFmtId="0" fontId="19" fillId="6" borderId="44" xfId="0" applyFont="1" applyFill="1" applyBorder="1" applyAlignment="1" applyProtection="1">
      <alignment horizontal="right" vertical="center"/>
    </xf>
    <xf numFmtId="0" fontId="19" fillId="6" borderId="45" xfId="0" applyFont="1" applyFill="1" applyBorder="1" applyAlignment="1" applyProtection="1">
      <alignment vertical="center"/>
    </xf>
    <xf numFmtId="164" fontId="34" fillId="14" borderId="81" xfId="0" applyNumberFormat="1" applyFont="1" applyFill="1" applyBorder="1" applyAlignment="1" applyProtection="1">
      <alignment horizontal="right" vertical="center"/>
    </xf>
    <xf numFmtId="49" fontId="34" fillId="6" borderId="82" xfId="0" applyNumberFormat="1" applyFont="1" applyFill="1" applyBorder="1" applyAlignment="1" applyProtection="1">
      <alignment vertical="center"/>
    </xf>
    <xf numFmtId="0" fontId="34" fillId="6" borderId="82" xfId="0" applyFont="1" applyFill="1" applyBorder="1" applyAlignment="1" applyProtection="1">
      <alignment vertical="center"/>
    </xf>
    <xf numFmtId="1" fontId="34" fillId="14" borderId="81" xfId="0" applyNumberFormat="1" applyFont="1" applyFill="1" applyBorder="1" applyAlignment="1" applyProtection="1">
      <alignment horizontal="right" vertical="center"/>
    </xf>
    <xf numFmtId="0" fontId="19" fillId="0" borderId="10" xfId="0" applyFont="1" applyBorder="1" applyAlignment="1" applyProtection="1">
      <alignment horizontal="center" vertical="center"/>
    </xf>
    <xf numFmtId="2" fontId="34" fillId="14" borderId="81" xfId="0" applyNumberFormat="1" applyFont="1" applyFill="1" applyBorder="1" applyAlignment="1" applyProtection="1">
      <alignment horizontal="right" vertical="center"/>
    </xf>
    <xf numFmtId="0" fontId="28" fillId="6" borderId="0" xfId="0" applyFont="1" applyFill="1" applyAlignment="1" applyProtection="1">
      <alignment horizontal="left" vertical="center"/>
    </xf>
    <xf numFmtId="0" fontId="28" fillId="6" borderId="0" xfId="0" applyFont="1" applyFill="1" applyAlignment="1" applyProtection="1">
      <alignment horizontal="left"/>
    </xf>
    <xf numFmtId="0" fontId="29" fillId="6" borderId="42" xfId="0" applyFont="1" applyFill="1" applyBorder="1" applyAlignment="1" applyProtection="1">
      <alignment vertical="center"/>
    </xf>
    <xf numFmtId="0" fontId="34" fillId="6" borderId="84" xfId="0" applyFont="1" applyFill="1" applyBorder="1" applyAlignment="1" applyProtection="1">
      <alignment vertical="center"/>
    </xf>
    <xf numFmtId="0" fontId="34" fillId="6" borderId="85" xfId="0" applyFont="1" applyFill="1" applyBorder="1" applyAlignment="1" applyProtection="1">
      <alignment vertical="center"/>
    </xf>
    <xf numFmtId="0" fontId="34" fillId="6" borderId="0" xfId="0" applyFont="1" applyFill="1" applyBorder="1" applyAlignment="1" applyProtection="1">
      <alignment horizontal="right" vertical="center"/>
    </xf>
    <xf numFmtId="0" fontId="34" fillId="6" borderId="0" xfId="0" applyFont="1" applyFill="1" applyBorder="1" applyAlignment="1" applyProtection="1">
      <alignment vertical="center"/>
    </xf>
    <xf numFmtId="0" fontId="20" fillId="6" borderId="0" xfId="3" applyFill="1" applyAlignment="1">
      <alignment vertical="center"/>
    </xf>
    <xf numFmtId="0" fontId="0" fillId="6" borderId="0" xfId="0" applyFill="1" applyAlignment="1">
      <alignment horizontal="left" vertical="center"/>
    </xf>
    <xf numFmtId="0" fontId="0" fillId="9" borderId="72" xfId="0" applyFill="1" applyBorder="1" applyAlignment="1">
      <alignment horizontal="left" vertical="center"/>
    </xf>
    <xf numFmtId="0" fontId="0" fillId="9" borderId="73" xfId="0" applyFill="1" applyBorder="1" applyAlignment="1">
      <alignment horizontal="left" vertical="center"/>
    </xf>
    <xf numFmtId="0" fontId="0" fillId="9" borderId="74" xfId="0" applyFill="1" applyBorder="1" applyAlignment="1">
      <alignment horizontal="left" vertical="center"/>
    </xf>
    <xf numFmtId="0" fontId="0" fillId="9" borderId="72" xfId="0" applyFill="1" applyBorder="1" applyAlignment="1">
      <alignment horizontal="center" vertical="center"/>
    </xf>
    <xf numFmtId="0" fontId="0" fillId="9" borderId="73" xfId="0" applyFill="1" applyBorder="1" applyAlignment="1">
      <alignment horizontal="center" vertical="center"/>
    </xf>
    <xf numFmtId="0" fontId="0" fillId="9" borderId="74" xfId="0" applyFill="1" applyBorder="1" applyAlignment="1">
      <alignment horizontal="center" vertical="center"/>
    </xf>
    <xf numFmtId="0" fontId="0" fillId="6" borderId="37" xfId="0" applyFill="1" applyBorder="1" applyAlignment="1">
      <alignment horizontal="center"/>
    </xf>
    <xf numFmtId="0" fontId="18" fillId="6" borderId="46" xfId="0" applyFont="1" applyFill="1" applyBorder="1" applyAlignment="1">
      <alignment horizontal="center" vertical="center"/>
    </xf>
    <xf numFmtId="0" fontId="18" fillId="6" borderId="44" xfId="0" applyFont="1" applyFill="1" applyBorder="1" applyAlignment="1">
      <alignment horizontal="center" vertical="center"/>
    </xf>
    <xf numFmtId="0" fontId="18" fillId="6" borderId="45" xfId="0" applyFont="1" applyFill="1" applyBorder="1" applyAlignment="1">
      <alignment horizontal="center" vertical="center"/>
    </xf>
    <xf numFmtId="0" fontId="18" fillId="6" borderId="42" xfId="0" applyFont="1" applyFill="1" applyBorder="1" applyAlignment="1">
      <alignment horizontal="center" vertical="center"/>
    </xf>
    <xf numFmtId="0" fontId="18" fillId="6" borderId="37" xfId="0" applyFont="1" applyFill="1" applyBorder="1" applyAlignment="1">
      <alignment horizontal="center" vertical="center"/>
    </xf>
    <xf numFmtId="0" fontId="18" fillId="6" borderId="41" xfId="0" applyFont="1" applyFill="1" applyBorder="1" applyAlignment="1">
      <alignment horizontal="center" vertical="center"/>
    </xf>
    <xf numFmtId="0" fontId="1" fillId="10" borderId="72" xfId="0" applyFont="1" applyFill="1" applyBorder="1" applyAlignment="1">
      <alignment horizontal="center"/>
    </xf>
    <xf numFmtId="0" fontId="1" fillId="10" borderId="73" xfId="0" applyFont="1" applyFill="1" applyBorder="1" applyAlignment="1">
      <alignment horizontal="center"/>
    </xf>
    <xf numFmtId="0" fontId="1" fillId="10" borderId="74" xfId="0" applyFont="1" applyFill="1" applyBorder="1" applyAlignment="1">
      <alignment horizontal="center"/>
    </xf>
    <xf numFmtId="0" fontId="0" fillId="9" borderId="72" xfId="0" applyFill="1" applyBorder="1" applyAlignment="1">
      <alignment horizontal="center"/>
    </xf>
    <xf numFmtId="0" fontId="0" fillId="9" borderId="73" xfId="0" applyFill="1" applyBorder="1" applyAlignment="1">
      <alignment horizontal="center"/>
    </xf>
    <xf numFmtId="0" fontId="0" fillId="9" borderId="74" xfId="0" applyFill="1" applyBorder="1" applyAlignment="1">
      <alignment horizontal="center"/>
    </xf>
    <xf numFmtId="0" fontId="0" fillId="6" borderId="17" xfId="0" applyFill="1" applyBorder="1" applyAlignment="1">
      <alignment horizontal="left" vertical="top" wrapText="1"/>
    </xf>
    <xf numFmtId="0" fontId="0" fillId="6" borderId="0" xfId="0" applyFill="1" applyAlignment="1">
      <alignment horizontal="left" vertical="top" wrapText="1"/>
    </xf>
    <xf numFmtId="0" fontId="2" fillId="0" borderId="72" xfId="0" applyFont="1" applyBorder="1" applyAlignment="1">
      <alignment horizontal="center"/>
    </xf>
    <xf numFmtId="0" fontId="2" fillId="0" borderId="73" xfId="0" applyFont="1" applyBorder="1" applyAlignment="1">
      <alignment horizontal="center"/>
    </xf>
    <xf numFmtId="0" fontId="2" fillId="0" borderId="74" xfId="0" applyFont="1" applyBorder="1" applyAlignment="1">
      <alignment horizontal="center"/>
    </xf>
    <xf numFmtId="0" fontId="0" fillId="14" borderId="72" xfId="0" applyFill="1" applyBorder="1" applyAlignment="1">
      <alignment horizontal="center"/>
    </xf>
    <xf numFmtId="0" fontId="0" fillId="14" borderId="73" xfId="0" applyFill="1" applyBorder="1" applyAlignment="1">
      <alignment horizontal="center"/>
    </xf>
    <xf numFmtId="0" fontId="0" fillId="14" borderId="74" xfId="0" applyFill="1" applyBorder="1" applyAlignment="1">
      <alignment horizontal="center"/>
    </xf>
    <xf numFmtId="0" fontId="20" fillId="6" borderId="0" xfId="3" applyFill="1" applyAlignment="1">
      <alignment horizontal="left" vertical="center"/>
    </xf>
    <xf numFmtId="0" fontId="20" fillId="6" borderId="0" xfId="3" applyFill="1" applyAlignment="1">
      <alignment horizontal="left"/>
    </xf>
    <xf numFmtId="0" fontId="17" fillId="8" borderId="72" xfId="0" applyFont="1" applyFill="1" applyBorder="1" applyAlignment="1">
      <alignment horizontal="center"/>
    </xf>
    <xf numFmtId="0" fontId="17" fillId="8" borderId="74" xfId="0" applyFont="1" applyFill="1" applyBorder="1" applyAlignment="1">
      <alignment horizontal="center"/>
    </xf>
    <xf numFmtId="0" fontId="17" fillId="8" borderId="96" xfId="0" applyFont="1" applyFill="1" applyBorder="1" applyAlignment="1">
      <alignment horizontal="center"/>
    </xf>
    <xf numFmtId="0" fontId="17" fillId="8" borderId="97" xfId="0" applyFont="1" applyFill="1" applyBorder="1" applyAlignment="1">
      <alignment horizontal="center"/>
    </xf>
    <xf numFmtId="0" fontId="17" fillId="8" borderId="98" xfId="0" applyFont="1" applyFill="1" applyBorder="1" applyAlignment="1">
      <alignment horizontal="center"/>
    </xf>
    <xf numFmtId="0" fontId="2" fillId="8" borderId="0" xfId="0" applyFont="1" applyFill="1" applyAlignment="1">
      <alignment horizontal="center"/>
    </xf>
    <xf numFmtId="0" fontId="1" fillId="6" borderId="39" xfId="0" applyFont="1" applyFill="1" applyBorder="1" applyAlignment="1">
      <alignment horizontal="center"/>
    </xf>
    <xf numFmtId="14" fontId="0" fillId="6" borderId="75" xfId="0" quotePrefix="1" applyNumberFormat="1" applyFill="1" applyBorder="1" applyAlignment="1">
      <alignment horizontal="center"/>
    </xf>
    <xf numFmtId="0" fontId="0" fillId="6" borderId="75" xfId="0" quotePrefix="1" applyFill="1" applyBorder="1" applyAlignment="1">
      <alignment horizontal="center"/>
    </xf>
    <xf numFmtId="0" fontId="1" fillId="6" borderId="41" xfId="0" applyFont="1" applyFill="1" applyBorder="1" applyAlignment="1">
      <alignment horizontal="center"/>
    </xf>
    <xf numFmtId="0" fontId="0" fillId="6" borderId="60" xfId="0" applyFill="1" applyBorder="1" applyAlignment="1">
      <alignment horizontal="center"/>
    </xf>
    <xf numFmtId="0" fontId="0" fillId="6" borderId="75" xfId="0" applyFill="1" applyBorder="1" applyAlignment="1">
      <alignment horizontal="center"/>
    </xf>
    <xf numFmtId="0" fontId="1" fillId="6" borderId="42" xfId="0" applyFont="1" applyFill="1" applyBorder="1" applyAlignment="1">
      <alignment horizontal="center"/>
    </xf>
    <xf numFmtId="0" fontId="0" fillId="6" borderId="75" xfId="0" applyFill="1" applyBorder="1" applyAlignment="1">
      <alignment horizontal="left"/>
    </xf>
    <xf numFmtId="0" fontId="0" fillId="6" borderId="59" xfId="0" applyFill="1" applyBorder="1" applyAlignment="1">
      <alignment horizontal="left"/>
    </xf>
    <xf numFmtId="0" fontId="0" fillId="6" borderId="59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1" fillId="12" borderId="72" xfId="0" applyFont="1" applyFill="1" applyBorder="1" applyAlignment="1">
      <alignment horizontal="center"/>
    </xf>
    <xf numFmtId="0" fontId="1" fillId="12" borderId="73" xfId="0" applyFont="1" applyFill="1" applyBorder="1" applyAlignment="1">
      <alignment horizontal="center"/>
    </xf>
    <xf numFmtId="0" fontId="1" fillId="12" borderId="74" xfId="0" applyFont="1" applyFill="1" applyBorder="1" applyAlignment="1">
      <alignment horizontal="center"/>
    </xf>
    <xf numFmtId="0" fontId="1" fillId="7" borderId="96" xfId="0" applyFont="1" applyFill="1" applyBorder="1" applyAlignment="1">
      <alignment horizontal="center"/>
    </xf>
    <xf numFmtId="0" fontId="1" fillId="7" borderId="98" xfId="0" applyFont="1" applyFill="1" applyBorder="1" applyAlignment="1">
      <alignment horizontal="center"/>
    </xf>
    <xf numFmtId="0" fontId="1" fillId="7" borderId="97" xfId="0" applyFont="1" applyFill="1" applyBorder="1" applyAlignment="1">
      <alignment horizontal="center"/>
    </xf>
    <xf numFmtId="0" fontId="1" fillId="11" borderId="96" xfId="0" applyFont="1" applyFill="1" applyBorder="1" applyAlignment="1">
      <alignment horizontal="center"/>
    </xf>
    <xf numFmtId="0" fontId="1" fillId="11" borderId="98" xfId="0" applyFont="1" applyFill="1" applyBorder="1" applyAlignment="1">
      <alignment horizontal="center"/>
    </xf>
    <xf numFmtId="0" fontId="1" fillId="11" borderId="97" xfId="0" applyFont="1" applyFill="1" applyBorder="1" applyAlignment="1">
      <alignment horizontal="center"/>
    </xf>
    <xf numFmtId="0" fontId="0" fillId="7" borderId="72" xfId="0" applyFill="1" applyBorder="1" applyAlignment="1">
      <alignment horizontal="center"/>
    </xf>
    <xf numFmtId="0" fontId="0" fillId="7" borderId="74" xfId="0" applyFill="1" applyBorder="1" applyAlignment="1">
      <alignment horizontal="center"/>
    </xf>
    <xf numFmtId="0" fontId="22" fillId="6" borderId="46" xfId="0" applyFont="1" applyFill="1" applyBorder="1" applyAlignment="1" applyProtection="1">
      <alignment horizontal="center" vertical="center"/>
    </xf>
    <xf numFmtId="0" fontId="22" fillId="6" borderId="44" xfId="0" applyFont="1" applyFill="1" applyBorder="1" applyAlignment="1" applyProtection="1">
      <alignment horizontal="center" vertical="center"/>
    </xf>
    <xf numFmtId="0" fontId="22" fillId="6" borderId="45" xfId="0" applyFont="1" applyFill="1" applyBorder="1" applyAlignment="1" applyProtection="1">
      <alignment horizontal="center" vertical="center"/>
    </xf>
    <xf numFmtId="0" fontId="33" fillId="5" borderId="77" xfId="0" applyFont="1" applyFill="1" applyBorder="1" applyAlignment="1" applyProtection="1">
      <alignment horizontal="right" vertical="center" textRotation="90"/>
    </xf>
    <xf numFmtId="0" fontId="33" fillId="5" borderId="80" xfId="0" applyFont="1" applyFill="1" applyBorder="1" applyAlignment="1" applyProtection="1">
      <alignment horizontal="right" vertical="center" textRotation="90"/>
    </xf>
    <xf numFmtId="0" fontId="33" fillId="5" borderId="83" xfId="0" applyFont="1" applyFill="1" applyBorder="1" applyAlignment="1" applyProtection="1">
      <alignment horizontal="right" vertical="center" textRotation="90"/>
    </xf>
    <xf numFmtId="0" fontId="33" fillId="6" borderId="0" xfId="0" applyFont="1" applyFill="1" applyBorder="1" applyAlignment="1" applyProtection="1">
      <alignment horizontal="center" vertical="center"/>
    </xf>
    <xf numFmtId="0" fontId="33" fillId="6" borderId="82" xfId="0" applyFont="1" applyFill="1" applyBorder="1" applyAlignment="1" applyProtection="1">
      <alignment horizontal="center" vertical="center"/>
    </xf>
    <xf numFmtId="0" fontId="40" fillId="6" borderId="78" xfId="0" applyFont="1" applyFill="1" applyBorder="1" applyAlignment="1" applyProtection="1">
      <alignment horizontal="center" vertical="center"/>
    </xf>
    <xf numFmtId="0" fontId="40" fillId="6" borderId="79" xfId="0" applyFont="1" applyFill="1" applyBorder="1" applyAlignment="1" applyProtection="1">
      <alignment horizontal="center" vertical="center"/>
    </xf>
    <xf numFmtId="0" fontId="36" fillId="5" borderId="77" xfId="0" applyFont="1" applyFill="1" applyBorder="1" applyAlignment="1" applyProtection="1">
      <alignment horizontal="center" vertical="center" textRotation="90"/>
    </xf>
    <xf numFmtId="0" fontId="36" fillId="5" borderId="80" xfId="0" applyFont="1" applyFill="1" applyBorder="1" applyAlignment="1" applyProtection="1">
      <alignment horizontal="center" vertical="center" textRotation="90"/>
    </xf>
    <xf numFmtId="0" fontId="36" fillId="5" borderId="83" xfId="0" applyFont="1" applyFill="1" applyBorder="1" applyAlignment="1" applyProtection="1">
      <alignment horizontal="center" vertical="center" textRotation="90"/>
    </xf>
    <xf numFmtId="0" fontId="40" fillId="6" borderId="0" xfId="0" applyFont="1" applyFill="1" applyBorder="1" applyAlignment="1" applyProtection="1">
      <alignment horizontal="center" vertical="center"/>
    </xf>
    <xf numFmtId="0" fontId="40" fillId="6" borderId="82" xfId="0" applyFont="1" applyFill="1" applyBorder="1" applyAlignment="1" applyProtection="1">
      <alignment horizontal="center" vertical="center"/>
    </xf>
    <xf numFmtId="0" fontId="12" fillId="0" borderId="2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16" xfId="0" applyFont="1" applyBorder="1" applyAlignment="1">
      <alignment horizontal="center" vertical="center"/>
    </xf>
    <xf numFmtId="0" fontId="12" fillId="0" borderId="70" xfId="0" applyFont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61" xfId="0" applyFill="1" applyBorder="1" applyAlignment="1">
      <alignment horizontal="center" vertical="center"/>
    </xf>
    <xf numFmtId="0" fontId="0" fillId="2" borderId="94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2" borderId="35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49" fontId="6" fillId="2" borderId="36" xfId="1" applyNumberFormat="1" applyFont="1" applyFill="1" applyBorder="1" applyAlignment="1">
      <alignment horizontal="center" vertical="center"/>
    </xf>
    <xf numFmtId="49" fontId="6" fillId="2" borderId="62" xfId="1" applyNumberFormat="1" applyFont="1" applyFill="1" applyBorder="1" applyAlignment="1">
      <alignment horizontal="center" vertical="center"/>
    </xf>
    <xf numFmtId="0" fontId="5" fillId="2" borderId="2" xfId="1" applyFill="1" applyBorder="1" applyAlignment="1">
      <alignment horizontal="center" vertical="center" wrapText="1"/>
    </xf>
    <xf numFmtId="0" fontId="5" fillId="2" borderId="3" xfId="1" applyFill="1" applyBorder="1" applyAlignment="1">
      <alignment horizontal="center" vertical="center" wrapText="1"/>
    </xf>
    <xf numFmtId="0" fontId="5" fillId="2" borderId="4" xfId="1" applyFill="1" applyBorder="1" applyAlignment="1">
      <alignment horizontal="center" vertical="center" wrapText="1"/>
    </xf>
    <xf numFmtId="0" fontId="5" fillId="2" borderId="5" xfId="1" applyFill="1" applyBorder="1" applyAlignment="1">
      <alignment horizontal="center" vertical="center"/>
    </xf>
    <xf numFmtId="0" fontId="5" fillId="2" borderId="8" xfId="1" applyFill="1" applyBorder="1" applyAlignment="1">
      <alignment horizontal="center" vertical="center"/>
    </xf>
    <xf numFmtId="0" fontId="5" fillId="2" borderId="9" xfId="1" applyFill="1" applyBorder="1" applyAlignment="1">
      <alignment horizontal="center" vertical="center"/>
    </xf>
    <xf numFmtId="0" fontId="5" fillId="2" borderId="12" xfId="1" applyFill="1" applyBorder="1" applyAlignment="1">
      <alignment horizontal="center"/>
    </xf>
    <xf numFmtId="0" fontId="5" fillId="2" borderId="13" xfId="1" applyFill="1" applyBorder="1" applyAlignment="1">
      <alignment horizontal="center"/>
    </xf>
    <xf numFmtId="0" fontId="5" fillId="2" borderId="14" xfId="1" applyFill="1" applyBorder="1" applyAlignment="1">
      <alignment horizontal="center"/>
    </xf>
  </cellXfs>
  <cellStyles count="4">
    <cellStyle name="Lien hypertexte" xfId="3" builtinId="8"/>
    <cellStyle name="Normal" xfId="0" builtinId="0"/>
    <cellStyle name="Normal 3" xfId="2" xr:uid="{12D2EE08-E300-49F2-8C0D-29F549DB705A}"/>
    <cellStyle name="Normal_profils" xfId="1" xr:uid="{7FA9DF54-0FFA-4625-B392-A1D5B70BFF62}"/>
  </cellStyles>
  <dxfs count="11">
    <dxf>
      <font>
        <b/>
        <i val="0"/>
        <strike val="0"/>
        <color rgb="FF00B050"/>
      </font>
    </dxf>
    <dxf>
      <font>
        <b/>
        <i val="0"/>
        <strike val="0"/>
        <color rgb="FFFF0000"/>
      </font>
    </dxf>
    <dxf>
      <font>
        <b/>
        <i val="0"/>
        <strike/>
        <color rgb="FFFF0000"/>
      </font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</dxf>
    <dxf>
      <font>
        <b/>
        <i val="0"/>
        <strike/>
        <color rgb="FFFF0000"/>
      </font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</dxf>
    <dxf>
      <font>
        <b/>
        <i val="0"/>
        <strike/>
        <color rgb="FFFF0000"/>
      </font>
    </dxf>
  </dxfs>
  <tableStyles count="0" defaultTableStyle="TableStyleMedium2" defaultPivotStyle="PivotStyleLight16"/>
  <colors>
    <mruColors>
      <color rgb="FFFFF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creativecommons.org/licenses/by-nc-sa/4.0/" TargetMode="Externa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276225</xdr:colOff>
          <xdr:row>6</xdr:row>
          <xdr:rowOff>28575</xdr:rowOff>
        </xdr:from>
        <xdr:to>
          <xdr:col>27</xdr:col>
          <xdr:colOff>123825</xdr:colOff>
          <xdr:row>6</xdr:row>
          <xdr:rowOff>171450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0" tIns="0" rIns="0" bIns="0" anchor="ctr" upright="1"/>
            <a:lstStyle/>
            <a:p>
              <a:pPr algn="ctr" rtl="0">
                <a:defRPr sz="1000"/>
              </a:pPr>
              <a:r>
                <a:rPr lang="fr-FR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142875</xdr:colOff>
          <xdr:row>6</xdr:row>
          <xdr:rowOff>28575</xdr:rowOff>
        </xdr:from>
        <xdr:to>
          <xdr:col>28</xdr:col>
          <xdr:colOff>0</xdr:colOff>
          <xdr:row>6</xdr:row>
          <xdr:rowOff>171450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:a16="http://schemas.microsoft.com/office/drawing/2014/main" id="{00000000-0008-0000-0000-00000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0" tIns="0" rIns="0" bIns="0" anchor="ctr" upright="1"/>
            <a:lstStyle/>
            <a:p>
              <a:pPr algn="ctr" rtl="0">
                <a:defRPr sz="1000"/>
              </a:pPr>
              <a:r>
                <a:rPr lang="fr-FR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76200</xdr:colOff>
          <xdr:row>6</xdr:row>
          <xdr:rowOff>0</xdr:rowOff>
        </xdr:from>
        <xdr:to>
          <xdr:col>15</xdr:col>
          <xdr:colOff>219075</xdr:colOff>
          <xdr:row>6</xdr:row>
          <xdr:rowOff>180975</xdr:rowOff>
        </xdr:to>
        <xdr:sp macro="" textlink="">
          <xdr:nvSpPr>
            <xdr:cNvPr id="13317" name="Button 5" hidden="1">
              <a:extLst>
                <a:ext uri="{63B3BB69-23CF-44E3-9099-C40C66FF867C}">
                  <a14:compatExt spid="_x0000_s13317"/>
                </a:ext>
                <a:ext uri="{FF2B5EF4-FFF2-40B4-BE49-F238E27FC236}">
                  <a16:creationId xmlns:a16="http://schemas.microsoft.com/office/drawing/2014/main" id="{00000000-0008-0000-0000-000005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0" tIns="0" rIns="0" bIns="0" anchor="ctr" upright="1"/>
            <a:lstStyle/>
            <a:p>
              <a:pPr algn="ctr" rtl="0">
                <a:defRPr sz="1000"/>
              </a:pPr>
              <a:r>
                <a:rPr lang="fr-FR" sz="1100" b="1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Redessiner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0</xdr:colOff>
      <xdr:row>4</xdr:row>
      <xdr:rowOff>47625</xdr:rowOff>
    </xdr:from>
    <xdr:to>
      <xdr:col>26</xdr:col>
      <xdr:colOff>266700</xdr:colOff>
      <xdr:row>5</xdr:row>
      <xdr:rowOff>152400</xdr:rowOff>
    </xdr:to>
    <xdr:pic>
      <xdr:nvPicPr>
        <xdr:cNvPr id="3" name="Imag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6550" y="809625"/>
          <a:ext cx="838200" cy="2952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32009</xdr:colOff>
      <xdr:row>9</xdr:row>
      <xdr:rowOff>57149</xdr:rowOff>
    </xdr:from>
    <xdr:to>
      <xdr:col>5</xdr:col>
      <xdr:colOff>0</xdr:colOff>
      <xdr:row>21</xdr:row>
      <xdr:rowOff>182801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666"/>
        <a:stretch/>
      </xdr:blipFill>
      <xdr:spPr bwMode="auto">
        <a:xfrm>
          <a:off x="1851284" y="2295524"/>
          <a:ext cx="1806316" cy="31260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12959</xdr:colOff>
      <xdr:row>34</xdr:row>
      <xdr:rowOff>76199</xdr:rowOff>
    </xdr:from>
    <xdr:ext cx="1806316" cy="3126027"/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666"/>
        <a:stretch/>
      </xdr:blipFill>
      <xdr:spPr bwMode="auto">
        <a:xfrm>
          <a:off x="1832234" y="8553449"/>
          <a:ext cx="1806316" cy="31260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12959</xdr:colOff>
      <xdr:row>57</xdr:row>
      <xdr:rowOff>76199</xdr:rowOff>
    </xdr:from>
    <xdr:ext cx="1806316" cy="3126027"/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666"/>
        <a:stretch/>
      </xdr:blipFill>
      <xdr:spPr bwMode="auto">
        <a:xfrm>
          <a:off x="1832234" y="14316074"/>
          <a:ext cx="1806316" cy="31260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.rique/Documents/00%20-%20Outils%20Caclcul/EN1993_Corniere%20tendue-ds02-07-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rniere"/>
      <sheetName val="Cornières"/>
    </sheetNames>
    <sheetDataSet>
      <sheetData sheetId="0" refreshError="1">
        <row r="7">
          <cell r="Q7">
            <v>1</v>
          </cell>
        </row>
        <row r="9">
          <cell r="Q9">
            <v>1.25</v>
          </cell>
        </row>
        <row r="10">
          <cell r="Q10">
            <v>1.1000000000000001</v>
          </cell>
        </row>
        <row r="11">
          <cell r="Q11">
            <v>1</v>
          </cell>
        </row>
        <row r="15">
          <cell r="J15">
            <v>15</v>
          </cell>
        </row>
        <row r="16">
          <cell r="G16">
            <v>26</v>
          </cell>
        </row>
        <row r="18">
          <cell r="Q18">
            <v>1</v>
          </cell>
        </row>
        <row r="22">
          <cell r="R22">
            <v>8.8000000000000007</v>
          </cell>
          <cell r="S22">
            <v>800</v>
          </cell>
        </row>
        <row r="24">
          <cell r="G24">
            <v>120</v>
          </cell>
        </row>
        <row r="25">
          <cell r="T25">
            <v>12</v>
          </cell>
          <cell r="X25">
            <v>27.54</v>
          </cell>
          <cell r="Y25">
            <v>65</v>
          </cell>
          <cell r="AC25">
            <v>34</v>
          </cell>
        </row>
        <row r="26">
          <cell r="S26">
            <v>275</v>
          </cell>
          <cell r="U26">
            <v>430</v>
          </cell>
        </row>
        <row r="27">
          <cell r="S27">
            <v>355</v>
          </cell>
          <cell r="U27">
            <v>490</v>
          </cell>
        </row>
        <row r="28">
          <cell r="Q28">
            <v>1</v>
          </cell>
        </row>
        <row r="33">
          <cell r="G33">
            <v>5</v>
          </cell>
        </row>
        <row r="39">
          <cell r="N39">
            <v>45</v>
          </cell>
        </row>
        <row r="41">
          <cell r="I41">
            <v>52000</v>
          </cell>
        </row>
        <row r="49">
          <cell r="Q49">
            <v>24</v>
          </cell>
          <cell r="T49">
            <v>352</v>
          </cell>
        </row>
        <row r="101">
          <cell r="U101">
            <v>0.48461538461538467</v>
          </cell>
        </row>
        <row r="102">
          <cell r="U102">
            <v>0.6692307692307693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mments" Target="../comments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creativecommons.org/licenses/by-nc-sa/4.0/" TargetMode="External"/><Relationship Id="rId7" Type="http://schemas.openxmlformats.org/officeDocument/2006/relationships/comments" Target="../comments2.xml"/><Relationship Id="rId2" Type="http://schemas.openxmlformats.org/officeDocument/2006/relationships/hyperlink" Target="http://coursconstructionacier.fr/" TargetMode="External"/><Relationship Id="rId1" Type="http://schemas.openxmlformats.org/officeDocument/2006/relationships/hyperlink" Target="mailto:cours.constructionacier@gmail.com" TargetMode="External"/><Relationship Id="rId6" Type="http://schemas.openxmlformats.org/officeDocument/2006/relationships/vmlDrawing" Target="../drawings/vmlDrawing2.vm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15EDC-4A4D-4F46-9543-4289B50E7FA9}">
  <sheetPr>
    <tabColor rgb="FFFFC000"/>
  </sheetPr>
  <dimension ref="C3:AB36"/>
  <sheetViews>
    <sheetView view="pageBreakPreview" zoomScaleNormal="100" zoomScaleSheetLayoutView="100" workbookViewId="0">
      <selection activeCell="V22" sqref="V22"/>
    </sheetView>
  </sheetViews>
  <sheetFormatPr baseColWidth="10" defaultColWidth="4.28515625" defaultRowHeight="15" x14ac:dyDescent="0.25"/>
  <cols>
    <col min="1" max="1" width="4.28515625" style="240"/>
    <col min="2" max="2" width="1.7109375" style="240" customWidth="1"/>
    <col min="3" max="28" width="4.28515625" style="240"/>
    <col min="29" max="29" width="1.7109375" style="240" customWidth="1"/>
    <col min="30" max="16384" width="4.28515625" style="240"/>
  </cols>
  <sheetData>
    <row r="3" spans="3:28" x14ac:dyDescent="0.25">
      <c r="C3" s="306" t="s">
        <v>617</v>
      </c>
      <c r="I3" s="307" t="s">
        <v>487</v>
      </c>
      <c r="K3" s="407"/>
      <c r="L3" s="408"/>
      <c r="M3" s="408"/>
      <c r="N3" s="408"/>
      <c r="O3" s="408"/>
      <c r="P3" s="408"/>
      <c r="Q3" s="408"/>
      <c r="R3" s="408"/>
      <c r="S3" s="408"/>
      <c r="T3" s="408"/>
      <c r="U3" s="408"/>
      <c r="V3" s="408"/>
      <c r="W3" s="408"/>
      <c r="X3" s="408"/>
      <c r="Y3" s="408"/>
      <c r="Z3" s="408"/>
      <c r="AA3" s="408"/>
      <c r="AB3" s="409"/>
    </row>
    <row r="5" spans="3:28" x14ac:dyDescent="0.25">
      <c r="C5" s="306" t="s">
        <v>618</v>
      </c>
      <c r="I5" s="307" t="s">
        <v>487</v>
      </c>
      <c r="K5" s="410"/>
      <c r="L5" s="411"/>
      <c r="M5" s="411"/>
      <c r="N5" s="411"/>
      <c r="O5" s="411"/>
      <c r="P5" s="411"/>
      <c r="Q5" s="411"/>
      <c r="R5" s="411"/>
      <c r="S5" s="411"/>
      <c r="T5" s="411"/>
      <c r="U5" s="411"/>
      <c r="V5" s="411"/>
      <c r="W5" s="411"/>
      <c r="X5" s="411"/>
      <c r="Y5" s="411"/>
      <c r="Z5" s="411"/>
      <c r="AA5" s="411"/>
      <c r="AB5" s="412"/>
    </row>
    <row r="7" spans="3:28" x14ac:dyDescent="0.25">
      <c r="C7" s="306" t="s">
        <v>619</v>
      </c>
      <c r="AA7" s="308" t="s">
        <v>620</v>
      </c>
    </row>
    <row r="8" spans="3:28" x14ac:dyDescent="0.25">
      <c r="C8" s="309"/>
      <c r="D8" s="310"/>
      <c r="E8" s="310"/>
      <c r="F8" s="310"/>
      <c r="G8" s="310"/>
      <c r="H8" s="310"/>
      <c r="I8" s="310"/>
      <c r="J8" s="310"/>
      <c r="K8" s="310"/>
      <c r="L8" s="310"/>
      <c r="M8" s="310"/>
      <c r="N8" s="310"/>
      <c r="O8" s="310"/>
      <c r="P8" s="310"/>
      <c r="Q8" s="310"/>
      <c r="R8" s="310"/>
      <c r="S8" s="310"/>
      <c r="T8" s="310"/>
      <c r="U8" s="310"/>
      <c r="V8" s="310"/>
      <c r="W8" s="310"/>
      <c r="X8" s="310"/>
      <c r="Y8" s="310"/>
      <c r="Z8" s="311"/>
      <c r="AA8" s="310"/>
      <c r="AB8" s="312"/>
    </row>
    <row r="9" spans="3:28" x14ac:dyDescent="0.25">
      <c r="C9" s="313"/>
      <c r="Z9" s="314"/>
      <c r="AB9" s="315"/>
    </row>
    <row r="10" spans="3:28" x14ac:dyDescent="0.25">
      <c r="C10" s="313"/>
      <c r="AB10" s="315"/>
    </row>
    <row r="11" spans="3:28" x14ac:dyDescent="0.25">
      <c r="C11" s="313"/>
      <c r="AB11" s="315"/>
    </row>
    <row r="12" spans="3:28" x14ac:dyDescent="0.25">
      <c r="C12" s="313"/>
      <c r="AB12" s="315"/>
    </row>
    <row r="13" spans="3:28" x14ac:dyDescent="0.25">
      <c r="C13" s="313"/>
      <c r="AB13" s="315"/>
    </row>
    <row r="14" spans="3:28" x14ac:dyDescent="0.25">
      <c r="C14" s="313"/>
      <c r="AB14" s="315"/>
    </row>
    <row r="15" spans="3:28" x14ac:dyDescent="0.25">
      <c r="C15" s="313"/>
      <c r="AB15" s="315"/>
    </row>
    <row r="16" spans="3:28" x14ac:dyDescent="0.25">
      <c r="C16" s="313"/>
      <c r="AB16" s="315"/>
    </row>
    <row r="17" spans="3:28" x14ac:dyDescent="0.25">
      <c r="C17" s="313"/>
      <c r="AB17" s="315"/>
    </row>
    <row r="18" spans="3:28" x14ac:dyDescent="0.25">
      <c r="C18" s="313"/>
      <c r="AB18" s="315"/>
    </row>
    <row r="19" spans="3:28" x14ac:dyDescent="0.25">
      <c r="C19" s="313"/>
      <c r="AB19" s="315"/>
    </row>
    <row r="20" spans="3:28" x14ac:dyDescent="0.25">
      <c r="C20" s="313"/>
      <c r="AB20" s="315"/>
    </row>
    <row r="21" spans="3:28" x14ac:dyDescent="0.25">
      <c r="C21" s="313"/>
      <c r="AB21" s="315"/>
    </row>
    <row r="22" spans="3:28" x14ac:dyDescent="0.25">
      <c r="C22" s="313"/>
      <c r="AB22" s="315"/>
    </row>
    <row r="23" spans="3:28" x14ac:dyDescent="0.25">
      <c r="C23" s="313"/>
      <c r="AB23" s="315"/>
    </row>
    <row r="24" spans="3:28" x14ac:dyDescent="0.25">
      <c r="C24" s="313"/>
      <c r="AB24" s="315"/>
    </row>
    <row r="25" spans="3:28" x14ac:dyDescent="0.25">
      <c r="C25" s="313"/>
      <c r="AB25" s="315"/>
    </row>
    <row r="26" spans="3:28" x14ac:dyDescent="0.25">
      <c r="C26" s="313"/>
      <c r="AB26" s="315"/>
    </row>
    <row r="27" spans="3:28" x14ac:dyDescent="0.25">
      <c r="C27" s="313"/>
      <c r="AB27" s="315"/>
    </row>
    <row r="28" spans="3:28" x14ac:dyDescent="0.25">
      <c r="C28" s="313"/>
      <c r="AB28" s="315"/>
    </row>
    <row r="29" spans="3:28" x14ac:dyDescent="0.25">
      <c r="C29" s="316"/>
      <c r="D29" s="317"/>
      <c r="E29" s="317"/>
      <c r="F29" s="317"/>
      <c r="G29" s="317"/>
      <c r="H29" s="317"/>
      <c r="I29" s="317"/>
      <c r="J29" s="317"/>
      <c r="K29" s="317"/>
      <c r="L29" s="317"/>
      <c r="M29" s="317"/>
      <c r="N29" s="317"/>
      <c r="O29" s="317"/>
      <c r="P29" s="317"/>
      <c r="Q29" s="317"/>
      <c r="R29" s="317"/>
      <c r="S29" s="317"/>
      <c r="T29" s="317"/>
      <c r="U29" s="317"/>
      <c r="V29" s="317"/>
      <c r="W29" s="317"/>
      <c r="X29" s="317"/>
      <c r="Y29" s="317"/>
      <c r="Z29" s="317"/>
      <c r="AA29" s="317"/>
      <c r="AB29" s="318"/>
    </row>
    <row r="30" spans="3:28" x14ac:dyDescent="0.25">
      <c r="C30" s="319" t="s">
        <v>621</v>
      </c>
      <c r="D30" s="320"/>
      <c r="E30" s="320"/>
      <c r="F30" s="320"/>
      <c r="G30" s="320"/>
      <c r="H30" s="320"/>
      <c r="I30" s="320"/>
      <c r="J30" s="320"/>
      <c r="K30" s="320"/>
      <c r="L30" s="320"/>
      <c r="M30" s="320"/>
      <c r="N30" s="320"/>
      <c r="O30" s="320"/>
      <c r="P30" s="320"/>
      <c r="Q30" s="320"/>
      <c r="R30" s="320"/>
      <c r="S30" s="320"/>
      <c r="T30" s="320"/>
      <c r="U30" s="320"/>
      <c r="V30" s="320"/>
      <c r="W30" s="320"/>
      <c r="X30" s="320"/>
      <c r="Y30" s="320"/>
      <c r="Z30" s="320"/>
      <c r="AA30" s="320"/>
      <c r="AB30" s="320"/>
    </row>
    <row r="36" spans="3:28" x14ac:dyDescent="0.25">
      <c r="C36" s="319" t="s">
        <v>622</v>
      </c>
      <c r="D36" s="320"/>
      <c r="E36" s="320"/>
      <c r="F36" s="320"/>
      <c r="G36" s="320"/>
      <c r="H36" s="320"/>
      <c r="I36" s="320"/>
      <c r="J36" s="320"/>
      <c r="K36" s="320"/>
      <c r="L36" s="320"/>
      <c r="M36" s="320"/>
      <c r="N36" s="320"/>
      <c r="O36" s="320"/>
      <c r="P36" s="320"/>
      <c r="Q36" s="320"/>
      <c r="R36" s="320"/>
      <c r="S36" s="320"/>
      <c r="T36" s="320"/>
      <c r="U36" s="320"/>
      <c r="V36" s="320"/>
      <c r="W36" s="320"/>
      <c r="X36" s="320"/>
      <c r="Y36" s="320"/>
      <c r="Z36" s="320"/>
      <c r="AA36" s="320"/>
      <c r="AB36" s="320"/>
    </row>
  </sheetData>
  <mergeCells count="2">
    <mergeCell ref="K3:AB3"/>
    <mergeCell ref="K5:AB5"/>
  </mergeCells>
  <pageMargins left="0.7" right="0.7" top="0.75" bottom="0.75" header="0.3" footer="0.3"/>
  <pageSetup paperSize="9" scale="77" orientation="portrait" horizontalDpi="4294967292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Button 1">
              <controlPr defaultSize="0" print="0" autoFill="0" autoPict="0">
                <anchor moveWithCells="1">
                  <from>
                    <xdr:col>26</xdr:col>
                    <xdr:colOff>276225</xdr:colOff>
                    <xdr:row>6</xdr:row>
                    <xdr:rowOff>28575</xdr:rowOff>
                  </from>
                  <to>
                    <xdr:col>27</xdr:col>
                    <xdr:colOff>123825</xdr:colOff>
                    <xdr:row>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5" name="Button 2">
              <controlPr defaultSize="0" print="0" autoFill="0" autoPict="0">
                <anchor moveWithCells="1">
                  <from>
                    <xdr:col>27</xdr:col>
                    <xdr:colOff>142875</xdr:colOff>
                    <xdr:row>6</xdr:row>
                    <xdr:rowOff>28575</xdr:rowOff>
                  </from>
                  <to>
                    <xdr:col>28</xdr:col>
                    <xdr:colOff>0</xdr:colOff>
                    <xdr:row>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7" r:id="rId6" name="Button 5">
              <controlPr defaultSize="0" print="0" autoFill="0" autoPict="0">
                <anchor moveWithCells="1">
                  <from>
                    <xdr:col>13</xdr:col>
                    <xdr:colOff>76200</xdr:colOff>
                    <xdr:row>6</xdr:row>
                    <xdr:rowOff>0</xdr:rowOff>
                  </from>
                  <to>
                    <xdr:col>15</xdr:col>
                    <xdr:colOff>219075</xdr:colOff>
                    <xdr:row>6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938D2-E0A0-4B73-B27F-878D309AC4CE}">
  <sheetPr>
    <tabColor rgb="FF0070C0"/>
  </sheetPr>
  <dimension ref="A1"/>
  <sheetViews>
    <sheetView view="pageBreakPreview" zoomScale="85" zoomScaleNormal="100" zoomScaleSheetLayoutView="85" workbookViewId="0">
      <selection activeCell="V22" sqref="V22"/>
    </sheetView>
  </sheetViews>
  <sheetFormatPr baseColWidth="10" defaultColWidth="4.28515625" defaultRowHeight="15" x14ac:dyDescent="0.25"/>
  <cols>
    <col min="1" max="1" width="4.28515625" style="240"/>
    <col min="2" max="2" width="1.7109375" style="240" customWidth="1"/>
    <col min="3" max="28" width="4.28515625" style="240"/>
    <col min="29" max="29" width="1.7109375" style="240" customWidth="1"/>
    <col min="30" max="16384" width="4.28515625" style="240"/>
  </cols>
  <sheetData/>
  <pageMargins left="0.7" right="0.7" top="0.75" bottom="0.75" header="0.3" footer="0.3"/>
  <pageSetup paperSize="9" scale="77" orientation="portrait" horizontalDpi="4294967292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B8E33-E981-4668-BD1B-DA79CB2C3A8C}">
  <sheetPr>
    <tabColor rgb="FF0070C0"/>
  </sheetPr>
  <dimension ref="A1"/>
  <sheetViews>
    <sheetView view="pageBreakPreview" zoomScale="85" zoomScaleNormal="100" zoomScaleSheetLayoutView="85" workbookViewId="0">
      <selection activeCell="V22" sqref="V22"/>
    </sheetView>
  </sheetViews>
  <sheetFormatPr baseColWidth="10" defaultColWidth="4.28515625" defaultRowHeight="15" x14ac:dyDescent="0.25"/>
  <cols>
    <col min="1" max="1" width="4.28515625" style="240"/>
    <col min="2" max="2" width="1.7109375" style="240" customWidth="1"/>
    <col min="3" max="28" width="4.28515625" style="240"/>
    <col min="29" max="29" width="1.7109375" style="240" customWidth="1"/>
    <col min="30" max="16384" width="4.28515625" style="240"/>
  </cols>
  <sheetData/>
  <pageMargins left="0.7" right="0.7" top="0.75" bottom="0.75" header="0.3" footer="0.3"/>
  <pageSetup paperSize="9" scale="77" orientation="portrait" horizontalDpi="4294967292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5FEF3-B5F3-4548-9280-64B745BCE359}">
  <sheetPr>
    <tabColor rgb="FF92D050"/>
  </sheetPr>
  <dimension ref="D3:AA59"/>
  <sheetViews>
    <sheetView tabSelected="1" zoomScaleNormal="100" zoomScaleSheetLayoutView="100" workbookViewId="0">
      <selection activeCell="D3" sqref="D3:AA4"/>
    </sheetView>
  </sheetViews>
  <sheetFormatPr baseColWidth="10" defaultColWidth="4.28515625" defaultRowHeight="15" x14ac:dyDescent="0.25"/>
  <cols>
    <col min="1" max="1" width="4.28515625" style="240"/>
    <col min="2" max="2" width="1.7109375" style="240" customWidth="1"/>
    <col min="3" max="28" width="4.28515625" style="240"/>
    <col min="29" max="29" width="1.7109375" style="240" customWidth="1"/>
    <col min="30" max="16384" width="4.28515625" style="240"/>
  </cols>
  <sheetData>
    <row r="3" spans="4:27" x14ac:dyDescent="0.25">
      <c r="D3" s="414" t="s">
        <v>628</v>
      </c>
      <c r="E3" s="415"/>
      <c r="F3" s="415"/>
      <c r="G3" s="415"/>
      <c r="H3" s="415"/>
      <c r="I3" s="415"/>
      <c r="J3" s="415"/>
      <c r="K3" s="415"/>
      <c r="L3" s="415"/>
      <c r="M3" s="415"/>
      <c r="N3" s="415"/>
      <c r="O3" s="415"/>
      <c r="P3" s="415"/>
      <c r="Q3" s="415"/>
      <c r="R3" s="415"/>
      <c r="S3" s="415"/>
      <c r="T3" s="415"/>
      <c r="U3" s="415"/>
      <c r="V3" s="415"/>
      <c r="W3" s="415"/>
      <c r="X3" s="415"/>
      <c r="Y3" s="415"/>
      <c r="Z3" s="415"/>
      <c r="AA3" s="416"/>
    </row>
    <row r="4" spans="4:27" x14ac:dyDescent="0.25">
      <c r="D4" s="417"/>
      <c r="E4" s="418"/>
      <c r="F4" s="418"/>
      <c r="G4" s="418"/>
      <c r="H4" s="418"/>
      <c r="I4" s="418"/>
      <c r="J4" s="418"/>
      <c r="K4" s="418"/>
      <c r="L4" s="418"/>
      <c r="M4" s="418"/>
      <c r="N4" s="418"/>
      <c r="O4" s="418"/>
      <c r="P4" s="418"/>
      <c r="Q4" s="418"/>
      <c r="R4" s="418"/>
      <c r="S4" s="418"/>
      <c r="T4" s="418"/>
      <c r="U4" s="418"/>
      <c r="V4" s="418"/>
      <c r="W4" s="418"/>
      <c r="X4" s="418"/>
      <c r="Y4" s="418"/>
      <c r="Z4" s="418"/>
      <c r="AA4" s="419"/>
    </row>
    <row r="6" spans="4:27" ht="15.75" thickBot="1" x14ac:dyDescent="0.3">
      <c r="D6" s="291" t="s">
        <v>482</v>
      </c>
      <c r="E6" s="292"/>
      <c r="F6" s="292"/>
      <c r="G6" s="292"/>
      <c r="H6" s="292"/>
      <c r="I6" s="292"/>
      <c r="J6" s="292"/>
      <c r="K6" s="292"/>
      <c r="L6" s="292"/>
      <c r="M6" s="292"/>
      <c r="N6" s="292"/>
      <c r="O6" s="292"/>
      <c r="P6" s="292"/>
      <c r="Q6" s="292"/>
      <c r="R6" s="292"/>
      <c r="S6" s="292"/>
      <c r="T6" s="292"/>
      <c r="U6" s="292"/>
      <c r="V6" s="292"/>
      <c r="W6" s="292"/>
      <c r="X6" s="292"/>
      <c r="Y6" s="292"/>
      <c r="Z6" s="292"/>
      <c r="AA6" s="292"/>
    </row>
    <row r="7" spans="4:27" x14ac:dyDescent="0.25">
      <c r="D7" s="426" t="s">
        <v>512</v>
      </c>
      <c r="E7" s="426"/>
      <c r="F7" s="426"/>
      <c r="G7" s="426"/>
      <c r="H7" s="426"/>
      <c r="I7" s="426"/>
      <c r="J7" s="426"/>
      <c r="K7" s="426"/>
      <c r="L7" s="426"/>
      <c r="M7" s="426"/>
      <c r="N7" s="426"/>
      <c r="O7" s="426"/>
      <c r="P7" s="426"/>
      <c r="Q7" s="426"/>
      <c r="R7" s="426"/>
      <c r="S7" s="426"/>
      <c r="T7" s="426"/>
      <c r="U7" s="426"/>
      <c r="V7" s="426"/>
      <c r="W7" s="426"/>
      <c r="X7" s="426"/>
      <c r="Y7" s="426"/>
      <c r="Z7" s="426"/>
      <c r="AA7" s="426"/>
    </row>
    <row r="8" spans="4:27" x14ac:dyDescent="0.25">
      <c r="D8" s="427"/>
      <c r="E8" s="427"/>
      <c r="F8" s="427"/>
      <c r="G8" s="427"/>
      <c r="H8" s="427"/>
      <c r="I8" s="427"/>
      <c r="J8" s="427"/>
      <c r="K8" s="427"/>
      <c r="L8" s="427"/>
      <c r="M8" s="427"/>
      <c r="N8" s="427"/>
      <c r="O8" s="427"/>
      <c r="P8" s="427"/>
      <c r="Q8" s="427"/>
      <c r="R8" s="427"/>
      <c r="S8" s="427"/>
      <c r="T8" s="427"/>
      <c r="U8" s="427"/>
      <c r="V8" s="427"/>
      <c r="W8" s="427"/>
      <c r="X8" s="427"/>
      <c r="Y8" s="427"/>
      <c r="Z8" s="427"/>
      <c r="AA8" s="427"/>
    </row>
    <row r="9" spans="4:27" x14ac:dyDescent="0.25">
      <c r="D9" s="427"/>
      <c r="E9" s="427"/>
      <c r="F9" s="427"/>
      <c r="G9" s="427"/>
      <c r="H9" s="427"/>
      <c r="I9" s="427"/>
      <c r="J9" s="427"/>
      <c r="K9" s="427"/>
      <c r="L9" s="427"/>
      <c r="M9" s="427"/>
      <c r="N9" s="427"/>
      <c r="O9" s="427"/>
      <c r="P9" s="427"/>
      <c r="Q9" s="427"/>
      <c r="R9" s="427"/>
      <c r="S9" s="427"/>
      <c r="T9" s="427"/>
      <c r="U9" s="427"/>
      <c r="V9" s="427"/>
      <c r="W9" s="427"/>
      <c r="X9" s="427"/>
      <c r="Y9" s="427"/>
      <c r="Z9" s="427"/>
      <c r="AA9" s="427"/>
    </row>
    <row r="10" spans="4:27" s="337" customFormat="1" x14ac:dyDescent="0.25">
      <c r="D10" s="337" t="s">
        <v>629</v>
      </c>
      <c r="L10" s="434" t="s">
        <v>634</v>
      </c>
      <c r="M10" s="434"/>
      <c r="N10" s="434"/>
      <c r="O10" s="434"/>
      <c r="P10" s="434"/>
      <c r="Q10" s="434"/>
      <c r="R10" s="434"/>
      <c r="S10" s="406" t="s">
        <v>639</v>
      </c>
      <c r="W10" s="435" t="s">
        <v>640</v>
      </c>
      <c r="X10" s="435"/>
      <c r="Y10" s="435"/>
      <c r="Z10" s="435"/>
      <c r="AA10" s="435"/>
    </row>
    <row r="11" spans="4:27" s="337" customFormat="1" x14ac:dyDescent="0.25">
      <c r="D11" s="337" t="s">
        <v>631</v>
      </c>
      <c r="J11" s="405" t="s">
        <v>632</v>
      </c>
      <c r="R11" s="337" t="s">
        <v>633</v>
      </c>
    </row>
    <row r="13" spans="4:27" ht="15" customHeight="1" thickBot="1" x14ac:dyDescent="0.3">
      <c r="D13" s="291" t="s">
        <v>483</v>
      </c>
      <c r="E13" s="292"/>
      <c r="F13" s="292"/>
      <c r="G13" s="292"/>
      <c r="H13" s="292"/>
      <c r="I13" s="292"/>
      <c r="J13" s="292"/>
      <c r="K13" s="292"/>
      <c r="L13" s="292"/>
      <c r="M13" s="292"/>
      <c r="N13" s="292"/>
      <c r="O13" s="292"/>
      <c r="P13" s="292"/>
      <c r="Q13" s="292"/>
      <c r="R13" s="292"/>
      <c r="S13" s="292"/>
      <c r="T13" s="292"/>
      <c r="U13" s="292"/>
      <c r="V13" s="292"/>
      <c r="W13" s="292"/>
      <c r="X13" s="292"/>
      <c r="Y13" s="292"/>
      <c r="Z13" s="292"/>
      <c r="AA13" s="292"/>
    </row>
    <row r="14" spans="4:27" x14ac:dyDescent="0.25">
      <c r="D14" s="426" t="s">
        <v>630</v>
      </c>
      <c r="E14" s="426"/>
      <c r="F14" s="426"/>
      <c r="G14" s="426"/>
      <c r="H14" s="426"/>
      <c r="I14" s="426"/>
      <c r="J14" s="426"/>
      <c r="K14" s="426"/>
      <c r="L14" s="426"/>
      <c r="M14" s="426"/>
      <c r="N14" s="426"/>
      <c r="O14" s="426"/>
      <c r="P14" s="426"/>
      <c r="Q14" s="426"/>
      <c r="R14" s="426"/>
      <c r="S14" s="426"/>
      <c r="T14" s="426"/>
      <c r="U14" s="426"/>
      <c r="V14" s="426"/>
      <c r="W14" s="426"/>
      <c r="X14" s="426"/>
      <c r="Y14" s="426"/>
      <c r="Z14" s="426"/>
      <c r="AA14" s="426"/>
    </row>
    <row r="15" spans="4:27" x14ac:dyDescent="0.25">
      <c r="D15" s="427"/>
      <c r="E15" s="427"/>
      <c r="F15" s="427"/>
      <c r="G15" s="427"/>
      <c r="H15" s="427"/>
      <c r="I15" s="427"/>
      <c r="J15" s="427"/>
      <c r="K15" s="427"/>
      <c r="L15" s="427"/>
      <c r="M15" s="427"/>
      <c r="N15" s="427"/>
      <c r="O15" s="427"/>
      <c r="P15" s="427"/>
      <c r="Q15" s="427"/>
      <c r="R15" s="427"/>
      <c r="S15" s="427"/>
      <c r="T15" s="427"/>
      <c r="U15" s="427"/>
      <c r="V15" s="427"/>
      <c r="W15" s="427"/>
      <c r="X15" s="427"/>
      <c r="Y15" s="427"/>
      <c r="Z15" s="427"/>
      <c r="AA15" s="427"/>
    </row>
    <row r="16" spans="4:27" ht="15" customHeight="1" x14ac:dyDescent="0.25">
      <c r="D16" s="427"/>
      <c r="E16" s="427"/>
      <c r="F16" s="427"/>
      <c r="G16" s="427"/>
      <c r="H16" s="427"/>
      <c r="I16" s="427"/>
      <c r="J16" s="427"/>
      <c r="K16" s="427"/>
      <c r="L16" s="427"/>
      <c r="M16" s="427"/>
      <c r="N16" s="427"/>
      <c r="O16" s="427"/>
      <c r="P16" s="427"/>
      <c r="Q16" s="427"/>
      <c r="R16" s="427"/>
      <c r="S16" s="427"/>
      <c r="T16" s="427"/>
      <c r="U16" s="427"/>
      <c r="V16" s="427"/>
      <c r="W16" s="427"/>
      <c r="X16" s="427"/>
      <c r="Y16" s="427"/>
      <c r="Z16" s="427"/>
      <c r="AA16" s="427"/>
    </row>
    <row r="18" spans="4:27" ht="15.75" thickBot="1" x14ac:dyDescent="0.3">
      <c r="D18" s="291" t="s">
        <v>485</v>
      </c>
      <c r="E18" s="292"/>
      <c r="F18" s="292"/>
      <c r="G18" s="292"/>
      <c r="H18" s="292"/>
      <c r="I18" s="292"/>
      <c r="J18" s="292"/>
      <c r="K18" s="292"/>
      <c r="L18" s="292"/>
      <c r="M18" s="292"/>
      <c r="N18" s="292"/>
      <c r="O18" s="292"/>
      <c r="P18" s="292"/>
      <c r="Q18" s="292"/>
      <c r="R18" s="292"/>
      <c r="S18" s="292"/>
      <c r="T18" s="292"/>
      <c r="U18" s="292"/>
      <c r="V18" s="292"/>
      <c r="W18" s="292"/>
      <c r="X18" s="292"/>
      <c r="Y18" s="292"/>
      <c r="Z18" s="292"/>
      <c r="AA18" s="292"/>
    </row>
    <row r="19" spans="4:27" x14ac:dyDescent="0.25">
      <c r="D19" s="336" t="s">
        <v>624</v>
      </c>
      <c r="E19" s="336"/>
      <c r="F19" s="336"/>
      <c r="G19" s="336"/>
      <c r="H19" s="336"/>
      <c r="I19" s="336"/>
      <c r="J19" s="336"/>
      <c r="K19" s="336"/>
      <c r="L19" s="336"/>
      <c r="M19" s="336"/>
      <c r="N19" s="336"/>
      <c r="O19" s="336"/>
      <c r="P19" s="336"/>
      <c r="Q19" s="336"/>
      <c r="R19" s="336"/>
      <c r="S19" s="336"/>
      <c r="T19" s="336"/>
      <c r="U19" s="336"/>
      <c r="V19" s="336"/>
      <c r="W19" s="336"/>
      <c r="X19" s="336"/>
      <c r="Y19" s="336"/>
      <c r="Z19" s="336"/>
      <c r="AA19" s="336"/>
    </row>
    <row r="20" spans="4:27" x14ac:dyDescent="0.25">
      <c r="E20" s="240" t="s">
        <v>625</v>
      </c>
      <c r="F20" s="335"/>
      <c r="G20" s="335"/>
      <c r="H20" s="335"/>
      <c r="I20" s="335"/>
      <c r="J20" s="335"/>
      <c r="K20" s="335"/>
      <c r="L20" s="335"/>
      <c r="M20" s="335"/>
      <c r="N20" s="335"/>
      <c r="O20" s="335"/>
      <c r="P20" s="335"/>
      <c r="Q20" s="335"/>
      <c r="R20" s="335"/>
      <c r="S20" s="335"/>
      <c r="T20" s="335"/>
      <c r="U20" s="335"/>
      <c r="V20" s="335"/>
      <c r="W20" s="335"/>
      <c r="X20" s="335"/>
      <c r="Y20" s="335"/>
      <c r="Z20" s="335"/>
      <c r="AA20" s="335"/>
    </row>
    <row r="21" spans="4:27" x14ac:dyDescent="0.25">
      <c r="D21" s="337" t="s">
        <v>626</v>
      </c>
      <c r="E21" s="337"/>
      <c r="F21" s="337"/>
      <c r="G21" s="337"/>
      <c r="H21" s="337"/>
      <c r="I21" s="337"/>
      <c r="J21" s="337"/>
      <c r="K21" s="337"/>
      <c r="L21" s="337"/>
      <c r="M21" s="337"/>
      <c r="N21" s="337"/>
      <c r="O21" s="337"/>
      <c r="P21" s="337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</row>
    <row r="22" spans="4:27" x14ac:dyDescent="0.25">
      <c r="D22" s="337"/>
      <c r="E22" s="337" t="s">
        <v>627</v>
      </c>
      <c r="F22" s="337"/>
      <c r="G22" s="337"/>
      <c r="H22" s="337"/>
      <c r="I22" s="337"/>
      <c r="J22" s="337"/>
      <c r="K22" s="337"/>
      <c r="L22" s="337"/>
      <c r="M22" s="337"/>
      <c r="N22" s="337"/>
      <c r="O22" s="337"/>
      <c r="P22" s="337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</row>
    <row r="24" spans="4:27" ht="15.75" thickBot="1" x14ac:dyDescent="0.3">
      <c r="D24" s="291" t="s">
        <v>484</v>
      </c>
      <c r="E24" s="292"/>
      <c r="F24" s="292"/>
      <c r="G24" s="292"/>
      <c r="H24" s="292"/>
      <c r="I24" s="292"/>
      <c r="J24" s="292"/>
      <c r="K24" s="292"/>
      <c r="L24" s="292"/>
      <c r="M24" s="292"/>
      <c r="N24" s="292"/>
      <c r="O24" s="292"/>
      <c r="P24" s="292"/>
      <c r="Q24" s="292"/>
      <c r="R24" s="292"/>
      <c r="S24" s="292"/>
      <c r="T24" s="292"/>
      <c r="U24" s="292"/>
      <c r="V24" s="292"/>
      <c r="W24" s="292"/>
      <c r="X24" s="292"/>
      <c r="Y24" s="292"/>
      <c r="Z24" s="292"/>
      <c r="AA24" s="292"/>
    </row>
    <row r="26" spans="4:27" x14ac:dyDescent="0.25">
      <c r="E26" s="240" t="s">
        <v>486</v>
      </c>
      <c r="X26" s="423"/>
      <c r="Y26" s="424"/>
      <c r="Z26" s="425"/>
    </row>
    <row r="28" spans="4:27" x14ac:dyDescent="0.25">
      <c r="E28" s="240" t="s">
        <v>488</v>
      </c>
      <c r="X28" s="420" t="s">
        <v>487</v>
      </c>
      <c r="Y28" s="421"/>
      <c r="Z28" s="422"/>
    </row>
    <row r="30" spans="4:27" x14ac:dyDescent="0.25">
      <c r="E30" s="240" t="s">
        <v>623</v>
      </c>
      <c r="X30" s="431"/>
      <c r="Y30" s="432"/>
      <c r="Z30" s="433"/>
    </row>
    <row r="32" spans="4:27" ht="15.75" thickBot="1" x14ac:dyDescent="0.3">
      <c r="D32" s="291" t="s">
        <v>489</v>
      </c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</row>
    <row r="34" spans="4:27" ht="15.75" x14ac:dyDescent="0.25">
      <c r="E34" s="428" t="s">
        <v>507</v>
      </c>
      <c r="F34" s="429"/>
      <c r="G34" s="429"/>
      <c r="H34" s="429"/>
      <c r="I34" s="429"/>
      <c r="J34" s="429"/>
      <c r="K34" s="429"/>
      <c r="L34" s="429"/>
      <c r="M34" s="429"/>
      <c r="N34" s="429"/>
      <c r="O34" s="429"/>
      <c r="P34" s="429"/>
      <c r="Q34" s="429"/>
      <c r="R34" s="429"/>
      <c r="S34" s="429"/>
      <c r="T34" s="429"/>
      <c r="U34" s="429"/>
      <c r="V34" s="429"/>
      <c r="W34" s="429"/>
      <c r="X34" s="429"/>
      <c r="Y34" s="429"/>
      <c r="Z34" s="430"/>
    </row>
    <row r="35" spans="4:27" x14ac:dyDescent="0.25">
      <c r="E35" s="413" t="s">
        <v>494</v>
      </c>
      <c r="F35" s="413"/>
      <c r="G35" s="413"/>
      <c r="I35" s="413" t="s">
        <v>497</v>
      </c>
      <c r="J35" s="413"/>
      <c r="K35" s="413"/>
      <c r="L35" s="413"/>
      <c r="M35" s="413"/>
      <c r="O35" s="413" t="s">
        <v>495</v>
      </c>
      <c r="P35" s="413"/>
      <c r="Q35" s="413"/>
      <c r="R35" s="413"/>
      <c r="T35" s="452" t="s">
        <v>496</v>
      </c>
      <c r="U35" s="452"/>
      <c r="V35" s="452"/>
      <c r="W35" s="452"/>
      <c r="Y35" s="413" t="s">
        <v>505</v>
      </c>
      <c r="Z35" s="413"/>
    </row>
    <row r="36" spans="4:27" x14ac:dyDescent="0.25">
      <c r="E36" s="453" t="s">
        <v>490</v>
      </c>
      <c r="F36" s="454"/>
      <c r="G36" s="455"/>
      <c r="I36" s="456" t="s">
        <v>491</v>
      </c>
      <c r="J36" s="457"/>
      <c r="K36" s="457"/>
      <c r="L36" s="457"/>
      <c r="M36" s="458"/>
      <c r="O36" s="459" t="s">
        <v>492</v>
      </c>
      <c r="P36" s="460"/>
      <c r="Q36" s="460"/>
      <c r="R36" s="461"/>
      <c r="T36" s="459" t="s">
        <v>493</v>
      </c>
      <c r="U36" s="460"/>
      <c r="V36" s="460"/>
      <c r="W36" s="461"/>
      <c r="Y36" s="462" t="s">
        <v>205</v>
      </c>
      <c r="Z36" s="463"/>
    </row>
    <row r="38" spans="4:27" ht="15.75" x14ac:dyDescent="0.25">
      <c r="E38" s="441" t="s">
        <v>498</v>
      </c>
      <c r="F38" s="441"/>
      <c r="G38" s="441"/>
      <c r="H38" s="441"/>
      <c r="I38" s="441"/>
      <c r="J38" s="441"/>
      <c r="K38" s="441"/>
      <c r="L38" s="441"/>
      <c r="M38" s="441"/>
      <c r="N38" s="441"/>
      <c r="O38" s="441"/>
      <c r="P38" s="441"/>
      <c r="Q38" s="441"/>
      <c r="R38" s="441"/>
      <c r="S38" s="441"/>
      <c r="T38" s="441"/>
      <c r="U38" s="441"/>
      <c r="V38" s="441"/>
      <c r="W38" s="441"/>
      <c r="X38" s="441"/>
      <c r="Y38" s="441"/>
    </row>
    <row r="39" spans="4:27" x14ac:dyDescent="0.25">
      <c r="E39" s="413" t="s">
        <v>506</v>
      </c>
      <c r="F39" s="413"/>
      <c r="H39" s="413" t="s">
        <v>514</v>
      </c>
      <c r="I39" s="413"/>
      <c r="K39" s="413" t="s">
        <v>515</v>
      </c>
      <c r="L39" s="413"/>
      <c r="M39" s="413"/>
      <c r="O39" s="413" t="s">
        <v>516</v>
      </c>
      <c r="P39" s="413"/>
      <c r="Q39" s="413"/>
      <c r="S39" s="413" t="s">
        <v>517</v>
      </c>
      <c r="T39" s="413"/>
      <c r="U39" s="413"/>
      <c r="W39" s="413" t="s">
        <v>518</v>
      </c>
      <c r="X39" s="413"/>
      <c r="Y39" s="413"/>
    </row>
    <row r="40" spans="4:27" x14ac:dyDescent="0.25">
      <c r="E40" s="436" t="s">
        <v>499</v>
      </c>
      <c r="F40" s="437"/>
      <c r="H40" s="438" t="s">
        <v>500</v>
      </c>
      <c r="I40" s="439"/>
      <c r="K40" s="438" t="s">
        <v>501</v>
      </c>
      <c r="L40" s="440"/>
      <c r="M40" s="439"/>
      <c r="O40" s="438" t="s">
        <v>502</v>
      </c>
      <c r="P40" s="440"/>
      <c r="Q40" s="439"/>
      <c r="S40" s="438" t="s">
        <v>503</v>
      </c>
      <c r="T40" s="440"/>
      <c r="U40" s="439"/>
      <c r="W40" s="438" t="s">
        <v>504</v>
      </c>
      <c r="X40" s="440"/>
      <c r="Y40" s="439"/>
    </row>
    <row r="42" spans="4:27" ht="15.75" thickBot="1" x14ac:dyDescent="0.3">
      <c r="D42" s="291" t="s">
        <v>508</v>
      </c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</row>
    <row r="44" spans="4:27" x14ac:dyDescent="0.25">
      <c r="D44" s="445" t="s">
        <v>509</v>
      </c>
      <c r="E44" s="442"/>
      <c r="F44" s="442"/>
      <c r="G44" s="442" t="s">
        <v>510</v>
      </c>
      <c r="H44" s="442"/>
      <c r="I44" s="442"/>
      <c r="J44" s="442" t="s">
        <v>511</v>
      </c>
      <c r="K44" s="442"/>
      <c r="L44" s="442"/>
      <c r="M44" s="442"/>
      <c r="N44" s="442"/>
      <c r="O44" s="442"/>
      <c r="P44" s="442"/>
      <c r="Q44" s="442"/>
      <c r="R44" s="442"/>
      <c r="S44" s="442"/>
      <c r="T44" s="442"/>
      <c r="U44" s="442"/>
      <c r="V44" s="442"/>
      <c r="W44" s="442"/>
      <c r="X44" s="442"/>
      <c r="Y44" s="442"/>
      <c r="Z44" s="442"/>
      <c r="AA44" s="448"/>
    </row>
    <row r="45" spans="4:27" x14ac:dyDescent="0.25">
      <c r="D45" s="446" t="s">
        <v>513</v>
      </c>
      <c r="E45" s="447"/>
      <c r="F45" s="447"/>
      <c r="G45" s="443" t="s">
        <v>636</v>
      </c>
      <c r="H45" s="444"/>
      <c r="I45" s="444"/>
      <c r="J45" s="449" t="s">
        <v>635</v>
      </c>
      <c r="K45" s="449"/>
      <c r="L45" s="449"/>
      <c r="M45" s="449"/>
      <c r="N45" s="449"/>
      <c r="O45" s="449"/>
      <c r="P45" s="449"/>
      <c r="Q45" s="449"/>
      <c r="R45" s="449"/>
      <c r="S45" s="449"/>
      <c r="T45" s="449"/>
      <c r="U45" s="449"/>
      <c r="V45" s="449"/>
      <c r="W45" s="449"/>
      <c r="X45" s="449"/>
      <c r="Y45" s="449"/>
      <c r="Z45" s="449"/>
      <c r="AA45" s="450"/>
    </row>
    <row r="46" spans="4:27" x14ac:dyDescent="0.25">
      <c r="D46" s="446"/>
      <c r="E46" s="447"/>
      <c r="F46" s="447"/>
      <c r="G46" s="443"/>
      <c r="H46" s="444"/>
      <c r="I46" s="444"/>
      <c r="J46" s="447"/>
      <c r="K46" s="447"/>
      <c r="L46" s="447"/>
      <c r="M46" s="447"/>
      <c r="N46" s="447"/>
      <c r="O46" s="447"/>
      <c r="P46" s="447"/>
      <c r="Q46" s="447"/>
      <c r="R46" s="447"/>
      <c r="S46" s="447"/>
      <c r="T46" s="447"/>
      <c r="U46" s="447"/>
      <c r="V46" s="447"/>
      <c r="W46" s="447"/>
      <c r="X46" s="447"/>
      <c r="Y46" s="447"/>
      <c r="Z46" s="447"/>
      <c r="AA46" s="451"/>
    </row>
    <row r="47" spans="4:27" x14ac:dyDescent="0.25">
      <c r="D47" s="446"/>
      <c r="E47" s="447"/>
      <c r="F47" s="447"/>
      <c r="G47" s="443"/>
      <c r="H47" s="444"/>
      <c r="I47" s="444"/>
      <c r="J47" s="447"/>
      <c r="K47" s="447"/>
      <c r="L47" s="447"/>
      <c r="M47" s="447"/>
      <c r="N47" s="447"/>
      <c r="O47" s="447"/>
      <c r="P47" s="447"/>
      <c r="Q47" s="447"/>
      <c r="R47" s="447"/>
      <c r="S47" s="447"/>
      <c r="T47" s="447"/>
      <c r="U47" s="447"/>
      <c r="V47" s="447"/>
      <c r="W47" s="447"/>
      <c r="X47" s="447"/>
      <c r="Y47" s="447"/>
      <c r="Z47" s="447"/>
      <c r="AA47" s="451"/>
    </row>
    <row r="48" spans="4:27" x14ac:dyDescent="0.25">
      <c r="D48" s="446"/>
      <c r="E48" s="447"/>
      <c r="F48" s="447"/>
      <c r="G48" s="443"/>
      <c r="H48" s="444"/>
      <c r="I48" s="444"/>
      <c r="J48" s="447"/>
      <c r="K48" s="447"/>
      <c r="L48" s="447"/>
      <c r="M48" s="447"/>
      <c r="N48" s="447"/>
      <c r="O48" s="447"/>
      <c r="P48" s="447"/>
      <c r="Q48" s="447"/>
      <c r="R48" s="447"/>
      <c r="S48" s="447"/>
      <c r="T48" s="447"/>
      <c r="U48" s="447"/>
      <c r="V48" s="447"/>
      <c r="W48" s="447"/>
      <c r="X48" s="447"/>
      <c r="Y48" s="447"/>
      <c r="Z48" s="447"/>
      <c r="AA48" s="451"/>
    </row>
    <row r="49" spans="4:27" x14ac:dyDescent="0.25">
      <c r="D49" s="446"/>
      <c r="E49" s="447"/>
      <c r="F49" s="447"/>
      <c r="G49" s="443"/>
      <c r="H49" s="444"/>
      <c r="I49" s="444"/>
      <c r="J49" s="447"/>
      <c r="K49" s="447"/>
      <c r="L49" s="447"/>
      <c r="M49" s="447"/>
      <c r="N49" s="447"/>
      <c r="O49" s="447"/>
      <c r="P49" s="447"/>
      <c r="Q49" s="447"/>
      <c r="R49" s="447"/>
      <c r="S49" s="447"/>
      <c r="T49" s="447"/>
      <c r="U49" s="447"/>
      <c r="V49" s="447"/>
      <c r="W49" s="447"/>
      <c r="X49" s="447"/>
      <c r="Y49" s="447"/>
      <c r="Z49" s="447"/>
      <c r="AA49" s="451"/>
    </row>
    <row r="50" spans="4:27" x14ac:dyDescent="0.25">
      <c r="D50" s="446"/>
      <c r="E50" s="447"/>
      <c r="F50" s="447"/>
      <c r="G50" s="443"/>
      <c r="H50" s="444"/>
      <c r="I50" s="444"/>
      <c r="J50" s="447"/>
      <c r="K50" s="447"/>
      <c r="L50" s="447"/>
      <c r="M50" s="447"/>
      <c r="N50" s="447"/>
      <c r="O50" s="447"/>
      <c r="P50" s="447"/>
      <c r="Q50" s="447"/>
      <c r="R50" s="447"/>
      <c r="S50" s="447"/>
      <c r="T50" s="447"/>
      <c r="U50" s="447"/>
      <c r="V50" s="447"/>
      <c r="W50" s="447"/>
      <c r="X50" s="447"/>
      <c r="Y50" s="447"/>
      <c r="Z50" s="447"/>
      <c r="AA50" s="451"/>
    </row>
    <row r="51" spans="4:27" x14ac:dyDescent="0.25">
      <c r="D51" s="446"/>
      <c r="E51" s="447"/>
      <c r="F51" s="447"/>
      <c r="G51" s="443"/>
      <c r="H51" s="444"/>
      <c r="I51" s="444"/>
      <c r="J51" s="447"/>
      <c r="K51" s="447"/>
      <c r="L51" s="447"/>
      <c r="M51" s="447"/>
      <c r="N51" s="447"/>
      <c r="O51" s="447"/>
      <c r="P51" s="447"/>
      <c r="Q51" s="447"/>
      <c r="R51" s="447"/>
      <c r="S51" s="447"/>
      <c r="T51" s="447"/>
      <c r="U51" s="447"/>
      <c r="V51" s="447"/>
      <c r="W51" s="447"/>
      <c r="X51" s="447"/>
      <c r="Y51" s="447"/>
      <c r="Z51" s="447"/>
      <c r="AA51" s="451"/>
    </row>
    <row r="52" spans="4:27" x14ac:dyDescent="0.25">
      <c r="D52" s="446"/>
      <c r="E52" s="447"/>
      <c r="F52" s="447"/>
      <c r="G52" s="443"/>
      <c r="H52" s="444"/>
      <c r="I52" s="444"/>
      <c r="J52" s="447"/>
      <c r="K52" s="447"/>
      <c r="L52" s="447"/>
      <c r="M52" s="447"/>
      <c r="N52" s="447"/>
      <c r="O52" s="447"/>
      <c r="P52" s="447"/>
      <c r="Q52" s="447"/>
      <c r="R52" s="447"/>
      <c r="S52" s="447"/>
      <c r="T52" s="447"/>
      <c r="U52" s="447"/>
      <c r="V52" s="447"/>
      <c r="W52" s="447"/>
      <c r="X52" s="447"/>
      <c r="Y52" s="447"/>
      <c r="Z52" s="447"/>
      <c r="AA52" s="451"/>
    </row>
    <row r="53" spans="4:27" x14ac:dyDescent="0.25">
      <c r="D53" s="446"/>
      <c r="E53" s="447"/>
      <c r="F53" s="447"/>
      <c r="G53" s="443"/>
      <c r="H53" s="444"/>
      <c r="I53" s="444"/>
      <c r="J53" s="447"/>
      <c r="K53" s="447"/>
      <c r="L53" s="447"/>
      <c r="M53" s="447"/>
      <c r="N53" s="447"/>
      <c r="O53" s="447"/>
      <c r="P53" s="447"/>
      <c r="Q53" s="447"/>
      <c r="R53" s="447"/>
      <c r="S53" s="447"/>
      <c r="T53" s="447"/>
      <c r="U53" s="447"/>
      <c r="V53" s="447"/>
      <c r="W53" s="447"/>
      <c r="X53" s="447"/>
      <c r="Y53" s="447"/>
      <c r="Z53" s="447"/>
      <c r="AA53" s="451"/>
    </row>
    <row r="54" spans="4:27" x14ac:dyDescent="0.25">
      <c r="D54" s="446"/>
      <c r="E54" s="447"/>
      <c r="F54" s="447"/>
      <c r="G54" s="443"/>
      <c r="H54" s="444"/>
      <c r="I54" s="444"/>
      <c r="J54" s="447"/>
      <c r="K54" s="447"/>
      <c r="L54" s="447"/>
      <c r="M54" s="447"/>
      <c r="N54" s="447"/>
      <c r="O54" s="447"/>
      <c r="P54" s="447"/>
      <c r="Q54" s="447"/>
      <c r="R54" s="447"/>
      <c r="S54" s="447"/>
      <c r="T54" s="447"/>
      <c r="U54" s="447"/>
      <c r="V54" s="447"/>
      <c r="W54" s="447"/>
      <c r="X54" s="447"/>
      <c r="Y54" s="447"/>
      <c r="Z54" s="447"/>
      <c r="AA54" s="451"/>
    </row>
    <row r="55" spans="4:27" x14ac:dyDescent="0.25">
      <c r="D55" s="446"/>
      <c r="E55" s="447"/>
      <c r="F55" s="447"/>
      <c r="G55" s="443"/>
      <c r="H55" s="444"/>
      <c r="I55" s="444"/>
      <c r="J55" s="447"/>
      <c r="K55" s="447"/>
      <c r="L55" s="447"/>
      <c r="M55" s="447"/>
      <c r="N55" s="447"/>
      <c r="O55" s="447"/>
      <c r="P55" s="447"/>
      <c r="Q55" s="447"/>
      <c r="R55" s="447"/>
      <c r="S55" s="447"/>
      <c r="T55" s="447"/>
      <c r="U55" s="447"/>
      <c r="V55" s="447"/>
      <c r="W55" s="447"/>
      <c r="X55" s="447"/>
      <c r="Y55" s="447"/>
      <c r="Z55" s="447"/>
      <c r="AA55" s="451"/>
    </row>
    <row r="56" spans="4:27" x14ac:dyDescent="0.25">
      <c r="D56" s="446"/>
      <c r="E56" s="447"/>
      <c r="F56" s="447"/>
      <c r="G56" s="443"/>
      <c r="H56" s="444"/>
      <c r="I56" s="444"/>
      <c r="J56" s="447"/>
      <c r="K56" s="447"/>
      <c r="L56" s="447"/>
      <c r="M56" s="447"/>
      <c r="N56" s="447"/>
      <c r="O56" s="447"/>
      <c r="P56" s="447"/>
      <c r="Q56" s="447"/>
      <c r="R56" s="447"/>
      <c r="S56" s="447"/>
      <c r="T56" s="447"/>
      <c r="U56" s="447"/>
      <c r="V56" s="447"/>
      <c r="W56" s="447"/>
      <c r="X56" s="447"/>
      <c r="Y56" s="447"/>
      <c r="Z56" s="447"/>
      <c r="AA56" s="451"/>
    </row>
    <row r="57" spans="4:27" x14ac:dyDescent="0.25">
      <c r="D57" s="446"/>
      <c r="E57" s="447"/>
      <c r="F57" s="447"/>
      <c r="G57" s="443"/>
      <c r="H57" s="444"/>
      <c r="I57" s="444"/>
      <c r="J57" s="447"/>
      <c r="K57" s="447"/>
      <c r="L57" s="447"/>
      <c r="M57" s="447"/>
      <c r="N57" s="447"/>
      <c r="O57" s="447"/>
      <c r="P57" s="447"/>
      <c r="Q57" s="447"/>
      <c r="R57" s="447"/>
      <c r="S57" s="447"/>
      <c r="T57" s="447"/>
      <c r="U57" s="447"/>
      <c r="V57" s="447"/>
      <c r="W57" s="447"/>
      <c r="X57" s="447"/>
      <c r="Y57" s="447"/>
      <c r="Z57" s="447"/>
      <c r="AA57" s="451"/>
    </row>
    <row r="58" spans="4:27" x14ac:dyDescent="0.25">
      <c r="D58" s="446"/>
      <c r="E58" s="447"/>
      <c r="F58" s="447"/>
      <c r="G58" s="443"/>
      <c r="H58" s="444"/>
      <c r="I58" s="444"/>
      <c r="J58" s="447"/>
      <c r="K58" s="447"/>
      <c r="L58" s="447"/>
      <c r="M58" s="447"/>
      <c r="N58" s="447"/>
      <c r="O58" s="447"/>
      <c r="P58" s="447"/>
      <c r="Q58" s="447"/>
      <c r="R58" s="447"/>
      <c r="S58" s="447"/>
      <c r="T58" s="447"/>
      <c r="U58" s="447"/>
      <c r="V58" s="447"/>
      <c r="W58" s="447"/>
      <c r="X58" s="447"/>
      <c r="Y58" s="447"/>
      <c r="Z58" s="447"/>
      <c r="AA58" s="451"/>
    </row>
    <row r="59" spans="4:27" x14ac:dyDescent="0.25">
      <c r="D59" s="446"/>
      <c r="E59" s="447"/>
      <c r="F59" s="447"/>
      <c r="G59" s="443"/>
      <c r="H59" s="444"/>
      <c r="I59" s="444"/>
      <c r="J59" s="447"/>
      <c r="K59" s="447"/>
      <c r="L59" s="447"/>
      <c r="M59" s="447"/>
      <c r="N59" s="447"/>
      <c r="O59" s="447"/>
      <c r="P59" s="447"/>
      <c r="Q59" s="447"/>
      <c r="R59" s="447"/>
      <c r="S59" s="447"/>
      <c r="T59" s="447"/>
      <c r="U59" s="447"/>
      <c r="V59" s="447"/>
      <c r="W59" s="447"/>
      <c r="X59" s="447"/>
      <c r="Y59" s="447"/>
      <c r="Z59" s="447"/>
      <c r="AA59" s="451"/>
    </row>
  </sheetData>
  <sheetProtection algorithmName="SHA-512" hashValue="QB8gJKFnVQ6DKDNNA+wqe0nbD4MeJ6xd+roGF9SpnSaeAzk8tq3rEkwXHRc+0i8FXSzwk+nWcSijngDefkzOsA==" saltValue="jVgCk4ThXDS06v+Ti1uHMQ==" spinCount="100000" sheet="1" objects="1" scenarios="1"/>
  <mergeCells count="80">
    <mergeCell ref="I36:M36"/>
    <mergeCell ref="O36:R36"/>
    <mergeCell ref="T36:W36"/>
    <mergeCell ref="Y36:Z36"/>
    <mergeCell ref="E35:G35"/>
    <mergeCell ref="I35:M35"/>
    <mergeCell ref="D56:F56"/>
    <mergeCell ref="G56:I56"/>
    <mergeCell ref="J56:AA56"/>
    <mergeCell ref="D57:F57"/>
    <mergeCell ref="G57:I57"/>
    <mergeCell ref="J57:AA57"/>
    <mergeCell ref="D58:F58"/>
    <mergeCell ref="G58:I58"/>
    <mergeCell ref="J58:AA58"/>
    <mergeCell ref="D59:F59"/>
    <mergeCell ref="G59:I59"/>
    <mergeCell ref="J59:AA59"/>
    <mergeCell ref="D55:F55"/>
    <mergeCell ref="G55:I55"/>
    <mergeCell ref="J55:AA55"/>
    <mergeCell ref="D52:F52"/>
    <mergeCell ref="G52:I52"/>
    <mergeCell ref="J52:AA52"/>
    <mergeCell ref="D53:F53"/>
    <mergeCell ref="G53:I53"/>
    <mergeCell ref="J53:AA53"/>
    <mergeCell ref="D54:F54"/>
    <mergeCell ref="G54:I54"/>
    <mergeCell ref="J54:AA54"/>
    <mergeCell ref="D50:F50"/>
    <mergeCell ref="G50:I50"/>
    <mergeCell ref="J50:AA50"/>
    <mergeCell ref="D51:F51"/>
    <mergeCell ref="G51:I51"/>
    <mergeCell ref="J51:AA51"/>
    <mergeCell ref="D48:F48"/>
    <mergeCell ref="G48:I48"/>
    <mergeCell ref="J48:AA48"/>
    <mergeCell ref="D49:F49"/>
    <mergeCell ref="G49:I49"/>
    <mergeCell ref="J49:AA49"/>
    <mergeCell ref="D46:F46"/>
    <mergeCell ref="G46:I46"/>
    <mergeCell ref="J46:AA46"/>
    <mergeCell ref="D47:F47"/>
    <mergeCell ref="G47:I47"/>
    <mergeCell ref="J47:AA47"/>
    <mergeCell ref="G44:I44"/>
    <mergeCell ref="G45:I45"/>
    <mergeCell ref="D44:F44"/>
    <mergeCell ref="D45:F45"/>
    <mergeCell ref="J44:AA44"/>
    <mergeCell ref="J45:AA45"/>
    <mergeCell ref="E40:F40"/>
    <mergeCell ref="H40:I40"/>
    <mergeCell ref="K40:M40"/>
    <mergeCell ref="O40:Q40"/>
    <mergeCell ref="E38:Y38"/>
    <mergeCell ref="S40:U40"/>
    <mergeCell ref="W40:Y40"/>
    <mergeCell ref="E39:F39"/>
    <mergeCell ref="H39:I39"/>
    <mergeCell ref="K39:M39"/>
    <mergeCell ref="O39:Q39"/>
    <mergeCell ref="S39:U39"/>
    <mergeCell ref="W39:Y39"/>
    <mergeCell ref="D3:AA4"/>
    <mergeCell ref="X28:Z28"/>
    <mergeCell ref="X26:Z26"/>
    <mergeCell ref="D7:AA9"/>
    <mergeCell ref="E34:Z34"/>
    <mergeCell ref="X30:Z30"/>
    <mergeCell ref="L10:R10"/>
    <mergeCell ref="W10:AA10"/>
    <mergeCell ref="D14:AA16"/>
    <mergeCell ref="O35:R35"/>
    <mergeCell ref="T35:W35"/>
    <mergeCell ref="Y35:Z35"/>
    <mergeCell ref="E36:G36"/>
  </mergeCells>
  <hyperlinks>
    <hyperlink ref="J11" r:id="rId1" xr:uid="{51C35740-4DFD-4B7B-9149-C22759567D30}"/>
    <hyperlink ref="L10:Q10" r:id="rId2" display="http://coursconstructionacier.fr" xr:uid="{AFCB0B0F-0F15-4B7E-8C78-866343A751A3}"/>
    <hyperlink ref="W10:AA10" r:id="rId3" display="CreativeCommon" xr:uid="{84300B45-72A2-4F87-B384-1D3A5AF0FCE9}"/>
  </hyperlinks>
  <pageMargins left="0.7" right="0.7" top="0.75" bottom="0.75" header="0.3" footer="0.3"/>
  <pageSetup paperSize="9" scale="77" orientation="portrait" horizontalDpi="4294967292" verticalDpi="1200" r:id="rId4"/>
  <drawing r:id="rId5"/>
  <legacyDrawing r:id="rId6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37640-1EC4-4473-B9B1-54763D1146A7}">
  <sheetPr>
    <tabColor rgb="FFFFC000"/>
  </sheetPr>
  <dimension ref="B1:V128"/>
  <sheetViews>
    <sheetView zoomScaleNormal="100" workbookViewId="0">
      <selection activeCell="K60" sqref="K60:M60"/>
    </sheetView>
  </sheetViews>
  <sheetFormatPr baseColWidth="10" defaultRowHeight="18.75" x14ac:dyDescent="0.25"/>
  <cols>
    <col min="1" max="1" width="3.7109375" style="338" customWidth="1"/>
    <col min="2" max="2" width="7" style="338" customWidth="1"/>
    <col min="3" max="3" width="16.5703125" style="338" customWidth="1"/>
    <col min="4" max="4" width="16.140625" style="338" customWidth="1"/>
    <col min="5" max="5" width="11.42578125" style="338"/>
    <col min="6" max="6" width="17" style="338" customWidth="1"/>
    <col min="7" max="7" width="18.5703125" style="338" customWidth="1"/>
    <col min="8" max="8" width="7" style="338" customWidth="1"/>
    <col min="9" max="9" width="2.7109375" style="338" customWidth="1"/>
    <col min="10" max="10" width="4.7109375" style="338" customWidth="1"/>
    <col min="11" max="11" width="12.7109375" style="338" customWidth="1"/>
    <col min="12" max="12" width="20.7109375" style="338" customWidth="1"/>
    <col min="13" max="13" width="11.42578125" style="338" customWidth="1"/>
    <col min="14" max="14" width="12.7109375" style="338" customWidth="1"/>
    <col min="15" max="16384" width="11.42578125" style="338"/>
  </cols>
  <sheetData>
    <row r="1" spans="2:19" x14ac:dyDescent="0.25">
      <c r="M1" s="293"/>
    </row>
    <row r="2" spans="2:19" x14ac:dyDescent="0.25">
      <c r="B2" s="464" t="s">
        <v>519</v>
      </c>
      <c r="C2" s="465"/>
      <c r="D2" s="465"/>
      <c r="E2" s="465"/>
      <c r="F2" s="465"/>
      <c r="G2" s="465"/>
      <c r="H2" s="466"/>
      <c r="I2" s="339"/>
      <c r="J2" s="339"/>
    </row>
    <row r="3" spans="2:19" x14ac:dyDescent="0.25">
      <c r="B3" s="340"/>
      <c r="C3" s="341" t="s">
        <v>520</v>
      </c>
      <c r="D3" s="294">
        <v>45000</v>
      </c>
      <c r="E3" s="342" t="s">
        <v>521</v>
      </c>
      <c r="F3" s="343" t="s">
        <v>522</v>
      </c>
      <c r="H3" s="344"/>
    </row>
    <row r="4" spans="2:19" x14ac:dyDescent="0.25">
      <c r="B4" s="340"/>
      <c r="C4" s="341" t="s">
        <v>523</v>
      </c>
      <c r="D4" s="345">
        <f>D3/1.5</f>
        <v>30000</v>
      </c>
      <c r="E4" s="342" t="s">
        <v>521</v>
      </c>
      <c r="F4" s="343"/>
      <c r="H4" s="344"/>
    </row>
    <row r="5" spans="2:19" ht="21" x14ac:dyDescent="0.25">
      <c r="B5" s="340"/>
      <c r="C5" s="341" t="s">
        <v>424</v>
      </c>
      <c r="D5" s="295" t="s">
        <v>440</v>
      </c>
      <c r="F5" s="341" t="s">
        <v>524</v>
      </c>
      <c r="G5" s="346">
        <f>D3/P5</f>
        <v>1267.605633802817</v>
      </c>
      <c r="H5" s="347" t="s">
        <v>525</v>
      </c>
      <c r="I5" s="348"/>
      <c r="J5" s="348"/>
      <c r="O5" s="349" t="s">
        <v>526</v>
      </c>
      <c r="P5" s="350">
        <f>VLOOKUP(D5,Data!A3:C6,2)</f>
        <v>35.5</v>
      </c>
    </row>
    <row r="6" spans="2:19" x14ac:dyDescent="0.3">
      <c r="B6" s="340"/>
      <c r="C6" s="351" t="s">
        <v>527</v>
      </c>
      <c r="D6" s="296" t="s">
        <v>457</v>
      </c>
      <c r="F6" s="342"/>
      <c r="H6" s="344"/>
    </row>
    <row r="7" spans="2:19" ht="21" x14ac:dyDescent="0.3">
      <c r="B7" s="340"/>
      <c r="C7" s="351" t="s">
        <v>528</v>
      </c>
      <c r="D7" s="297">
        <v>30</v>
      </c>
      <c r="E7" s="352" t="s">
        <v>529</v>
      </c>
      <c r="F7" s="341" t="s">
        <v>530</v>
      </c>
      <c r="G7" s="346">
        <f>IF(D6="Art-Art",(8*5*D3*D7^2)/(384*210*(D7/D8)),IF(D6="Enc-Enc",(12*D3*D7^2)/(384*210*(D7/D8)),(8*D3*D7^2)/(185*210*(D7/D8))))</f>
        <v>133928.57142857142</v>
      </c>
      <c r="H7" s="347" t="s">
        <v>531</v>
      </c>
      <c r="I7" s="348"/>
      <c r="J7" s="348"/>
      <c r="K7" s="353"/>
      <c r="L7" s="353"/>
      <c r="M7" s="353"/>
      <c r="N7" s="353"/>
      <c r="O7" s="353"/>
      <c r="P7" s="353"/>
      <c r="Q7" s="353"/>
      <c r="R7" s="353"/>
    </row>
    <row r="8" spans="2:19" ht="21" x14ac:dyDescent="0.3">
      <c r="B8" s="340"/>
      <c r="C8" s="351" t="s">
        <v>532</v>
      </c>
      <c r="D8" s="296">
        <v>200</v>
      </c>
      <c r="E8" s="354" t="s">
        <v>533</v>
      </c>
      <c r="F8" s="341" t="s">
        <v>534</v>
      </c>
      <c r="G8" s="346">
        <f>IF(D6="Art-Art",(8*5*D4*D7^2)/(384*210*(D7/D8)),IF(D6="Enc-Enc",(12*D4*D7^2)/(384*210*(D7/D8)),(8*D4*D7^2)/(185*210*(D7/D8))))</f>
        <v>89285.71428571429</v>
      </c>
      <c r="H8" s="347" t="s">
        <v>531</v>
      </c>
      <c r="I8" s="348"/>
      <c r="J8" s="348"/>
    </row>
    <row r="9" spans="2:19" ht="19.5" thickBot="1" x14ac:dyDescent="0.3">
      <c r="B9" s="340"/>
      <c r="G9" s="355"/>
      <c r="H9" s="344"/>
    </row>
    <row r="10" spans="2:19" x14ac:dyDescent="0.25">
      <c r="B10" s="356" t="s">
        <v>535</v>
      </c>
      <c r="C10" s="295" t="s">
        <v>440</v>
      </c>
      <c r="D10" s="357"/>
      <c r="E10" s="357"/>
      <c r="F10" s="357"/>
      <c r="G10" s="358" t="str">
        <f>"PRS "&amp;C16&amp;" * "&amp;C17&amp;" - "&amp;C13&amp;" * "&amp;C14&amp;"   -  "&amp;C10</f>
        <v>PRS 580 * 6 - 300 * 15   -  S355</v>
      </c>
      <c r="H10" s="344"/>
    </row>
    <row r="11" spans="2:19" x14ac:dyDescent="0.25">
      <c r="B11" s="340"/>
      <c r="F11" s="341" t="s">
        <v>216</v>
      </c>
      <c r="G11" s="346">
        <f>(C13*C14+C16*C17+C19*C20)*10^-2</f>
        <v>124.8</v>
      </c>
      <c r="H11" s="359" t="s">
        <v>242</v>
      </c>
      <c r="I11" s="360"/>
      <c r="J11" s="360"/>
      <c r="N11" s="350" t="s">
        <v>536</v>
      </c>
      <c r="O11" s="350">
        <f>VLOOKUP(C10,Data!A3:C6,2)</f>
        <v>35.5</v>
      </c>
      <c r="P11" s="350"/>
      <c r="Q11" s="350" t="s">
        <v>537</v>
      </c>
      <c r="R11" s="361">
        <f>C13*C14</f>
        <v>4500</v>
      </c>
      <c r="S11" s="350" t="s">
        <v>538</v>
      </c>
    </row>
    <row r="12" spans="2:19" x14ac:dyDescent="0.25">
      <c r="B12" s="340"/>
      <c r="C12" s="341" t="s">
        <v>539</v>
      </c>
      <c r="F12" s="342"/>
      <c r="H12" s="362"/>
      <c r="I12" s="342"/>
      <c r="J12" s="342"/>
      <c r="N12" s="350" t="s">
        <v>540</v>
      </c>
      <c r="O12" s="361">
        <f>SQRT(23.5/O11)</f>
        <v>0.81361651346682706</v>
      </c>
      <c r="P12" s="363"/>
      <c r="Q12" s="350" t="s">
        <v>541</v>
      </c>
      <c r="R12" s="361">
        <f>C16*C17</f>
        <v>3480</v>
      </c>
      <c r="S12" s="350" t="s">
        <v>538</v>
      </c>
    </row>
    <row r="13" spans="2:19" x14ac:dyDescent="0.25">
      <c r="B13" s="364" t="s">
        <v>542</v>
      </c>
      <c r="C13" s="298">
        <v>300</v>
      </c>
      <c r="F13" s="341" t="s">
        <v>543</v>
      </c>
      <c r="G13" s="365">
        <f>0.79*G11</f>
        <v>98.591999999999999</v>
      </c>
      <c r="H13" s="362" t="s">
        <v>544</v>
      </c>
      <c r="I13" s="342"/>
      <c r="J13" s="342"/>
      <c r="N13" s="363"/>
      <c r="O13" s="363"/>
      <c r="P13" s="350"/>
      <c r="Q13" s="350" t="s">
        <v>545</v>
      </c>
      <c r="R13" s="361">
        <f>C17*(C16+C20-D25)</f>
        <v>1740</v>
      </c>
      <c r="S13" s="350" t="s">
        <v>538</v>
      </c>
    </row>
    <row r="14" spans="2:19" x14ac:dyDescent="0.25">
      <c r="B14" s="364" t="s">
        <v>546</v>
      </c>
      <c r="C14" s="298">
        <v>15</v>
      </c>
      <c r="H14" s="344"/>
      <c r="N14" s="350"/>
      <c r="O14" s="350"/>
      <c r="P14" s="350"/>
      <c r="Q14" s="350" t="s">
        <v>547</v>
      </c>
      <c r="R14" s="361">
        <f>C17*(D25-C20)</f>
        <v>1740</v>
      </c>
      <c r="S14" s="350" t="s">
        <v>538</v>
      </c>
    </row>
    <row r="15" spans="2:19" ht="21" x14ac:dyDescent="0.25">
      <c r="B15" s="364"/>
      <c r="C15" s="366"/>
      <c r="F15" s="341" t="s">
        <v>222</v>
      </c>
      <c r="G15" s="367">
        <f>(((C13*C14^3+C17*C16^3+C19*C20^3)*10^-4)/12)+((C13*C14*(C16+C20-D25+(C14/2))^2)+(C19*C20*(D25-(C20/2))^2)+(C16*C17*(C20+(C16/2)-D25)^2))*10^-4</f>
        <v>89428.1</v>
      </c>
      <c r="H15" s="347" t="s">
        <v>531</v>
      </c>
      <c r="I15" s="348"/>
      <c r="J15" s="348"/>
      <c r="N15" s="350"/>
      <c r="O15" s="350" t="s">
        <v>548</v>
      </c>
      <c r="P15" s="350"/>
      <c r="Q15" s="350" t="s">
        <v>549</v>
      </c>
      <c r="R15" s="361">
        <f>C19*C20</f>
        <v>4500</v>
      </c>
      <c r="S15" s="350" t="s">
        <v>538</v>
      </c>
    </row>
    <row r="16" spans="2:19" ht="21" x14ac:dyDescent="0.25">
      <c r="B16" s="364" t="s">
        <v>550</v>
      </c>
      <c r="C16" s="298">
        <v>580</v>
      </c>
      <c r="F16" s="341" t="s">
        <v>551</v>
      </c>
      <c r="G16" s="367">
        <f>MIN(G15/((C14+C16+C20-D25)*10^-1),G15/(D25*10^-1))</f>
        <v>2932.0688524590164</v>
      </c>
      <c r="H16" s="347" t="s">
        <v>525</v>
      </c>
      <c r="I16" s="348"/>
      <c r="J16" s="348"/>
      <c r="N16" s="350" t="s">
        <v>542</v>
      </c>
      <c r="O16" s="350" t="s">
        <v>552</v>
      </c>
      <c r="P16" s="350" t="s">
        <v>553</v>
      </c>
      <c r="Q16" s="350"/>
      <c r="R16" s="361"/>
      <c r="S16" s="350"/>
    </row>
    <row r="17" spans="2:19" ht="21" x14ac:dyDescent="0.25">
      <c r="B17" s="364" t="s">
        <v>554</v>
      </c>
      <c r="C17" s="298">
        <v>6</v>
      </c>
      <c r="F17" s="341" t="s">
        <v>555</v>
      </c>
      <c r="G17" s="367">
        <f>((R11+R13)*R17+(R14+R15)*R18)*10^-3</f>
        <v>3182.1</v>
      </c>
      <c r="H17" s="347" t="s">
        <v>525</v>
      </c>
      <c r="I17" s="348"/>
      <c r="J17" s="348"/>
      <c r="N17" s="361">
        <f>(C13-C17)/(2*C14)</f>
        <v>9.8000000000000007</v>
      </c>
      <c r="O17" s="361">
        <f>C16/C17</f>
        <v>96.666666666666671</v>
      </c>
      <c r="P17" s="361">
        <f>(C19-C17)/(2*C20)</f>
        <v>9.8000000000000007</v>
      </c>
      <c r="Q17" s="350" t="s">
        <v>556</v>
      </c>
      <c r="R17" s="368">
        <f>(R11*(C20+C16-D25+C14/2)+R13*(C20+C16-D25)/2)/(R11+R13)</f>
        <v>254.97596153846155</v>
      </c>
      <c r="S17" s="350" t="s">
        <v>240</v>
      </c>
    </row>
    <row r="18" spans="2:19" x14ac:dyDescent="0.25">
      <c r="B18" s="364"/>
      <c r="C18" s="366"/>
      <c r="F18" s="341" t="s">
        <v>557</v>
      </c>
      <c r="G18" s="346">
        <f>C16*C17*10^-2</f>
        <v>34.800000000000004</v>
      </c>
      <c r="H18" s="359" t="s">
        <v>242</v>
      </c>
      <c r="I18" s="360"/>
      <c r="J18" s="360"/>
      <c r="N18" s="350"/>
      <c r="O18" s="350"/>
      <c r="P18" s="350"/>
      <c r="Q18" s="350" t="s">
        <v>558</v>
      </c>
      <c r="R18" s="368">
        <f>(R15*(D25-C20/2)+R14*(D25-C20)/2)/(R15+R14)</f>
        <v>254.97596153846155</v>
      </c>
      <c r="S18" s="350" t="s">
        <v>240</v>
      </c>
    </row>
    <row r="19" spans="2:19" x14ac:dyDescent="0.25">
      <c r="B19" s="364" t="s">
        <v>553</v>
      </c>
      <c r="C19" s="298">
        <v>300</v>
      </c>
      <c r="F19" s="341" t="s">
        <v>224</v>
      </c>
      <c r="G19" s="365">
        <f>SQRT(G15/$G$11)</f>
        <v>26.768849697037119</v>
      </c>
      <c r="H19" s="359" t="s">
        <v>245</v>
      </c>
      <c r="I19" s="360"/>
      <c r="J19" s="360"/>
      <c r="N19" s="350"/>
      <c r="O19" s="350"/>
      <c r="P19" s="350"/>
      <c r="Q19" s="350" t="s">
        <v>559</v>
      </c>
      <c r="R19" s="368">
        <f>((R11*C13/8)+(R12*C17/8)+(R15*C19/8))/((R11+R12+R15)/2)</f>
        <v>54.504807692307693</v>
      </c>
      <c r="S19" s="350" t="s">
        <v>240</v>
      </c>
    </row>
    <row r="20" spans="2:19" ht="21" x14ac:dyDescent="0.25">
      <c r="B20" s="364" t="s">
        <v>560</v>
      </c>
      <c r="C20" s="298">
        <v>15</v>
      </c>
      <c r="F20" s="341" t="s">
        <v>561</v>
      </c>
      <c r="G20" s="346">
        <f>((0.2*(C13+C16+C19+C14+C20-C17)/G11)*100)</f>
        <v>192.94871794871796</v>
      </c>
      <c r="H20" s="347" t="s">
        <v>562</v>
      </c>
      <c r="I20" s="348"/>
      <c r="J20" s="348"/>
      <c r="N20" s="350"/>
      <c r="O20" s="350"/>
      <c r="P20" s="350"/>
      <c r="Q20" s="350"/>
      <c r="R20" s="350"/>
      <c r="S20" s="350"/>
    </row>
    <row r="21" spans="2:19" ht="21" x14ac:dyDescent="0.25">
      <c r="B21" s="340"/>
      <c r="F21" s="341" t="s">
        <v>563</v>
      </c>
      <c r="G21" s="346">
        <f>((0.1*2*(C13+C16+C14+C20))/G11)*100</f>
        <v>145.83333333333331</v>
      </c>
      <c r="H21" s="347" t="s">
        <v>562</v>
      </c>
      <c r="I21" s="348"/>
      <c r="J21" s="348"/>
      <c r="N21" s="350"/>
      <c r="O21" s="350"/>
      <c r="P21" s="350"/>
      <c r="Q21" s="350" t="s">
        <v>564</v>
      </c>
      <c r="R21" s="369">
        <f>G15/((C14+C16+C20-D25)*10^-1)</f>
        <v>2932.0688524590164</v>
      </c>
      <c r="S21" s="350" t="s">
        <v>565</v>
      </c>
    </row>
    <row r="22" spans="2:19" x14ac:dyDescent="0.25">
      <c r="B22" s="340"/>
      <c r="H22" s="344"/>
      <c r="N22" s="350"/>
      <c r="O22" s="350"/>
      <c r="P22" s="363"/>
      <c r="Q22" s="350" t="s">
        <v>566</v>
      </c>
      <c r="R22" s="369">
        <f>G15/(D25*10^-1)</f>
        <v>2932.0688524590164</v>
      </c>
      <c r="S22" s="350" t="s">
        <v>565</v>
      </c>
    </row>
    <row r="23" spans="2:19" ht="21" x14ac:dyDescent="0.25">
      <c r="B23" s="340"/>
      <c r="C23" s="370"/>
      <c r="D23" s="371" t="s">
        <v>567</v>
      </c>
      <c r="E23" s="372"/>
      <c r="F23" s="341" t="s">
        <v>225</v>
      </c>
      <c r="G23" s="367">
        <f>((C14*C13^3+C16*C17^3+C20*C19^3)*10^-4)/12</f>
        <v>6751.0440000000008</v>
      </c>
      <c r="H23" s="347" t="s">
        <v>531</v>
      </c>
      <c r="I23" s="348"/>
      <c r="J23" s="348"/>
      <c r="Q23" s="353"/>
      <c r="R23" s="353"/>
    </row>
    <row r="24" spans="2:19" ht="21" x14ac:dyDescent="0.25">
      <c r="B24" s="340"/>
      <c r="C24" s="373" t="s">
        <v>568</v>
      </c>
      <c r="D24" s="374">
        <f>MAX(C13,C19)/2</f>
        <v>150</v>
      </c>
      <c r="E24" s="375" t="s">
        <v>240</v>
      </c>
      <c r="F24" s="341" t="s">
        <v>569</v>
      </c>
      <c r="G24" s="367">
        <f>G23/(D24*10^-1)</f>
        <v>450.06960000000004</v>
      </c>
      <c r="H24" s="347" t="s">
        <v>525</v>
      </c>
      <c r="I24" s="348"/>
      <c r="J24" s="348"/>
      <c r="Q24" s="353"/>
      <c r="R24" s="353"/>
    </row>
    <row r="25" spans="2:19" ht="21" x14ac:dyDescent="0.25">
      <c r="B25" s="340"/>
      <c r="C25" s="373" t="s">
        <v>570</v>
      </c>
      <c r="D25" s="376">
        <f>(C13*C14*(C20+C16+C14/2)+C16*C17*(C20+C16/2)+C19*C20*(C20/2))/(C13*C14+C16*C17+C19*C20)</f>
        <v>305</v>
      </c>
      <c r="E25" s="375" t="s">
        <v>240</v>
      </c>
      <c r="F25" s="341" t="s">
        <v>571</v>
      </c>
      <c r="G25" s="367">
        <f>2*((R11/2+R12/2+R15/2)*R19)*10^-3</f>
        <v>680.22</v>
      </c>
      <c r="H25" s="347" t="s">
        <v>525</v>
      </c>
      <c r="I25" s="348"/>
      <c r="J25" s="348"/>
      <c r="Q25" s="353"/>
      <c r="R25" s="353"/>
    </row>
    <row r="26" spans="2:19" x14ac:dyDescent="0.25">
      <c r="B26" s="340"/>
      <c r="E26" s="377"/>
      <c r="F26" s="341" t="s">
        <v>572</v>
      </c>
      <c r="G26" s="346">
        <f>(C13*C14+C19*C20)*10^-2</f>
        <v>90</v>
      </c>
      <c r="H26" s="359" t="s">
        <v>242</v>
      </c>
      <c r="I26" s="360"/>
      <c r="J26" s="360"/>
      <c r="Q26" s="353"/>
      <c r="R26" s="353"/>
    </row>
    <row r="27" spans="2:19" x14ac:dyDescent="0.25">
      <c r="B27" s="340"/>
      <c r="C27" s="378" t="s">
        <v>573</v>
      </c>
      <c r="D27" s="379" t="s">
        <v>574</v>
      </c>
      <c r="E27" s="379" t="s">
        <v>575</v>
      </c>
      <c r="F27" s="341" t="s">
        <v>227</v>
      </c>
      <c r="G27" s="365">
        <f>SQRT(G23/$G$11)</f>
        <v>7.354923782484347</v>
      </c>
      <c r="H27" s="359" t="s">
        <v>245</v>
      </c>
      <c r="I27" s="360"/>
      <c r="J27" s="360"/>
      <c r="Q27" s="353"/>
      <c r="R27" s="353"/>
    </row>
    <row r="28" spans="2:19" x14ac:dyDescent="0.25">
      <c r="B28" s="340"/>
      <c r="C28" s="373" t="s">
        <v>576</v>
      </c>
      <c r="D28" s="380">
        <f>IF(O17&lt;33*$O$12,1,IF(O17&lt;38*$O$12,2,IF(O17&lt;42*$O$12,3,4)))</f>
        <v>4</v>
      </c>
      <c r="E28" s="380">
        <f>IF(O17&lt;72*$O$12,1,IF(O17&lt;83*$O$12,2,IF(O17&lt;124*$O$12,3,4)))</f>
        <v>3</v>
      </c>
      <c r="F28" s="342"/>
      <c r="H28" s="362"/>
      <c r="I28" s="342"/>
      <c r="J28" s="342"/>
      <c r="Q28" s="353"/>
      <c r="R28" s="353"/>
    </row>
    <row r="29" spans="2:19" ht="21" x14ac:dyDescent="0.25">
      <c r="B29" s="340"/>
      <c r="C29" s="373" t="s">
        <v>577</v>
      </c>
      <c r="D29" s="380">
        <f>IF(N17&lt;9*$O$12,1,IF(N17&lt;10*$O$12,2,IF(N17&lt;14*$O$12,3,4)))</f>
        <v>3</v>
      </c>
      <c r="E29" s="381"/>
      <c r="F29" s="341" t="s">
        <v>578</v>
      </c>
      <c r="G29" s="365">
        <f>(10^-4/3)*(((C13)*C14^3)+((C19)*C20^3)+(C16*C17^3))</f>
        <v>71.676000000000002</v>
      </c>
      <c r="H29" s="347" t="s">
        <v>531</v>
      </c>
      <c r="I29" s="348"/>
      <c r="J29" s="348"/>
      <c r="K29" s="353"/>
      <c r="L29" s="353"/>
      <c r="M29" s="353"/>
      <c r="N29" s="353"/>
      <c r="O29" s="353"/>
      <c r="P29" s="353"/>
      <c r="Q29" s="353"/>
      <c r="R29" s="353"/>
    </row>
    <row r="30" spans="2:19" ht="21" x14ac:dyDescent="0.25">
      <c r="B30" s="340"/>
      <c r="C30" s="373" t="s">
        <v>579</v>
      </c>
      <c r="D30" s="380">
        <f>IF(P17&lt;9*$O$12,1,IF(P17&lt;10*$O$12,2,IF(P17&lt;14*$O$12,3,4)))</f>
        <v>3</v>
      </c>
      <c r="E30" s="381"/>
      <c r="F30" s="341" t="s">
        <v>580</v>
      </c>
      <c r="G30" s="367">
        <f>(10^-6/12)*((C14*C13^3*(C20+C16+(C14/2)-D25)^2)+(C20*C19^3*(D25-(C20/2))^2))</f>
        <v>5974171.8749999991</v>
      </c>
      <c r="H30" s="347" t="s">
        <v>581</v>
      </c>
      <c r="I30" s="348"/>
      <c r="J30" s="348"/>
      <c r="K30" s="353"/>
      <c r="L30" s="353"/>
      <c r="M30" s="353"/>
      <c r="N30" s="353"/>
      <c r="O30" s="353"/>
      <c r="P30" s="353"/>
      <c r="Q30" s="353"/>
      <c r="R30" s="353"/>
    </row>
    <row r="31" spans="2:19" x14ac:dyDescent="0.25">
      <c r="B31" s="382" t="s">
        <v>582</v>
      </c>
      <c r="H31" s="344"/>
      <c r="K31" s="353"/>
      <c r="L31" s="353"/>
      <c r="M31" s="353"/>
      <c r="N31" s="353"/>
      <c r="O31" s="353"/>
      <c r="P31" s="353"/>
      <c r="Q31" s="353"/>
      <c r="R31" s="353"/>
    </row>
    <row r="32" spans="2:19" x14ac:dyDescent="0.2">
      <c r="B32" s="382" t="s">
        <v>583</v>
      </c>
      <c r="D32" s="383"/>
      <c r="H32" s="344"/>
      <c r="K32" s="353"/>
      <c r="L32" s="353"/>
      <c r="M32" s="353"/>
      <c r="N32" s="353"/>
      <c r="O32" s="353"/>
      <c r="P32" s="353"/>
      <c r="Q32" s="353"/>
      <c r="R32" s="353"/>
    </row>
    <row r="33" spans="2:22" x14ac:dyDescent="0.25">
      <c r="B33" s="384"/>
      <c r="C33" s="385"/>
      <c r="D33" s="385"/>
      <c r="E33" s="386"/>
      <c r="F33" s="386"/>
      <c r="G33" s="385"/>
      <c r="H33" s="387"/>
      <c r="N33" s="353"/>
      <c r="O33" s="353"/>
      <c r="P33" s="353"/>
      <c r="Q33" s="353"/>
      <c r="R33" s="353"/>
    </row>
    <row r="34" spans="2:22" x14ac:dyDescent="0.25">
      <c r="K34" s="353"/>
      <c r="L34" s="353"/>
      <c r="M34" s="353"/>
      <c r="N34" s="353"/>
      <c r="O34" s="353"/>
      <c r="P34" s="353"/>
      <c r="Q34" s="353"/>
      <c r="R34" s="353"/>
    </row>
    <row r="35" spans="2:22" x14ac:dyDescent="0.25">
      <c r="B35" s="388" t="s">
        <v>584</v>
      </c>
      <c r="C35" s="295" t="s">
        <v>440</v>
      </c>
      <c r="D35" s="389"/>
      <c r="E35" s="389"/>
      <c r="F35" s="389"/>
      <c r="G35" s="390" t="str">
        <f>"PRS "&amp;C41&amp;" * "&amp;C42&amp;" - "&amp;C38&amp;" * "&amp;C39&amp;"  -  "&amp;C35</f>
        <v>PRS 620 * 6 - 260 * 15  -  S355</v>
      </c>
      <c r="H35" s="391"/>
      <c r="J35" s="467" t="s">
        <v>585</v>
      </c>
      <c r="K35" s="472" t="str">
        <f>"PRS éq,Cl2   "&amp;C41&amp;" * "&amp;C42&amp;" - "&amp;C38&amp;" * "&amp;C39&amp;"  -  "&amp;C35</f>
        <v>PRS éq,Cl2   620 * 6 - 260 * 15  -  S355</v>
      </c>
      <c r="L35" s="472"/>
      <c r="M35" s="473"/>
    </row>
    <row r="36" spans="2:22" x14ac:dyDescent="0.25">
      <c r="B36" s="340"/>
      <c r="F36" s="341" t="s">
        <v>216</v>
      </c>
      <c r="G36" s="346">
        <f>(C38*C39+C41*C42+C44*C45)*10^-2</f>
        <v>115.2</v>
      </c>
      <c r="H36" s="359" t="s">
        <v>242</v>
      </c>
      <c r="I36" s="360"/>
      <c r="J36" s="468"/>
      <c r="K36" s="403" t="s">
        <v>586</v>
      </c>
      <c r="L36" s="392">
        <f>G36-O48*0.01</f>
        <v>108.31607779392232</v>
      </c>
      <c r="M36" s="393" t="s">
        <v>242</v>
      </c>
      <c r="N36" s="350" t="s">
        <v>587</v>
      </c>
      <c r="O36" s="350">
        <f>VLOOKUP(C35,Data!A3:C6,2)</f>
        <v>35.5</v>
      </c>
      <c r="P36" s="350"/>
      <c r="Q36" s="350" t="s">
        <v>537</v>
      </c>
      <c r="R36" s="361">
        <f>C38*C39</f>
        <v>3900</v>
      </c>
      <c r="S36" s="350" t="s">
        <v>538</v>
      </c>
      <c r="U36" s="361"/>
    </row>
    <row r="37" spans="2:22" x14ac:dyDescent="0.25">
      <c r="B37" s="340"/>
      <c r="C37" s="341" t="s">
        <v>539</v>
      </c>
      <c r="F37" s="342"/>
      <c r="H37" s="362"/>
      <c r="I37" s="342"/>
      <c r="J37" s="468"/>
      <c r="K37" s="477" t="s">
        <v>637</v>
      </c>
      <c r="L37" s="477"/>
      <c r="M37" s="478"/>
      <c r="N37" s="350" t="s">
        <v>540</v>
      </c>
      <c r="O37" s="361">
        <f>SQRT(23.5/O36)</f>
        <v>0.81361651346682706</v>
      </c>
      <c r="P37" s="363"/>
      <c r="Q37" s="350" t="s">
        <v>541</v>
      </c>
      <c r="R37" s="361">
        <f>C41*C42</f>
        <v>3720</v>
      </c>
      <c r="S37" s="350" t="s">
        <v>538</v>
      </c>
      <c r="T37" s="350" t="s">
        <v>588</v>
      </c>
      <c r="U37" s="361">
        <f>R37-O48</f>
        <v>3031.6077793922314</v>
      </c>
      <c r="V37" s="350" t="s">
        <v>538</v>
      </c>
    </row>
    <row r="38" spans="2:22" x14ac:dyDescent="0.25">
      <c r="B38" s="364" t="s">
        <v>542</v>
      </c>
      <c r="C38" s="298">
        <v>260</v>
      </c>
      <c r="F38" s="341" t="s">
        <v>543</v>
      </c>
      <c r="G38" s="365">
        <f>0.79*G36</f>
        <v>91.00800000000001</v>
      </c>
      <c r="H38" s="362" t="s">
        <v>544</v>
      </c>
      <c r="I38" s="342"/>
      <c r="J38" s="468"/>
      <c r="K38" s="470" t="str">
        <f>IF(AND(E53=3,D54&lt;=2,D55&lt;=2),"Applicable","Non Applicable")</f>
        <v>Non Applicable</v>
      </c>
      <c r="L38" s="470"/>
      <c r="M38" s="471"/>
      <c r="N38" s="363"/>
      <c r="O38" s="363"/>
      <c r="P38" s="350"/>
      <c r="Q38" s="350" t="s">
        <v>545</v>
      </c>
      <c r="R38" s="361">
        <f>C42*(C41+C45-D50)</f>
        <v>1860</v>
      </c>
      <c r="S38" s="350" t="s">
        <v>538</v>
      </c>
      <c r="T38" s="350" t="s">
        <v>588</v>
      </c>
      <c r="U38" s="361">
        <f>C42*(C41+C45-D50)-O48</f>
        <v>1171.6077793922311</v>
      </c>
      <c r="V38" s="350" t="s">
        <v>538</v>
      </c>
    </row>
    <row r="39" spans="2:22" x14ac:dyDescent="0.25">
      <c r="B39" s="364" t="s">
        <v>546</v>
      </c>
      <c r="C39" s="298">
        <v>15</v>
      </c>
      <c r="H39" s="344"/>
      <c r="J39" s="468"/>
      <c r="K39" s="404"/>
      <c r="L39" s="404"/>
      <c r="M39" s="394"/>
      <c r="N39" s="350"/>
      <c r="O39" s="350"/>
      <c r="P39" s="350"/>
      <c r="Q39" s="350" t="s">
        <v>547</v>
      </c>
      <c r="R39" s="361">
        <f>C42*(D50-C45)</f>
        <v>1860</v>
      </c>
      <c r="S39" s="350" t="s">
        <v>538</v>
      </c>
      <c r="U39" s="361"/>
    </row>
    <row r="40" spans="2:22" ht="21" x14ac:dyDescent="0.25">
      <c r="B40" s="364"/>
      <c r="C40" s="366"/>
      <c r="F40" s="341" t="s">
        <v>222</v>
      </c>
      <c r="G40" s="367">
        <f>(((C38*C39^3+C42*C41^3+C44*C45^3)*10^-4)/12)+((C38*C39*(C41+C45-D50+(C39/2))^2)+(C44*C45*(D50-(C45/2))^2)+(C41*C42*(C45+(C41/2)-D50)^2))*10^-4</f>
        <v>90559.9</v>
      </c>
      <c r="H40" s="347" t="s">
        <v>531</v>
      </c>
      <c r="I40" s="348"/>
      <c r="J40" s="468"/>
      <c r="K40" s="403" t="s">
        <v>589</v>
      </c>
      <c r="L40" s="395">
        <f>G40-O49</f>
        <v>88906.037689989826</v>
      </c>
      <c r="M40" s="394" t="s">
        <v>590</v>
      </c>
      <c r="N40" s="350"/>
      <c r="O40" s="350" t="s">
        <v>548</v>
      </c>
      <c r="P40" s="350"/>
      <c r="Q40" s="350" t="s">
        <v>549</v>
      </c>
      <c r="R40" s="361">
        <f>C44*C45</f>
        <v>3900</v>
      </c>
      <c r="S40" s="350" t="s">
        <v>538</v>
      </c>
      <c r="U40" s="361"/>
    </row>
    <row r="41" spans="2:22" ht="21" x14ac:dyDescent="0.25">
      <c r="B41" s="364" t="s">
        <v>550</v>
      </c>
      <c r="C41" s="298">
        <v>620</v>
      </c>
      <c r="F41" s="341" t="s">
        <v>551</v>
      </c>
      <c r="G41" s="367">
        <f>MIN(G40/((C39+C41+C45-D50)*10^-1),G40/(D50*10^-1))</f>
        <v>2786.4584615384615</v>
      </c>
      <c r="H41" s="347" t="s">
        <v>525</v>
      </c>
      <c r="I41" s="348"/>
      <c r="J41" s="468"/>
      <c r="K41" s="403" t="s">
        <v>591</v>
      </c>
      <c r="L41" s="395">
        <f>MIN(L40/((C39+C41+C45-D50)*10^-1),L40/(D50*10^-1))</f>
        <v>2735.5703904612255</v>
      </c>
      <c r="M41" s="394" t="s">
        <v>592</v>
      </c>
      <c r="N41" s="350" t="s">
        <v>542</v>
      </c>
      <c r="O41" s="350" t="s">
        <v>552</v>
      </c>
      <c r="P41" s="350" t="s">
        <v>553</v>
      </c>
      <c r="Q41" s="350"/>
      <c r="R41" s="361"/>
      <c r="S41" s="350"/>
    </row>
    <row r="42" spans="2:22" ht="21" x14ac:dyDescent="0.25">
      <c r="B42" s="364" t="s">
        <v>554</v>
      </c>
      <c r="C42" s="298">
        <v>6</v>
      </c>
      <c r="F42" s="341" t="s">
        <v>555</v>
      </c>
      <c r="G42" s="367">
        <f>((R36+R38)*R42+(R39+R40)*R43)*10^-3</f>
        <v>3053.1</v>
      </c>
      <c r="H42" s="347" t="s">
        <v>525</v>
      </c>
      <c r="I42" s="348"/>
      <c r="J42" s="468"/>
      <c r="K42" s="403" t="s">
        <v>593</v>
      </c>
      <c r="L42" s="395">
        <f>((R36+U38)*R42+(R39+R40)*R43)*10^-3</f>
        <v>2870.6581346581966</v>
      </c>
      <c r="M42" s="394" t="s">
        <v>592</v>
      </c>
      <c r="N42" s="361">
        <f>(C38-C42)/(2*C39)</f>
        <v>8.4666666666666668</v>
      </c>
      <c r="O42" s="361">
        <f>C41/C42</f>
        <v>103.33333333333333</v>
      </c>
      <c r="P42" s="361">
        <f>(C44-C42)/(2*C45)</f>
        <v>8.4666666666666668</v>
      </c>
      <c r="Q42" s="350" t="s">
        <v>556</v>
      </c>
      <c r="R42" s="368">
        <f>(R36*(C45+C41-D50+C39/2)+R38*(C45+C41-D50)/2)/(R36+R38)</f>
        <v>265.02604166666669</v>
      </c>
      <c r="S42" s="350" t="s">
        <v>240</v>
      </c>
    </row>
    <row r="43" spans="2:22" x14ac:dyDescent="0.25">
      <c r="B43" s="364"/>
      <c r="C43" s="366"/>
      <c r="F43" s="341" t="s">
        <v>557</v>
      </c>
      <c r="G43" s="346">
        <f>C41*C42*10^-2</f>
        <v>37.200000000000003</v>
      </c>
      <c r="H43" s="359" t="s">
        <v>242</v>
      </c>
      <c r="I43" s="360"/>
      <c r="J43" s="468"/>
      <c r="K43" s="403" t="s">
        <v>594</v>
      </c>
      <c r="L43" s="392">
        <f>G43-O48*10^-2</f>
        <v>30.316077793922314</v>
      </c>
      <c r="M43" s="393" t="s">
        <v>242</v>
      </c>
      <c r="N43" s="350"/>
      <c r="O43" s="350"/>
      <c r="P43" s="350"/>
      <c r="Q43" s="350" t="s">
        <v>558</v>
      </c>
      <c r="R43" s="368">
        <f>(R40*(D50-C45/2)+R39*(D50-C45)/2)/(R40+R39)</f>
        <v>265.02604166666669</v>
      </c>
      <c r="S43" s="350" t="s">
        <v>240</v>
      </c>
    </row>
    <row r="44" spans="2:22" x14ac:dyDescent="0.25">
      <c r="B44" s="364" t="s">
        <v>553</v>
      </c>
      <c r="C44" s="396">
        <f>C38</f>
        <v>260</v>
      </c>
      <c r="F44" s="341" t="s">
        <v>224</v>
      </c>
      <c r="G44" s="365">
        <f>SQRT(G40/$G$36)</f>
        <v>28.037657588599576</v>
      </c>
      <c r="H44" s="359" t="s">
        <v>245</v>
      </c>
      <c r="I44" s="360"/>
      <c r="J44" s="468"/>
      <c r="K44" s="403" t="s">
        <v>595</v>
      </c>
      <c r="L44" s="397">
        <f>SQRT(L40/$L$36)</f>
        <v>28.649639718840607</v>
      </c>
      <c r="M44" s="393" t="s">
        <v>245</v>
      </c>
      <c r="N44" s="350"/>
      <c r="O44" s="350"/>
      <c r="P44" s="350"/>
      <c r="Q44" s="350" t="s">
        <v>559</v>
      </c>
      <c r="R44" s="368">
        <f>((R36*C38/8)+(R37*C42/8)+(R40*C44/8))/((R36+R37+R40)/2)</f>
        <v>44.494791666666664</v>
      </c>
      <c r="S44" s="350" t="s">
        <v>240</v>
      </c>
    </row>
    <row r="45" spans="2:22" ht="21" x14ac:dyDescent="0.25">
      <c r="B45" s="364" t="s">
        <v>560</v>
      </c>
      <c r="C45" s="396">
        <f>C39</f>
        <v>15</v>
      </c>
      <c r="F45" s="341" t="s">
        <v>596</v>
      </c>
      <c r="G45" s="346">
        <f>((0.2*(C38+C41+C44+C39+C45-C42)/G36)*100)</f>
        <v>202.08333333333334</v>
      </c>
      <c r="H45" s="347" t="s">
        <v>562</v>
      </c>
      <c r="I45" s="348"/>
      <c r="J45" s="468"/>
      <c r="K45" s="403"/>
      <c r="L45" s="403"/>
      <c r="M45" s="394"/>
      <c r="N45" s="350"/>
      <c r="O45" s="350"/>
      <c r="P45" s="350"/>
      <c r="Q45" s="350"/>
      <c r="R45" s="350"/>
      <c r="S45" s="350"/>
    </row>
    <row r="46" spans="2:22" ht="21" x14ac:dyDescent="0.25">
      <c r="B46" s="340"/>
      <c r="F46" s="341" t="s">
        <v>563</v>
      </c>
      <c r="G46" s="346">
        <f>((0.1*2*(C38+C41+C39+C45))/G36)*100</f>
        <v>157.98611111111111</v>
      </c>
      <c r="H46" s="347" t="s">
        <v>562</v>
      </c>
      <c r="I46" s="348"/>
      <c r="J46" s="468"/>
      <c r="K46" s="403"/>
      <c r="L46" s="403"/>
      <c r="M46" s="394"/>
      <c r="N46" s="350" t="s">
        <v>597</v>
      </c>
      <c r="O46" s="368">
        <f>20*O37*C42</f>
        <v>97.633981616019256</v>
      </c>
      <c r="P46" s="398" t="s">
        <v>240</v>
      </c>
      <c r="Q46" s="350" t="s">
        <v>564</v>
      </c>
      <c r="R46" s="369">
        <f>G40/((C39+C41+C45-D50)*10^-1)</f>
        <v>2786.4584615384615</v>
      </c>
      <c r="S46" s="350" t="s">
        <v>565</v>
      </c>
    </row>
    <row r="47" spans="2:22" x14ac:dyDescent="0.25">
      <c r="B47" s="340"/>
      <c r="H47" s="344"/>
      <c r="J47" s="468"/>
      <c r="K47" s="404"/>
      <c r="L47" s="404"/>
      <c r="M47" s="394"/>
      <c r="N47" s="350" t="s">
        <v>598</v>
      </c>
      <c r="O47" s="369">
        <f>((C41/2)-2*O46)</f>
        <v>114.73203676796149</v>
      </c>
      <c r="P47" s="399" t="s">
        <v>240</v>
      </c>
      <c r="Q47" s="350" t="s">
        <v>566</v>
      </c>
      <c r="R47" s="369">
        <f>G40/(D50*10^-1)</f>
        <v>2786.4584615384615</v>
      </c>
      <c r="S47" s="350" t="s">
        <v>565</v>
      </c>
    </row>
    <row r="48" spans="2:22" ht="21" x14ac:dyDescent="0.25">
      <c r="B48" s="340"/>
      <c r="C48" s="370"/>
      <c r="D48" s="371" t="s">
        <v>567</v>
      </c>
      <c r="E48" s="372"/>
      <c r="F48" s="341" t="s">
        <v>225</v>
      </c>
      <c r="G48" s="367">
        <f>((C39*C38^3+C41*C42^3+C45*C44^3)*10^-4)/12</f>
        <v>4395.116</v>
      </c>
      <c r="H48" s="347" t="s">
        <v>531</v>
      </c>
      <c r="I48" s="348"/>
      <c r="J48" s="468"/>
      <c r="K48" s="403" t="s">
        <v>599</v>
      </c>
      <c r="L48" s="395">
        <f>G48-O50</f>
        <v>4394.9094823338173</v>
      </c>
      <c r="M48" s="394" t="s">
        <v>590</v>
      </c>
      <c r="N48" s="350" t="s">
        <v>600</v>
      </c>
      <c r="O48" s="369">
        <f>O47*C42</f>
        <v>688.39222060776888</v>
      </c>
      <c r="P48" s="399" t="s">
        <v>538</v>
      </c>
      <c r="Q48" s="353"/>
      <c r="R48" s="353"/>
    </row>
    <row r="49" spans="2:22" ht="21" x14ac:dyDescent="0.3">
      <c r="B49" s="340"/>
      <c r="C49" s="373" t="s">
        <v>568</v>
      </c>
      <c r="D49" s="374">
        <f>MAX(C38,C44)/2</f>
        <v>130</v>
      </c>
      <c r="E49" s="375" t="s">
        <v>240</v>
      </c>
      <c r="F49" s="341" t="s">
        <v>569</v>
      </c>
      <c r="G49" s="367">
        <f>G48/(D49*10^-1)</f>
        <v>338.08584615384615</v>
      </c>
      <c r="H49" s="347" t="s">
        <v>525</v>
      </c>
      <c r="I49" s="348"/>
      <c r="J49" s="468"/>
      <c r="K49" s="403" t="s">
        <v>601</v>
      </c>
      <c r="L49" s="395">
        <f>L48/(D49*10^-1)</f>
        <v>338.0699601795244</v>
      </c>
      <c r="M49" s="394" t="s">
        <v>592</v>
      </c>
      <c r="N49" s="350" t="s">
        <v>602</v>
      </c>
      <c r="O49" s="369">
        <f>(O48*10^-2)*(((O46+O47/2)*10^-1)^2)</f>
        <v>1653.8623100101649</v>
      </c>
      <c r="P49" s="399" t="s">
        <v>590</v>
      </c>
      <c r="Q49" s="353"/>
      <c r="R49" s="353"/>
    </row>
    <row r="50" spans="2:22" ht="21" x14ac:dyDescent="0.3">
      <c r="B50" s="340"/>
      <c r="C50" s="373" t="s">
        <v>570</v>
      </c>
      <c r="D50" s="376">
        <f>(C38*C39*(C45+C41+C39/2)+C41*C42*(C45+C41/2)+C44*C45*(C45/2))/(C38*C39+C41*C42+C44*C45)</f>
        <v>325</v>
      </c>
      <c r="E50" s="375" t="s">
        <v>240</v>
      </c>
      <c r="F50" s="341" t="s">
        <v>571</v>
      </c>
      <c r="G50" s="367">
        <f>2*((R36/2+R37/2+R40/2)*R44)*10^-3</f>
        <v>512.58000000000004</v>
      </c>
      <c r="H50" s="347" t="s">
        <v>525</v>
      </c>
      <c r="I50" s="348"/>
      <c r="J50" s="468"/>
      <c r="K50" s="403" t="s">
        <v>603</v>
      </c>
      <c r="L50" s="395">
        <f>2*((R36/2+U37/2+R40/2)*R44)*10^-3</f>
        <v>481.95013155910323</v>
      </c>
      <c r="M50" s="394" t="s">
        <v>592</v>
      </c>
      <c r="N50" s="350" t="s">
        <v>604</v>
      </c>
      <c r="O50" s="369">
        <f>(O47*C42^3/12)*10^-4</f>
        <v>0.20651766618233069</v>
      </c>
      <c r="P50" s="399" t="s">
        <v>590</v>
      </c>
      <c r="Q50" s="353"/>
      <c r="R50" s="353"/>
    </row>
    <row r="51" spans="2:22" x14ac:dyDescent="0.25">
      <c r="B51" s="340"/>
      <c r="E51" s="377"/>
      <c r="F51" s="341" t="s">
        <v>572</v>
      </c>
      <c r="G51" s="346">
        <f>(C38*C39+C44*C45)*10^-2</f>
        <v>78</v>
      </c>
      <c r="H51" s="359" t="s">
        <v>242</v>
      </c>
      <c r="I51" s="360"/>
      <c r="J51" s="468"/>
      <c r="K51" s="403" t="s">
        <v>605</v>
      </c>
      <c r="L51" s="392">
        <f>(C38*C39+C44*C45)*10^-2</f>
        <v>78</v>
      </c>
      <c r="M51" s="393" t="s">
        <v>242</v>
      </c>
      <c r="Q51" s="353"/>
      <c r="R51" s="353"/>
    </row>
    <row r="52" spans="2:22" x14ac:dyDescent="0.25">
      <c r="B52" s="340"/>
      <c r="C52" s="378" t="s">
        <v>573</v>
      </c>
      <c r="D52" s="379" t="s">
        <v>574</v>
      </c>
      <c r="E52" s="379" t="s">
        <v>575</v>
      </c>
      <c r="F52" s="341" t="s">
        <v>227</v>
      </c>
      <c r="G52" s="365">
        <f>SQRT(G48/$G$36)</f>
        <v>6.1767344617614182</v>
      </c>
      <c r="H52" s="359" t="s">
        <v>245</v>
      </c>
      <c r="I52" s="360"/>
      <c r="J52" s="468"/>
      <c r="K52" s="403" t="s">
        <v>606</v>
      </c>
      <c r="L52" s="397">
        <f>SQRT(L48/$L$36)</f>
        <v>6.3698397202848689</v>
      </c>
      <c r="M52" s="393" t="s">
        <v>245</v>
      </c>
      <c r="Q52" s="353"/>
      <c r="R52" s="353"/>
    </row>
    <row r="53" spans="2:22" x14ac:dyDescent="0.25">
      <c r="B53" s="340"/>
      <c r="C53" s="373" t="s">
        <v>576</v>
      </c>
      <c r="D53" s="380">
        <f>IF(O42&lt;33*$O$37,1,IF(O42&lt;38*$O$37,2,IF(O42&lt;42*$O$37,3,4)))</f>
        <v>4</v>
      </c>
      <c r="E53" s="380">
        <f>IF(O42&lt;72*$O$37,1,IF(O42&lt;83*$O$37,2,IF(O42&lt;124*$O$37,3,4)))</f>
        <v>4</v>
      </c>
      <c r="F53" s="342"/>
      <c r="H53" s="362"/>
      <c r="I53" s="342"/>
      <c r="J53" s="468"/>
      <c r="K53" s="403"/>
      <c r="L53" s="403"/>
      <c r="M53" s="394"/>
      <c r="Q53" s="353"/>
      <c r="R53" s="353"/>
    </row>
    <row r="54" spans="2:22" ht="21" x14ac:dyDescent="0.25">
      <c r="B54" s="340"/>
      <c r="C54" s="373" t="s">
        <v>577</v>
      </c>
      <c r="D54" s="380">
        <f>IF(N42&lt;9*$O$37,1,IF(N42&lt;10*$O$37,2,IF(N42&lt;14*$O$37,3,4)))</f>
        <v>3</v>
      </c>
      <c r="E54" s="381"/>
      <c r="F54" s="341" t="s">
        <v>578</v>
      </c>
      <c r="G54" s="365">
        <f>(10^-4/3)*(((C38)*C39^3)+((C44)*C45^3)+(C41*C42^3))</f>
        <v>62.964000000000006</v>
      </c>
      <c r="H54" s="347" t="s">
        <v>531</v>
      </c>
      <c r="I54" s="348"/>
      <c r="J54" s="468"/>
      <c r="K54" s="403" t="s">
        <v>607</v>
      </c>
      <c r="L54" s="397">
        <f>(10^-4/3)*(((C38)*C39^3)+((C44)*C45^3)+(C41*(C42^3-(O47*0.1)^3)))</f>
        <v>31.751788218474534</v>
      </c>
      <c r="M54" s="394" t="s">
        <v>590</v>
      </c>
      <c r="N54" s="353"/>
      <c r="O54" s="353"/>
      <c r="P54" s="353"/>
      <c r="Q54" s="353"/>
      <c r="R54" s="353"/>
    </row>
    <row r="55" spans="2:22" ht="21" x14ac:dyDescent="0.25">
      <c r="B55" s="340"/>
      <c r="C55" s="373" t="s">
        <v>579</v>
      </c>
      <c r="D55" s="380">
        <f>IF(P42&lt;9*$O$37,1,IF(P42&lt;10*$O$37,2,IF(P42&lt;14*$O$37,3,4)))</f>
        <v>3</v>
      </c>
      <c r="E55" s="381"/>
      <c r="F55" s="341" t="s">
        <v>580</v>
      </c>
      <c r="G55" s="367">
        <f>(10^-6/12)*((C39*C38^3*(C45+C41+(C39/2)-D50)^2)+(C45*C44^3*(D50-(C45/2))^2))</f>
        <v>4429426.625</v>
      </c>
      <c r="H55" s="347" t="s">
        <v>581</v>
      </c>
      <c r="I55" s="348"/>
      <c r="J55" s="468"/>
      <c r="K55" s="403" t="s">
        <v>608</v>
      </c>
      <c r="L55" s="395">
        <f>(10^-6/12)*((C39*C38^3*((C45+C41+(C39/2)-D50)^2-(O47*0.1)^2))+(C45*C44^3*(D50-(C45/2))^2))</f>
        <v>4426534.6171746738</v>
      </c>
      <c r="M55" s="394" t="s">
        <v>609</v>
      </c>
      <c r="N55" s="353"/>
      <c r="O55" s="353"/>
      <c r="P55" s="353"/>
      <c r="Q55" s="353"/>
      <c r="R55" s="353"/>
    </row>
    <row r="56" spans="2:22" x14ac:dyDescent="0.25">
      <c r="B56" s="400"/>
      <c r="C56" s="385"/>
      <c r="D56" s="385"/>
      <c r="E56" s="385"/>
      <c r="F56" s="385"/>
      <c r="G56" s="385"/>
      <c r="H56" s="387"/>
      <c r="J56" s="469"/>
      <c r="K56" s="401"/>
      <c r="L56" s="401"/>
      <c r="M56" s="402"/>
      <c r="N56" s="353"/>
      <c r="R56" s="353"/>
    </row>
    <row r="57" spans="2:22" x14ac:dyDescent="0.25">
      <c r="B57" s="353"/>
      <c r="K57" s="353"/>
      <c r="L57" s="353"/>
      <c r="M57" s="353"/>
      <c r="N57" s="353"/>
      <c r="O57" s="353"/>
      <c r="P57" s="353"/>
      <c r="Q57" s="353"/>
      <c r="R57" s="353"/>
    </row>
    <row r="58" spans="2:22" x14ac:dyDescent="0.25">
      <c r="B58" s="388" t="s">
        <v>610</v>
      </c>
      <c r="C58" s="295" t="s">
        <v>440</v>
      </c>
      <c r="D58" s="389"/>
      <c r="E58" s="389"/>
      <c r="F58" s="389"/>
      <c r="G58" s="390" t="str">
        <f>"PRS "&amp;C64&amp;" * "&amp;C65&amp;" - "&amp;C61&amp;" * "&amp;C62&amp;"  -  "&amp;C58</f>
        <v>PRS 580 * 6 - 300 * 15  -  S355</v>
      </c>
      <c r="H58" s="391"/>
      <c r="J58" s="474" t="s">
        <v>611</v>
      </c>
      <c r="K58" s="472" t="str">
        <f>"PRS éq,Cl3   "&amp;C64&amp;" * "&amp;C65&amp;" - "&amp;C61&amp;" * "&amp;C62&amp;"  -  "&amp;C58</f>
        <v>PRS éq,Cl3   580 * 6 - 300 * 15  -  S355</v>
      </c>
      <c r="L58" s="472"/>
      <c r="M58" s="473"/>
    </row>
    <row r="59" spans="2:22" x14ac:dyDescent="0.25">
      <c r="B59" s="340"/>
      <c r="F59" s="341" t="s">
        <v>216</v>
      </c>
      <c r="G59" s="346">
        <f>(C61*C62+C64*C65+C67*C68)*10^-2</f>
        <v>124.8</v>
      </c>
      <c r="H59" s="359" t="s">
        <v>242</v>
      </c>
      <c r="I59" s="360"/>
      <c r="J59" s="475"/>
      <c r="K59" s="403" t="s">
        <v>586</v>
      </c>
      <c r="L59" s="392">
        <f>G59-(C64*C65-2*O69)*0.01</f>
        <v>92.050313613936396</v>
      </c>
      <c r="M59" s="393" t="s">
        <v>242</v>
      </c>
      <c r="N59" s="350" t="s">
        <v>612</v>
      </c>
      <c r="O59" s="350">
        <f>VLOOKUP(C58,Data!A3:C6,2)</f>
        <v>35.5</v>
      </c>
      <c r="P59" s="350"/>
      <c r="Q59" s="350" t="s">
        <v>537</v>
      </c>
      <c r="R59" s="361">
        <f>C61*C62</f>
        <v>4500</v>
      </c>
      <c r="S59" s="350" t="s">
        <v>538</v>
      </c>
      <c r="U59" s="361"/>
    </row>
    <row r="60" spans="2:22" x14ac:dyDescent="0.25">
      <c r="B60" s="340"/>
      <c r="C60" s="341" t="s">
        <v>539</v>
      </c>
      <c r="F60" s="342"/>
      <c r="H60" s="362"/>
      <c r="I60" s="342"/>
      <c r="J60" s="475"/>
      <c r="K60" s="477" t="s">
        <v>638</v>
      </c>
      <c r="L60" s="477"/>
      <c r="M60" s="478"/>
      <c r="N60" s="350" t="s">
        <v>540</v>
      </c>
      <c r="O60" s="361">
        <f>SQRT(23.5/O59)</f>
        <v>0.81361651346682706</v>
      </c>
      <c r="P60" s="363"/>
      <c r="Q60" s="350" t="s">
        <v>541</v>
      </c>
      <c r="R60" s="361">
        <f>C64*C65</f>
        <v>3480</v>
      </c>
      <c r="S60" s="350" t="s">
        <v>538</v>
      </c>
      <c r="T60" s="350" t="s">
        <v>588</v>
      </c>
      <c r="U60" s="361">
        <f>R60-O73</f>
        <v>3555.9920580579578</v>
      </c>
      <c r="V60" s="350" t="s">
        <v>538</v>
      </c>
    </row>
    <row r="61" spans="2:22" x14ac:dyDescent="0.25">
      <c r="B61" s="364" t="s">
        <v>542</v>
      </c>
      <c r="C61" s="298">
        <v>300</v>
      </c>
      <c r="F61" s="341" t="s">
        <v>543</v>
      </c>
      <c r="G61" s="365">
        <f>0.79*G59</f>
        <v>98.591999999999999</v>
      </c>
      <c r="H61" s="362" t="s">
        <v>544</v>
      </c>
      <c r="I61" s="342"/>
      <c r="J61" s="475"/>
      <c r="K61" s="470" t="str">
        <f>IF(AND(E76=4,D77&lt;=3,D78&lt;=3),"Applicable","Non Applicable")</f>
        <v>Non Applicable</v>
      </c>
      <c r="L61" s="470"/>
      <c r="M61" s="471"/>
      <c r="N61" s="363"/>
      <c r="O61" s="363"/>
      <c r="P61" s="350"/>
      <c r="Q61" s="350" t="s">
        <v>545</v>
      </c>
      <c r="R61" s="361">
        <f>C65*(C64+C68-D73)</f>
        <v>1740</v>
      </c>
      <c r="S61" s="350" t="s">
        <v>538</v>
      </c>
      <c r="T61" s="350" t="s">
        <v>588</v>
      </c>
      <c r="U61" s="361">
        <f>C65*(C64+C68-D73)-O73</f>
        <v>1815.9920580579578</v>
      </c>
      <c r="V61" s="350" t="s">
        <v>538</v>
      </c>
    </row>
    <row r="62" spans="2:22" x14ac:dyDescent="0.25">
      <c r="B62" s="364" t="s">
        <v>546</v>
      </c>
      <c r="C62" s="298">
        <v>15</v>
      </c>
      <c r="H62" s="344"/>
      <c r="J62" s="475"/>
      <c r="K62" s="404"/>
      <c r="L62" s="404"/>
      <c r="M62" s="394"/>
      <c r="N62" s="350"/>
      <c r="O62" s="350" t="s">
        <v>613</v>
      </c>
      <c r="P62" s="350"/>
      <c r="Q62" s="350" t="s">
        <v>547</v>
      </c>
      <c r="R62" s="361">
        <f>C65*(D73-C68)</f>
        <v>1740</v>
      </c>
      <c r="S62" s="350" t="s">
        <v>538</v>
      </c>
      <c r="U62" s="361"/>
    </row>
    <row r="63" spans="2:22" ht="21" x14ac:dyDescent="0.25">
      <c r="B63" s="364"/>
      <c r="C63" s="366"/>
      <c r="F63" s="341" t="s">
        <v>222</v>
      </c>
      <c r="G63" s="367">
        <f>(((C61*C62^3+C65*C64^3+C67*C68^3)*10^-4)/12)+((C61*C62*(C64+C68-D73+(C62/2))^2)+(C67*C68*(D73-(C68/2))^2)+(C64*C65*(C68+(C64/2)-D73)^2))*10^-4</f>
        <v>89428.1</v>
      </c>
      <c r="H63" s="347" t="s">
        <v>531</v>
      </c>
      <c r="I63" s="348"/>
      <c r="J63" s="475"/>
      <c r="K63" s="403" t="s">
        <v>589</v>
      </c>
      <c r="L63" s="395">
        <f>G63-O74</f>
        <v>89658.941621096557</v>
      </c>
      <c r="M63" s="394" t="s">
        <v>590</v>
      </c>
      <c r="N63" s="350"/>
      <c r="O63" s="350" t="s">
        <v>548</v>
      </c>
      <c r="P63" s="350"/>
      <c r="Q63" s="350" t="s">
        <v>549</v>
      </c>
      <c r="R63" s="361">
        <f>C67*C68</f>
        <v>4500</v>
      </c>
      <c r="S63" s="350" t="s">
        <v>538</v>
      </c>
      <c r="U63" s="361"/>
    </row>
    <row r="64" spans="2:22" ht="21" x14ac:dyDescent="0.25">
      <c r="B64" s="364" t="s">
        <v>550</v>
      </c>
      <c r="C64" s="298">
        <v>580</v>
      </c>
      <c r="F64" s="341" t="s">
        <v>551</v>
      </c>
      <c r="G64" s="367">
        <f>MIN(G63/((C62+C64+C68-D73)*10^-1),G63/(D73*10^-1))</f>
        <v>2932.0688524590164</v>
      </c>
      <c r="H64" s="347" t="s">
        <v>525</v>
      </c>
      <c r="I64" s="348"/>
      <c r="J64" s="475"/>
      <c r="K64" s="403" t="s">
        <v>591</v>
      </c>
      <c r="L64" s="395">
        <f>IF(O66&lt;=124,L63/(D73*0.1),IF(O66&lt;=160,(L63-(0.0001*0.15*C65*C64^3/12))/(D73*0.1),IF(O66&lt;=210,(L63-(0.0001*0.3*C65*C64^3/12))/(D73*0.1),"Hors Limites")))</f>
        <v>2939.6374301998871</v>
      </c>
      <c r="M64" s="394" t="s">
        <v>592</v>
      </c>
      <c r="N64" s="350" t="s">
        <v>542</v>
      </c>
      <c r="O64" s="350" t="s">
        <v>552</v>
      </c>
      <c r="P64" s="350" t="s">
        <v>553</v>
      </c>
      <c r="Q64" s="350"/>
      <c r="R64" s="361"/>
      <c r="S64" s="350"/>
    </row>
    <row r="65" spans="2:19" ht="21" x14ac:dyDescent="0.25">
      <c r="B65" s="364" t="s">
        <v>554</v>
      </c>
      <c r="C65" s="298">
        <v>6</v>
      </c>
      <c r="F65" s="341" t="s">
        <v>555</v>
      </c>
      <c r="G65" s="367">
        <f>((R59+R61)*R65+(R62+R63)*R66)*10^-3</f>
        <v>3182.1</v>
      </c>
      <c r="H65" s="347" t="s">
        <v>525</v>
      </c>
      <c r="I65" s="348"/>
      <c r="J65" s="475"/>
      <c r="K65" s="403"/>
      <c r="L65" s="395" t="str">
        <f>IF(O66&lt;=124,"Hw / Tw*ε ≤ 124",IF(O66&lt;=160,"Hw / Tw*ε ≤ 160",IF(O66&lt;=210,"Hw / Tw*ε ≤ 210","Hw / Tw*ε ≥ 210")))</f>
        <v>Hw / Tw*ε ≤ 124</v>
      </c>
      <c r="M65" s="394"/>
      <c r="N65" s="361">
        <f>(C61-C65)/(2*C62)</f>
        <v>9.8000000000000007</v>
      </c>
      <c r="O65" s="361">
        <f>C64/C65</f>
        <v>96.666666666666671</v>
      </c>
      <c r="P65" s="361">
        <f>(C67-C65)/(2*C68)</f>
        <v>9.8000000000000007</v>
      </c>
      <c r="Q65" s="350" t="s">
        <v>556</v>
      </c>
      <c r="R65" s="368">
        <f>(R59*(C68+C64-D73+C62/2)+R61*(C68+C64-D73)/2)/(R59+R61)</f>
        <v>254.97596153846155</v>
      </c>
      <c r="S65" s="350" t="s">
        <v>240</v>
      </c>
    </row>
    <row r="66" spans="2:19" x14ac:dyDescent="0.25">
      <c r="B66" s="364"/>
      <c r="C66" s="366"/>
      <c r="F66" s="341" t="s">
        <v>557</v>
      </c>
      <c r="G66" s="346">
        <f>C64*C65*10^-2</f>
        <v>34.800000000000004</v>
      </c>
      <c r="H66" s="359" t="s">
        <v>242</v>
      </c>
      <c r="I66" s="360"/>
      <c r="J66" s="475"/>
      <c r="K66" s="403" t="s">
        <v>594</v>
      </c>
      <c r="L66" s="392">
        <f>G66-O73*10^-2</f>
        <v>35.559920580579579</v>
      </c>
      <c r="M66" s="393" t="s">
        <v>242</v>
      </c>
      <c r="N66" s="350"/>
      <c r="O66" s="361">
        <f>C64/(C65*O60)</f>
        <v>118.81109228568771</v>
      </c>
      <c r="P66" s="350"/>
      <c r="Q66" s="350" t="s">
        <v>558</v>
      </c>
      <c r="R66" s="368">
        <f>(R63*(D73-C68/2)+R62*(D73-C68)/2)/(R63+R62)</f>
        <v>254.97596153846155</v>
      </c>
      <c r="S66" s="350" t="s">
        <v>240</v>
      </c>
    </row>
    <row r="67" spans="2:19" x14ac:dyDescent="0.25">
      <c r="B67" s="364" t="s">
        <v>553</v>
      </c>
      <c r="C67" s="396">
        <f>C61</f>
        <v>300</v>
      </c>
      <c r="F67" s="341" t="s">
        <v>224</v>
      </c>
      <c r="G67" s="365">
        <f>SQRT(G63/$G$36)</f>
        <v>27.861902129570726</v>
      </c>
      <c r="H67" s="359" t="s">
        <v>245</v>
      </c>
      <c r="I67" s="360"/>
      <c r="J67" s="475"/>
      <c r="K67" s="403" t="s">
        <v>595</v>
      </c>
      <c r="L67" s="397">
        <f>SQRT(L63/$L$59)</f>
        <v>31.209310048870329</v>
      </c>
      <c r="M67" s="393" t="s">
        <v>245</v>
      </c>
      <c r="N67" s="350"/>
      <c r="O67" s="350"/>
      <c r="P67" s="350"/>
      <c r="Q67" s="350" t="s">
        <v>559</v>
      </c>
      <c r="R67" s="368">
        <f>((R59*C61/8)+(R60*C65/8)+(R63*C67/8))/((R59+R60+R63)/2)</f>
        <v>54.504807692307693</v>
      </c>
      <c r="S67" s="350" t="s">
        <v>240</v>
      </c>
    </row>
    <row r="68" spans="2:19" ht="21" x14ac:dyDescent="0.25">
      <c r="B68" s="364" t="s">
        <v>560</v>
      </c>
      <c r="C68" s="396">
        <f>C62</f>
        <v>15</v>
      </c>
      <c r="F68" s="341" t="s">
        <v>596</v>
      </c>
      <c r="G68" s="346">
        <f>((0.2*(C61+C64+C67+C62+C68-C65)/G59)*100)</f>
        <v>192.94871794871796</v>
      </c>
      <c r="H68" s="347" t="s">
        <v>562</v>
      </c>
      <c r="I68" s="348"/>
      <c r="J68" s="475"/>
      <c r="K68" s="403"/>
      <c r="L68" s="403"/>
      <c r="M68" s="394"/>
      <c r="N68" s="350"/>
      <c r="O68" s="350"/>
      <c r="P68" s="350"/>
      <c r="Q68" s="350"/>
      <c r="R68" s="350"/>
      <c r="S68" s="350"/>
    </row>
    <row r="69" spans="2:19" ht="21" x14ac:dyDescent="0.25">
      <c r="B69" s="340"/>
      <c r="F69" s="341" t="s">
        <v>563</v>
      </c>
      <c r="G69" s="346">
        <f>((0.1*2*(C61+C64+C62+C68))/G59)*100</f>
        <v>145.83333333333331</v>
      </c>
      <c r="H69" s="347" t="s">
        <v>562</v>
      </c>
      <c r="I69" s="348"/>
      <c r="J69" s="475"/>
      <c r="K69" s="403"/>
      <c r="L69" s="403"/>
      <c r="M69" s="394"/>
      <c r="N69" s="350" t="s">
        <v>614</v>
      </c>
      <c r="O69" s="368">
        <f>21*O60*C65</f>
        <v>102.51568069682021</v>
      </c>
      <c r="P69" s="398" t="s">
        <v>240</v>
      </c>
      <c r="Q69" s="350" t="s">
        <v>564</v>
      </c>
      <c r="R69" s="369">
        <f>G63/((C62+C64+C68-D73)*10^-1)</f>
        <v>2932.0688524590164</v>
      </c>
      <c r="S69" s="350" t="s">
        <v>565</v>
      </c>
    </row>
    <row r="70" spans="2:19" x14ac:dyDescent="0.25">
      <c r="B70" s="340"/>
      <c r="H70" s="344"/>
      <c r="J70" s="475"/>
      <c r="K70" s="404"/>
      <c r="L70" s="404"/>
      <c r="M70" s="394"/>
      <c r="N70" s="350" t="s">
        <v>615</v>
      </c>
      <c r="O70" s="368">
        <f>25*O60*C65</f>
        <v>122.04247702002405</v>
      </c>
      <c r="P70" s="398" t="s">
        <v>240</v>
      </c>
      <c r="Q70" s="350" t="s">
        <v>566</v>
      </c>
      <c r="R70" s="369">
        <f>G63/(D73*10^-1)</f>
        <v>2932.0688524590164</v>
      </c>
      <c r="S70" s="350" t="s">
        <v>565</v>
      </c>
    </row>
    <row r="71" spans="2:19" ht="21" x14ac:dyDescent="0.25">
      <c r="B71" s="340"/>
      <c r="C71" s="370"/>
      <c r="D71" s="371" t="s">
        <v>567</v>
      </c>
      <c r="E71" s="372"/>
      <c r="F71" s="341" t="s">
        <v>225</v>
      </c>
      <c r="G71" s="367">
        <f>((C62*C61^3+C64*C65^3+C68*C67^3)*10^-4)/12</f>
        <v>6751.0440000000008</v>
      </c>
      <c r="H71" s="347" t="s">
        <v>531</v>
      </c>
      <c r="I71" s="348"/>
      <c r="J71" s="475"/>
      <c r="K71" s="403" t="s">
        <v>599</v>
      </c>
      <c r="L71" s="395">
        <f>G71-O75</f>
        <v>6751.0667976174182</v>
      </c>
      <c r="M71" s="394" t="s">
        <v>590</v>
      </c>
      <c r="N71" s="350" t="s">
        <v>616</v>
      </c>
      <c r="O71" s="368">
        <f>37*O60*C65</f>
        <v>180.62286598963561</v>
      </c>
      <c r="P71" s="398" t="s">
        <v>240</v>
      </c>
      <c r="Q71" s="353"/>
      <c r="R71" s="353"/>
    </row>
    <row r="72" spans="2:19" ht="21" x14ac:dyDescent="0.25">
      <c r="B72" s="340"/>
      <c r="C72" s="373" t="s">
        <v>568</v>
      </c>
      <c r="D72" s="374">
        <f>MAX(C61,C67)/2</f>
        <v>150</v>
      </c>
      <c r="E72" s="375" t="s">
        <v>240</v>
      </c>
      <c r="F72" s="341" t="s">
        <v>569</v>
      </c>
      <c r="G72" s="367">
        <f>G71/(D72*10^-1)</f>
        <v>450.06960000000004</v>
      </c>
      <c r="H72" s="347" t="s">
        <v>525</v>
      </c>
      <c r="I72" s="348"/>
      <c r="J72" s="475"/>
      <c r="K72" s="403" t="s">
        <v>601</v>
      </c>
      <c r="L72" s="395">
        <f>L71/(D72*10^-1)</f>
        <v>450.07111984116119</v>
      </c>
      <c r="M72" s="394" t="s">
        <v>592</v>
      </c>
      <c r="N72" s="350" t="s">
        <v>598</v>
      </c>
      <c r="O72" s="369">
        <f>((C64/2)-(O70+O71))</f>
        <v>-12.665343009659637</v>
      </c>
      <c r="P72" s="399" t="s">
        <v>240</v>
      </c>
      <c r="Q72" s="353"/>
      <c r="R72" s="353"/>
    </row>
    <row r="73" spans="2:19" ht="21" x14ac:dyDescent="0.25">
      <c r="B73" s="340"/>
      <c r="C73" s="373" t="s">
        <v>570</v>
      </c>
      <c r="D73" s="376">
        <f>(C61*C62*(C68+C64+C62/2)+C64*C65*(C68+C64/2)+C67*C68*(C68/2))/(C61*C62+C64*C65+C67*C68)</f>
        <v>305</v>
      </c>
      <c r="E73" s="375" t="s">
        <v>240</v>
      </c>
      <c r="F73" s="341" t="s">
        <v>571</v>
      </c>
      <c r="G73" s="367">
        <f>2*((R59/2+R60/2+R63/2)*R67)*10^-3</f>
        <v>680.22</v>
      </c>
      <c r="H73" s="347" t="s">
        <v>525</v>
      </c>
      <c r="I73" s="348"/>
      <c r="J73" s="475"/>
      <c r="K73" s="403"/>
      <c r="L73" s="395"/>
      <c r="M73" s="394"/>
      <c r="N73" s="350" t="s">
        <v>600</v>
      </c>
      <c r="O73" s="369">
        <f>O72*C65</f>
        <v>-75.99205805795782</v>
      </c>
      <c r="P73" s="399" t="s">
        <v>538</v>
      </c>
      <c r="Q73" s="353"/>
      <c r="R73" s="353"/>
    </row>
    <row r="74" spans="2:19" ht="21" x14ac:dyDescent="0.3">
      <c r="B74" s="340"/>
      <c r="E74" s="377"/>
      <c r="F74" s="341" t="s">
        <v>572</v>
      </c>
      <c r="G74" s="346">
        <f>(C61*C62+C67*C68)*10^-2</f>
        <v>90</v>
      </c>
      <c r="H74" s="359" t="s">
        <v>242</v>
      </c>
      <c r="I74" s="360"/>
      <c r="J74" s="475"/>
      <c r="K74" s="403" t="s">
        <v>605</v>
      </c>
      <c r="L74" s="392">
        <f>(C61*C62+C67*C68)*10^-2</f>
        <v>90</v>
      </c>
      <c r="M74" s="393" t="s">
        <v>242</v>
      </c>
      <c r="N74" s="350" t="s">
        <v>602</v>
      </c>
      <c r="O74" s="369">
        <f>(O73*10^-2)*(((O71+O72/2)*10^-1)^2)</f>
        <v>-230.8416210965519</v>
      </c>
      <c r="P74" s="399" t="s">
        <v>590</v>
      </c>
      <c r="Q74" s="353"/>
      <c r="R74" s="353"/>
    </row>
    <row r="75" spans="2:19" ht="21" x14ac:dyDescent="0.3">
      <c r="B75" s="340"/>
      <c r="C75" s="378" t="s">
        <v>573</v>
      </c>
      <c r="D75" s="379" t="s">
        <v>574</v>
      </c>
      <c r="E75" s="379" t="s">
        <v>575</v>
      </c>
      <c r="F75" s="341" t="s">
        <v>227</v>
      </c>
      <c r="G75" s="365">
        <f>SQRT(G71/$G$36)</f>
        <v>7.655247383331254</v>
      </c>
      <c r="H75" s="359" t="s">
        <v>245</v>
      </c>
      <c r="I75" s="360"/>
      <c r="J75" s="475"/>
      <c r="K75" s="403" t="s">
        <v>606</v>
      </c>
      <c r="L75" s="397">
        <f>SQRT(L71/$L$59)</f>
        <v>8.5639390217397935</v>
      </c>
      <c r="M75" s="393" t="s">
        <v>245</v>
      </c>
      <c r="N75" s="350" t="s">
        <v>604</v>
      </c>
      <c r="O75" s="369">
        <f>(O72*C65^3/12)*10^-4</f>
        <v>-2.2797617417387346E-2</v>
      </c>
      <c r="P75" s="399" t="s">
        <v>590</v>
      </c>
      <c r="Q75" s="353"/>
      <c r="R75" s="353"/>
    </row>
    <row r="76" spans="2:19" x14ac:dyDescent="0.25">
      <c r="B76" s="340"/>
      <c r="C76" s="373" t="s">
        <v>576</v>
      </c>
      <c r="D76" s="380">
        <f>IF(O65&lt;33*$O$60,1,IF(O65&lt;38*$O$60,2,IF(O65&lt;42*$O$60,3,4)))</f>
        <v>4</v>
      </c>
      <c r="E76" s="380">
        <f>IF(O65&lt;72*$O$60,1,IF(O65&lt;83*$O$60,2,IF(O65&lt;124*$O$60,3,4)))</f>
        <v>3</v>
      </c>
      <c r="F76" s="342"/>
      <c r="H76" s="362"/>
      <c r="I76" s="342"/>
      <c r="J76" s="475"/>
      <c r="K76" s="403"/>
      <c r="L76" s="403"/>
      <c r="M76" s="394"/>
      <c r="Q76" s="353"/>
      <c r="R76" s="353"/>
    </row>
    <row r="77" spans="2:19" ht="21" x14ac:dyDescent="0.25">
      <c r="B77" s="340"/>
      <c r="C77" s="373" t="s">
        <v>577</v>
      </c>
      <c r="D77" s="380">
        <f>IF(N65&lt;9*$O$60,1,IF(N65&lt;10*$O$60,2,IF(N65&lt;14*$O$60,3,4)))</f>
        <v>3</v>
      </c>
      <c r="E77" s="381"/>
      <c r="F77" s="341" t="s">
        <v>578</v>
      </c>
      <c r="G77" s="365">
        <f>(10^-4/3)*(((C61)*C62^3)+((C67)*C68^3)+(C64*C65^3))</f>
        <v>71.676000000000002</v>
      </c>
      <c r="H77" s="347" t="s">
        <v>531</v>
      </c>
      <c r="I77" s="348"/>
      <c r="J77" s="475"/>
      <c r="K77" s="403" t="s">
        <v>607</v>
      </c>
      <c r="L77" s="397">
        <f>(10^-4/3)*(((C61)*C62^3)+((C67)*C68^3)+(C64*(C65^3-(O72*0.1)^3)))</f>
        <v>71.715278745357566</v>
      </c>
      <c r="M77" s="394" t="s">
        <v>590</v>
      </c>
      <c r="N77" s="353"/>
      <c r="O77" s="353"/>
      <c r="P77" s="353"/>
      <c r="Q77" s="353"/>
      <c r="R77" s="353"/>
    </row>
    <row r="78" spans="2:19" ht="21" x14ac:dyDescent="0.25">
      <c r="B78" s="340"/>
      <c r="C78" s="373" t="s">
        <v>579</v>
      </c>
      <c r="D78" s="380">
        <f>IF(P65&lt;9*$O$60,1,IF(P65&lt;10*$O$60,2,IF(P65&lt;14*$O$60,3,4)))</f>
        <v>3</v>
      </c>
      <c r="E78" s="381"/>
      <c r="F78" s="341" t="s">
        <v>580</v>
      </c>
      <c r="G78" s="367">
        <f>(10^-6/12)*((C62*C61^3*(C68+C64+(C62/2)-D73)^2)+(C68*C67^3*(D73-(C68/2))^2))</f>
        <v>5974171.8749999991</v>
      </c>
      <c r="H78" s="347" t="s">
        <v>581</v>
      </c>
      <c r="I78" s="348"/>
      <c r="J78" s="475"/>
      <c r="K78" s="403" t="s">
        <v>608</v>
      </c>
      <c r="L78" s="395">
        <f>(10^-6/12)*((C62*C61^3*((C68+C64+(C62/2)-D73)^2-(O72*0.1)^2))+(C68*C67^3*(D73-(C68/2))^2))</f>
        <v>5974117.7363166753</v>
      </c>
      <c r="M78" s="394" t="s">
        <v>609</v>
      </c>
      <c r="N78" s="353"/>
      <c r="O78" s="353"/>
      <c r="P78" s="353"/>
      <c r="Q78" s="353"/>
      <c r="R78" s="353"/>
    </row>
    <row r="79" spans="2:19" x14ac:dyDescent="0.25">
      <c r="B79" s="400"/>
      <c r="C79" s="385"/>
      <c r="D79" s="385"/>
      <c r="E79" s="385"/>
      <c r="F79" s="385"/>
      <c r="G79" s="385"/>
      <c r="H79" s="387"/>
      <c r="J79" s="476"/>
      <c r="K79" s="401"/>
      <c r="L79" s="401"/>
      <c r="M79" s="402"/>
      <c r="N79" s="353"/>
      <c r="O79" s="353"/>
      <c r="P79" s="353"/>
      <c r="Q79" s="353"/>
      <c r="R79" s="353"/>
    </row>
    <row r="80" spans="2:19" x14ac:dyDescent="0.25">
      <c r="K80" s="353"/>
      <c r="L80" s="353"/>
      <c r="M80" s="353"/>
      <c r="N80" s="353"/>
      <c r="O80" s="353"/>
      <c r="P80" s="353"/>
      <c r="Q80" s="353"/>
      <c r="R80" s="353"/>
    </row>
    <row r="81" spans="11:18" x14ac:dyDescent="0.25">
      <c r="K81" s="353"/>
      <c r="L81" s="353"/>
      <c r="M81" s="353"/>
      <c r="N81" s="353"/>
      <c r="O81" s="353"/>
      <c r="P81" s="353"/>
      <c r="Q81" s="353"/>
      <c r="R81" s="353"/>
    </row>
    <row r="82" spans="11:18" x14ac:dyDescent="0.25">
      <c r="K82" s="353"/>
      <c r="L82" s="353"/>
      <c r="M82" s="353"/>
      <c r="N82" s="353"/>
      <c r="O82" s="353"/>
      <c r="P82" s="353"/>
      <c r="Q82" s="353"/>
      <c r="R82" s="353"/>
    </row>
    <row r="83" spans="11:18" x14ac:dyDescent="0.25">
      <c r="K83" s="353"/>
      <c r="L83" s="353"/>
      <c r="M83" s="353"/>
      <c r="N83" s="353"/>
      <c r="O83" s="353"/>
      <c r="P83" s="353"/>
      <c r="Q83" s="353"/>
      <c r="R83" s="353"/>
    </row>
    <row r="84" spans="11:18" x14ac:dyDescent="0.25">
      <c r="K84" s="353"/>
      <c r="L84" s="353"/>
      <c r="M84" s="353"/>
      <c r="N84" s="353"/>
      <c r="O84" s="353"/>
      <c r="P84" s="353"/>
      <c r="Q84" s="353"/>
      <c r="R84" s="353"/>
    </row>
    <row r="85" spans="11:18" x14ac:dyDescent="0.25">
      <c r="K85" s="353"/>
      <c r="L85" s="353"/>
      <c r="M85" s="353"/>
      <c r="N85" s="353"/>
      <c r="O85" s="353"/>
      <c r="P85" s="353"/>
      <c r="Q85" s="353"/>
      <c r="R85" s="353"/>
    </row>
    <row r="86" spans="11:18" x14ac:dyDescent="0.25">
      <c r="K86" s="353"/>
      <c r="L86" s="353"/>
      <c r="M86" s="353"/>
      <c r="N86" s="353"/>
      <c r="O86" s="353"/>
      <c r="P86" s="353"/>
      <c r="Q86" s="353"/>
      <c r="R86" s="353"/>
    </row>
    <row r="87" spans="11:18" x14ac:dyDescent="0.25">
      <c r="K87" s="353"/>
      <c r="L87" s="353"/>
      <c r="M87" s="353"/>
      <c r="N87" s="353"/>
      <c r="O87" s="353"/>
      <c r="P87" s="353"/>
      <c r="Q87" s="353"/>
      <c r="R87" s="353"/>
    </row>
    <row r="88" spans="11:18" x14ac:dyDescent="0.25">
      <c r="K88" s="353"/>
      <c r="L88" s="353"/>
      <c r="M88" s="353"/>
      <c r="N88" s="353"/>
      <c r="O88" s="353"/>
      <c r="P88" s="353"/>
      <c r="Q88" s="353"/>
      <c r="R88" s="353"/>
    </row>
    <row r="89" spans="11:18" x14ac:dyDescent="0.25">
      <c r="K89" s="353"/>
      <c r="L89" s="353"/>
      <c r="M89" s="353"/>
      <c r="N89" s="353"/>
      <c r="O89" s="353"/>
      <c r="P89" s="353"/>
      <c r="Q89" s="353"/>
      <c r="R89" s="353"/>
    </row>
    <row r="90" spans="11:18" x14ac:dyDescent="0.25">
      <c r="K90" s="353"/>
      <c r="L90" s="353"/>
      <c r="M90" s="353"/>
      <c r="N90" s="353"/>
      <c r="O90" s="353"/>
      <c r="P90" s="353"/>
      <c r="Q90" s="353"/>
      <c r="R90" s="353"/>
    </row>
    <row r="91" spans="11:18" x14ac:dyDescent="0.25">
      <c r="K91" s="353"/>
      <c r="L91" s="353"/>
      <c r="M91" s="353"/>
      <c r="N91" s="353"/>
      <c r="O91" s="353"/>
      <c r="P91" s="353"/>
      <c r="Q91" s="353"/>
      <c r="R91" s="353"/>
    </row>
    <row r="92" spans="11:18" x14ac:dyDescent="0.25">
      <c r="K92" s="353"/>
      <c r="L92" s="353"/>
      <c r="M92" s="353"/>
      <c r="N92" s="353"/>
      <c r="O92" s="353"/>
      <c r="P92" s="353"/>
      <c r="Q92" s="353"/>
      <c r="R92" s="353"/>
    </row>
    <row r="93" spans="11:18" x14ac:dyDescent="0.25">
      <c r="K93" s="353"/>
      <c r="L93" s="353"/>
      <c r="M93" s="353"/>
      <c r="N93" s="353"/>
      <c r="O93" s="353"/>
      <c r="P93" s="353"/>
      <c r="Q93" s="353"/>
      <c r="R93" s="353"/>
    </row>
    <row r="94" spans="11:18" x14ac:dyDescent="0.25">
      <c r="K94" s="353"/>
      <c r="L94" s="353"/>
      <c r="M94" s="353"/>
      <c r="N94" s="353"/>
      <c r="O94" s="353"/>
      <c r="P94" s="353"/>
      <c r="Q94" s="353"/>
      <c r="R94" s="353"/>
    </row>
    <row r="95" spans="11:18" x14ac:dyDescent="0.25">
      <c r="K95" s="353"/>
      <c r="L95" s="353"/>
      <c r="M95" s="353"/>
      <c r="N95" s="353"/>
      <c r="O95" s="353"/>
      <c r="P95" s="353"/>
      <c r="Q95" s="353"/>
      <c r="R95" s="353"/>
    </row>
    <row r="96" spans="11:18" x14ac:dyDescent="0.25">
      <c r="K96" s="353"/>
      <c r="L96" s="353"/>
      <c r="M96" s="353"/>
      <c r="N96" s="353"/>
      <c r="O96" s="353"/>
      <c r="P96" s="353"/>
      <c r="Q96" s="353"/>
      <c r="R96" s="353"/>
    </row>
    <row r="97" spans="11:18" x14ac:dyDescent="0.25">
      <c r="K97" s="353"/>
      <c r="L97" s="353"/>
      <c r="M97" s="353"/>
      <c r="N97" s="353"/>
      <c r="O97" s="353"/>
      <c r="P97" s="353"/>
      <c r="Q97" s="353"/>
      <c r="R97" s="353"/>
    </row>
    <row r="98" spans="11:18" x14ac:dyDescent="0.25">
      <c r="K98" s="353"/>
      <c r="L98" s="353"/>
      <c r="M98" s="353"/>
      <c r="N98" s="353"/>
      <c r="O98" s="353"/>
      <c r="P98" s="353"/>
      <c r="Q98" s="353"/>
      <c r="R98" s="353"/>
    </row>
    <row r="99" spans="11:18" x14ac:dyDescent="0.25">
      <c r="K99" s="353"/>
      <c r="L99" s="353"/>
      <c r="M99" s="353"/>
      <c r="N99" s="353"/>
      <c r="O99" s="353"/>
      <c r="P99" s="353"/>
      <c r="Q99" s="353"/>
      <c r="R99" s="353"/>
    </row>
    <row r="100" spans="11:18" x14ac:dyDescent="0.25">
      <c r="K100" s="353"/>
      <c r="L100" s="353"/>
      <c r="M100" s="353"/>
      <c r="N100" s="353"/>
      <c r="O100" s="353"/>
      <c r="P100" s="353"/>
      <c r="Q100" s="353"/>
      <c r="R100" s="353"/>
    </row>
    <row r="101" spans="11:18" x14ac:dyDescent="0.25">
      <c r="K101" s="353"/>
      <c r="L101" s="353"/>
      <c r="M101" s="353"/>
      <c r="N101" s="353"/>
      <c r="O101" s="353"/>
      <c r="P101" s="353"/>
      <c r="Q101" s="353"/>
      <c r="R101" s="353"/>
    </row>
    <row r="102" spans="11:18" x14ac:dyDescent="0.25">
      <c r="K102" s="353"/>
      <c r="L102" s="353"/>
      <c r="M102" s="353"/>
      <c r="N102" s="353"/>
      <c r="O102" s="353"/>
      <c r="P102" s="353"/>
      <c r="Q102" s="353"/>
      <c r="R102" s="353"/>
    </row>
    <row r="103" spans="11:18" x14ac:dyDescent="0.25">
      <c r="K103" s="353"/>
      <c r="L103" s="353"/>
      <c r="M103" s="353"/>
      <c r="N103" s="353"/>
      <c r="O103" s="353"/>
      <c r="P103" s="353"/>
      <c r="Q103" s="353"/>
      <c r="R103" s="353"/>
    </row>
    <row r="104" spans="11:18" x14ac:dyDescent="0.25">
      <c r="K104" s="353"/>
      <c r="L104" s="353"/>
      <c r="M104" s="353"/>
      <c r="N104" s="353"/>
      <c r="O104" s="353"/>
      <c r="P104" s="353"/>
      <c r="Q104" s="353"/>
      <c r="R104" s="353"/>
    </row>
    <row r="105" spans="11:18" x14ac:dyDescent="0.25">
      <c r="K105" s="353"/>
      <c r="L105" s="353"/>
      <c r="M105" s="353"/>
      <c r="N105" s="353"/>
      <c r="O105" s="353"/>
      <c r="P105" s="353"/>
      <c r="Q105" s="353"/>
      <c r="R105" s="353"/>
    </row>
    <row r="106" spans="11:18" x14ac:dyDescent="0.25">
      <c r="K106" s="353"/>
      <c r="L106" s="353"/>
      <c r="M106" s="353"/>
      <c r="N106" s="353"/>
      <c r="O106" s="353"/>
      <c r="P106" s="353"/>
      <c r="Q106" s="353"/>
      <c r="R106" s="353"/>
    </row>
    <row r="107" spans="11:18" x14ac:dyDescent="0.25">
      <c r="K107" s="353"/>
      <c r="L107" s="353"/>
      <c r="M107" s="353"/>
      <c r="N107" s="353"/>
      <c r="O107" s="353"/>
      <c r="P107" s="353"/>
      <c r="Q107" s="353"/>
      <c r="R107" s="353"/>
    </row>
    <row r="108" spans="11:18" x14ac:dyDescent="0.25">
      <c r="K108" s="353"/>
      <c r="L108" s="353"/>
      <c r="M108" s="353"/>
      <c r="N108" s="353"/>
      <c r="O108" s="353"/>
      <c r="P108" s="353"/>
      <c r="Q108" s="353"/>
      <c r="R108" s="353"/>
    </row>
    <row r="109" spans="11:18" x14ac:dyDescent="0.25">
      <c r="K109" s="353"/>
      <c r="L109" s="353"/>
      <c r="M109" s="353"/>
      <c r="N109" s="353"/>
      <c r="O109" s="353"/>
      <c r="P109" s="353"/>
      <c r="Q109" s="353"/>
      <c r="R109" s="353"/>
    </row>
    <row r="110" spans="11:18" x14ac:dyDescent="0.25">
      <c r="K110" s="353"/>
      <c r="L110" s="353"/>
      <c r="M110" s="353"/>
      <c r="N110" s="353"/>
      <c r="O110" s="353"/>
      <c r="P110" s="353"/>
      <c r="Q110" s="353"/>
      <c r="R110" s="353"/>
    </row>
    <row r="111" spans="11:18" x14ac:dyDescent="0.25">
      <c r="K111" s="353"/>
      <c r="L111" s="353"/>
      <c r="M111" s="353"/>
      <c r="N111" s="353"/>
      <c r="O111" s="353"/>
      <c r="P111" s="353"/>
      <c r="Q111" s="353"/>
      <c r="R111" s="353"/>
    </row>
    <row r="112" spans="11:18" x14ac:dyDescent="0.25">
      <c r="K112" s="353"/>
      <c r="L112" s="353"/>
      <c r="M112" s="353"/>
      <c r="N112" s="353"/>
      <c r="O112" s="353"/>
      <c r="P112" s="353"/>
      <c r="Q112" s="353"/>
      <c r="R112" s="353"/>
    </row>
    <row r="113" spans="11:18" x14ac:dyDescent="0.25">
      <c r="K113" s="353"/>
      <c r="L113" s="353"/>
      <c r="M113" s="353"/>
      <c r="N113" s="353"/>
      <c r="O113" s="353"/>
      <c r="P113" s="353"/>
      <c r="Q113" s="353"/>
      <c r="R113" s="353"/>
    </row>
    <row r="114" spans="11:18" x14ac:dyDescent="0.25">
      <c r="K114" s="353"/>
      <c r="L114" s="353"/>
      <c r="M114" s="353"/>
      <c r="N114" s="353"/>
      <c r="O114" s="353"/>
      <c r="P114" s="353"/>
      <c r="Q114" s="353"/>
      <c r="R114" s="353"/>
    </row>
    <row r="115" spans="11:18" x14ac:dyDescent="0.25">
      <c r="K115" s="353"/>
      <c r="L115" s="353"/>
      <c r="M115" s="353"/>
      <c r="N115" s="353"/>
      <c r="O115" s="353"/>
      <c r="P115" s="353"/>
      <c r="Q115" s="353"/>
      <c r="R115" s="353"/>
    </row>
    <row r="116" spans="11:18" x14ac:dyDescent="0.25">
      <c r="K116" s="353"/>
      <c r="L116" s="353"/>
      <c r="M116" s="353"/>
      <c r="N116" s="353"/>
      <c r="O116" s="353"/>
      <c r="P116" s="353"/>
      <c r="Q116" s="353"/>
      <c r="R116" s="353"/>
    </row>
    <row r="117" spans="11:18" x14ac:dyDescent="0.25">
      <c r="K117" s="353"/>
      <c r="L117" s="353"/>
      <c r="M117" s="353"/>
      <c r="N117" s="353"/>
      <c r="O117" s="353"/>
      <c r="P117" s="353"/>
      <c r="Q117" s="353"/>
      <c r="R117" s="353"/>
    </row>
    <row r="118" spans="11:18" x14ac:dyDescent="0.25">
      <c r="K118" s="353"/>
      <c r="L118" s="353"/>
      <c r="M118" s="353"/>
      <c r="N118" s="353"/>
      <c r="O118" s="353"/>
      <c r="P118" s="353"/>
      <c r="Q118" s="353"/>
      <c r="R118" s="353"/>
    </row>
    <row r="119" spans="11:18" x14ac:dyDescent="0.25">
      <c r="K119" s="353"/>
      <c r="L119" s="353"/>
      <c r="M119" s="353"/>
      <c r="N119" s="353"/>
      <c r="O119" s="353"/>
      <c r="P119" s="353"/>
      <c r="Q119" s="353"/>
      <c r="R119" s="353"/>
    </row>
    <row r="120" spans="11:18" x14ac:dyDescent="0.25">
      <c r="K120" s="353"/>
      <c r="L120" s="353"/>
      <c r="M120" s="353"/>
      <c r="N120" s="353"/>
      <c r="O120" s="353"/>
      <c r="P120" s="353"/>
      <c r="Q120" s="353"/>
      <c r="R120" s="353"/>
    </row>
    <row r="121" spans="11:18" x14ac:dyDescent="0.25">
      <c r="K121" s="353"/>
      <c r="L121" s="353"/>
      <c r="M121" s="353"/>
      <c r="N121" s="353"/>
      <c r="O121" s="353"/>
      <c r="P121" s="353"/>
      <c r="Q121" s="353"/>
      <c r="R121" s="353"/>
    </row>
    <row r="122" spans="11:18" x14ac:dyDescent="0.25">
      <c r="K122" s="353"/>
      <c r="L122" s="353"/>
      <c r="M122" s="353"/>
      <c r="N122" s="353"/>
      <c r="O122" s="353"/>
      <c r="P122" s="353"/>
      <c r="Q122" s="353"/>
      <c r="R122" s="353"/>
    </row>
    <row r="123" spans="11:18" x14ac:dyDescent="0.25">
      <c r="K123" s="353"/>
      <c r="L123" s="353"/>
      <c r="M123" s="353"/>
      <c r="N123" s="353"/>
      <c r="O123" s="353"/>
      <c r="P123" s="353"/>
      <c r="Q123" s="353"/>
      <c r="R123" s="353"/>
    </row>
    <row r="124" spans="11:18" x14ac:dyDescent="0.25">
      <c r="K124" s="353"/>
      <c r="L124" s="353"/>
      <c r="M124" s="353"/>
      <c r="N124" s="353"/>
      <c r="O124" s="353"/>
      <c r="P124" s="353"/>
      <c r="Q124" s="353"/>
      <c r="R124" s="353"/>
    </row>
    <row r="125" spans="11:18" x14ac:dyDescent="0.25">
      <c r="K125" s="353"/>
      <c r="L125" s="353"/>
      <c r="M125" s="353"/>
      <c r="N125" s="353"/>
      <c r="O125" s="353"/>
      <c r="P125" s="353"/>
      <c r="Q125" s="353"/>
      <c r="R125" s="353"/>
    </row>
    <row r="126" spans="11:18" x14ac:dyDescent="0.25">
      <c r="K126" s="353"/>
      <c r="L126" s="353"/>
      <c r="M126" s="353"/>
      <c r="N126" s="353"/>
      <c r="O126" s="353"/>
      <c r="P126" s="353"/>
      <c r="Q126" s="353"/>
      <c r="R126" s="353"/>
    </row>
    <row r="127" spans="11:18" x14ac:dyDescent="0.25">
      <c r="K127" s="353"/>
      <c r="L127" s="353"/>
      <c r="M127" s="353"/>
      <c r="N127" s="353"/>
      <c r="O127" s="353"/>
      <c r="P127" s="353"/>
      <c r="Q127" s="353"/>
      <c r="R127" s="353"/>
    </row>
    <row r="128" spans="11:18" x14ac:dyDescent="0.25">
      <c r="K128" s="353"/>
      <c r="L128" s="353"/>
      <c r="M128" s="353"/>
      <c r="N128" s="353"/>
      <c r="O128" s="353"/>
      <c r="P128" s="353"/>
      <c r="Q128" s="353"/>
      <c r="R128" s="353"/>
    </row>
  </sheetData>
  <sheetProtection algorithmName="SHA-512" hashValue="C5cBp2os7sHxgTB5X48ICBxhIRibV/wIg78rqaa8E4qLIU1E/ieAQN0vn0BgTlkUxQk8OLVfpjX1iyHACj3SuA==" saltValue="dKidcnG8KMfMfghw7vEWQQ==" spinCount="100000" sheet="1" objects="1" scenarios="1"/>
  <mergeCells count="9">
    <mergeCell ref="B2:H2"/>
    <mergeCell ref="J35:J56"/>
    <mergeCell ref="K38:M38"/>
    <mergeCell ref="K35:M35"/>
    <mergeCell ref="J58:J79"/>
    <mergeCell ref="K61:M61"/>
    <mergeCell ref="K58:M58"/>
    <mergeCell ref="K37:M37"/>
    <mergeCell ref="K60:M60"/>
  </mergeCells>
  <conditionalFormatting sqref="G25 G17">
    <cfRule type="expression" dxfId="10" priority="9">
      <formula>OR($D$29=3,$D$30=3,$D$29=4,$D$30=4,$E$28=3,$E$28=4)</formula>
    </cfRule>
  </conditionalFormatting>
  <conditionalFormatting sqref="G16:G17 G24:G25 G49:G50 G41:G42">
    <cfRule type="cellIs" dxfId="9" priority="10" operator="lessThan">
      <formula>$G$5</formula>
    </cfRule>
    <cfRule type="cellIs" dxfId="8" priority="11" operator="greaterThan">
      <formula>$G$5</formula>
    </cfRule>
  </conditionalFormatting>
  <conditionalFormatting sqref="G42 G50">
    <cfRule type="expression" dxfId="7" priority="8">
      <formula>OR($D$54=3,$D$55=3,$D$54=4,$D$55=4,$E$53=3,$E$53=4)</formula>
    </cfRule>
  </conditionalFormatting>
  <conditionalFormatting sqref="K38:M38">
    <cfRule type="expression" dxfId="6" priority="6">
      <formula>OR($E$53&gt;3,$D$54&gt;2,$D$55&gt;2)</formula>
    </cfRule>
    <cfRule type="expression" dxfId="5" priority="7">
      <formula>AND($E$53=3,$D$54&lt;=2,$D$55&lt;=2)</formula>
    </cfRule>
  </conditionalFormatting>
  <conditionalFormatting sqref="G72:G73 G64:G65">
    <cfRule type="cellIs" dxfId="4" priority="4" operator="lessThan">
      <formula>$G$5</formula>
    </cfRule>
    <cfRule type="cellIs" dxfId="3" priority="5" operator="greaterThan">
      <formula>$G$5</formula>
    </cfRule>
  </conditionalFormatting>
  <conditionalFormatting sqref="G65 G73">
    <cfRule type="expression" dxfId="2" priority="3">
      <formula>OR($D$54=3,$D$55=3,$D$54=4,$D$55=4,$E$53=3,$E$53=4)</formula>
    </cfRule>
  </conditionalFormatting>
  <conditionalFormatting sqref="K61:M61">
    <cfRule type="expression" dxfId="1" priority="1">
      <formula>OR($E$76&lt;&gt;4,$D$77&gt;3,$D$78&gt;3)</formula>
    </cfRule>
    <cfRule type="expression" dxfId="0" priority="2">
      <formula>AND(E76=4,D77&lt;=3,D78&lt;=3)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8" orientation="portrait" r:id="rId1"/>
  <rowBreaks count="3" manualBreakCount="3">
    <brk id="33" max="16383" man="1"/>
    <brk id="56" min="1" max="12" man="1"/>
    <brk id="79" min="1" max="12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123B9CE4-64A1-40DF-A53A-C0574598B46F}">
          <x14:formula1>
            <xm:f>Data!$A$3:$A$6</xm:f>
          </x14:formula1>
          <xm:sqref>D5 C10 C35 C58</xm:sqref>
        </x14:dataValidation>
        <x14:dataValidation type="list" allowBlank="1" showInputMessage="1" showErrorMessage="1" xr:uid="{BBE4041D-7447-4948-BD27-B1710410392D}">
          <x14:formula1>
            <xm:f>Data!$F$19:$F$21</xm:f>
          </x14:formula1>
          <xm:sqref>D6</xm:sqref>
        </x14:dataValidation>
        <x14:dataValidation type="list" allowBlank="1" showInputMessage="1" showErrorMessage="1" xr:uid="{57ACA84B-ABD7-4F75-810B-DE788AD0C2DF}">
          <x14:formula1>
            <xm:f>Data!$Q$3:$Q$21</xm:f>
          </x14:formula1>
          <xm:sqref>D8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48226-B0E3-45A9-BA5E-5E042C3FB42B}">
  <sheetPr codeName="Feuil7">
    <tabColor rgb="FFFF0000"/>
  </sheetPr>
  <dimension ref="A1:Q35"/>
  <sheetViews>
    <sheetView zoomScaleNormal="100" workbookViewId="0">
      <selection activeCell="E3" sqref="E3"/>
    </sheetView>
  </sheetViews>
  <sheetFormatPr baseColWidth="10" defaultColWidth="14.7109375" defaultRowHeight="15" x14ac:dyDescent="0.25"/>
  <cols>
    <col min="1" max="16384" width="14.7109375" style="244"/>
  </cols>
  <sheetData>
    <row r="1" spans="1:17" ht="15.75" thickBot="1" x14ac:dyDescent="0.3">
      <c r="A1" s="243"/>
      <c r="B1" s="243"/>
      <c r="C1" s="243"/>
      <c r="D1" s="243"/>
      <c r="E1" s="243"/>
      <c r="F1" s="243"/>
      <c r="G1" s="243"/>
      <c r="K1" s="243"/>
    </row>
    <row r="2" spans="1:17" ht="15.75" x14ac:dyDescent="0.25">
      <c r="A2" s="245" t="s">
        <v>424</v>
      </c>
      <c r="B2" s="246" t="s">
        <v>425</v>
      </c>
      <c r="C2" s="247" t="s">
        <v>426</v>
      </c>
      <c r="D2" s="248" t="s">
        <v>427</v>
      </c>
      <c r="F2" s="249" t="s">
        <v>428</v>
      </c>
      <c r="G2" s="250" t="s">
        <v>429</v>
      </c>
      <c r="H2" s="246" t="s">
        <v>430</v>
      </c>
      <c r="I2" s="251" t="s">
        <v>216</v>
      </c>
      <c r="J2" s="251" t="s">
        <v>431</v>
      </c>
      <c r="K2" s="246" t="s">
        <v>432</v>
      </c>
      <c r="L2" s="252" t="s">
        <v>433</v>
      </c>
      <c r="N2" s="479" t="s">
        <v>434</v>
      </c>
      <c r="O2" s="480"/>
      <c r="Q2" s="253" t="s">
        <v>435</v>
      </c>
    </row>
    <row r="3" spans="1:17" x14ac:dyDescent="0.25">
      <c r="A3" s="254" t="s">
        <v>436</v>
      </c>
      <c r="B3" s="244">
        <v>23.5</v>
      </c>
      <c r="C3" s="244">
        <v>36</v>
      </c>
      <c r="D3" s="255">
        <v>0.8</v>
      </c>
      <c r="F3" s="256">
        <v>12</v>
      </c>
      <c r="G3" s="257">
        <v>1.75</v>
      </c>
      <c r="H3" s="258">
        <f>ROUND(0.8*F3,0)</f>
        <v>10</v>
      </c>
      <c r="I3" s="259">
        <f t="shared" ref="I3:I16" si="0">ROUND(PI()*F3^2/4,0)</f>
        <v>113</v>
      </c>
      <c r="J3" s="259">
        <f t="shared" ref="J3:J16" si="1">ROUND(I3*((F3-0.93815*G3)/F3)^2,0)</f>
        <v>84</v>
      </c>
      <c r="K3" s="258">
        <f t="shared" ref="K3:K9" si="2">F3+2</f>
        <v>14</v>
      </c>
      <c r="L3" s="260">
        <v>19.39</v>
      </c>
      <c r="N3" s="261" t="s">
        <v>437</v>
      </c>
      <c r="O3" s="262"/>
      <c r="Q3" s="263">
        <v>100</v>
      </c>
    </row>
    <row r="4" spans="1:17" x14ac:dyDescent="0.25">
      <c r="A4" s="254" t="s">
        <v>438</v>
      </c>
      <c r="B4" s="244">
        <v>27.5</v>
      </c>
      <c r="C4" s="244">
        <v>43</v>
      </c>
      <c r="D4" s="255">
        <v>0.85</v>
      </c>
      <c r="F4" s="256">
        <v>14</v>
      </c>
      <c r="G4" s="257">
        <v>2</v>
      </c>
      <c r="H4" s="258">
        <f t="shared" ref="H4:H16" si="3">ROUND(0.8*F4,0)</f>
        <v>11</v>
      </c>
      <c r="I4" s="259">
        <f t="shared" si="0"/>
        <v>154</v>
      </c>
      <c r="J4" s="259">
        <f t="shared" si="1"/>
        <v>115</v>
      </c>
      <c r="K4" s="258">
        <f t="shared" si="2"/>
        <v>16</v>
      </c>
      <c r="L4" s="260">
        <v>22.63</v>
      </c>
      <c r="N4" s="264" t="s">
        <v>439</v>
      </c>
      <c r="O4" s="255">
        <v>1</v>
      </c>
      <c r="Q4" s="263">
        <v>150</v>
      </c>
    </row>
    <row r="5" spans="1:17" x14ac:dyDescent="0.25">
      <c r="A5" s="254" t="s">
        <v>440</v>
      </c>
      <c r="B5" s="244">
        <v>35.5</v>
      </c>
      <c r="C5" s="244">
        <v>49</v>
      </c>
      <c r="D5" s="255">
        <v>0.9</v>
      </c>
      <c r="F5" s="256">
        <v>16</v>
      </c>
      <c r="G5" s="257">
        <v>2</v>
      </c>
      <c r="H5" s="258">
        <f t="shared" si="3"/>
        <v>13</v>
      </c>
      <c r="I5" s="259">
        <f t="shared" si="0"/>
        <v>201</v>
      </c>
      <c r="J5" s="259">
        <f t="shared" si="1"/>
        <v>157</v>
      </c>
      <c r="K5" s="258">
        <f t="shared" si="2"/>
        <v>18</v>
      </c>
      <c r="L5" s="260">
        <v>25.86</v>
      </c>
      <c r="N5" s="264" t="s">
        <v>441</v>
      </c>
      <c r="O5" s="255">
        <v>1</v>
      </c>
      <c r="Q5" s="263">
        <v>200</v>
      </c>
    </row>
    <row r="6" spans="1:17" ht="15.75" thickBot="1" x14ac:dyDescent="0.3">
      <c r="A6" s="265" t="s">
        <v>442</v>
      </c>
      <c r="B6" s="266">
        <v>46</v>
      </c>
      <c r="C6" s="266">
        <v>55</v>
      </c>
      <c r="D6" s="267">
        <v>1</v>
      </c>
      <c r="F6" s="256">
        <v>18</v>
      </c>
      <c r="G6" s="257">
        <v>2.5</v>
      </c>
      <c r="H6" s="258">
        <f t="shared" si="3"/>
        <v>14</v>
      </c>
      <c r="I6" s="259">
        <f t="shared" si="0"/>
        <v>254</v>
      </c>
      <c r="J6" s="259">
        <f t="shared" si="1"/>
        <v>192</v>
      </c>
      <c r="K6" s="258">
        <f t="shared" si="2"/>
        <v>20</v>
      </c>
      <c r="L6" s="260">
        <v>29.09</v>
      </c>
      <c r="N6" s="264" t="s">
        <v>443</v>
      </c>
      <c r="O6" s="255">
        <v>1.25</v>
      </c>
      <c r="Q6" s="263">
        <v>250</v>
      </c>
    </row>
    <row r="7" spans="1:17" ht="15.75" thickBot="1" x14ac:dyDescent="0.3">
      <c r="A7" s="243"/>
      <c r="F7" s="256">
        <v>20</v>
      </c>
      <c r="G7" s="257">
        <v>2.5</v>
      </c>
      <c r="H7" s="258">
        <f t="shared" si="3"/>
        <v>16</v>
      </c>
      <c r="I7" s="259">
        <f t="shared" si="0"/>
        <v>314</v>
      </c>
      <c r="J7" s="259">
        <f t="shared" si="1"/>
        <v>245</v>
      </c>
      <c r="K7" s="258">
        <f t="shared" si="2"/>
        <v>22</v>
      </c>
      <c r="L7" s="260">
        <v>32.32</v>
      </c>
      <c r="N7" s="264" t="s">
        <v>444</v>
      </c>
      <c r="O7" s="255">
        <v>1.1000000000000001</v>
      </c>
      <c r="Q7" s="263">
        <v>300</v>
      </c>
    </row>
    <row r="8" spans="1:17" ht="15.75" x14ac:dyDescent="0.25">
      <c r="A8" s="268" t="s">
        <v>445</v>
      </c>
      <c r="B8" s="246" t="s">
        <v>425</v>
      </c>
      <c r="C8" s="246" t="s">
        <v>426</v>
      </c>
      <c r="D8" s="252" t="s">
        <v>446</v>
      </c>
      <c r="F8" s="256">
        <v>22</v>
      </c>
      <c r="G8" s="257">
        <v>2.5</v>
      </c>
      <c r="H8" s="258">
        <f t="shared" si="3"/>
        <v>18</v>
      </c>
      <c r="I8" s="259">
        <f t="shared" si="0"/>
        <v>380</v>
      </c>
      <c r="J8" s="259">
        <f t="shared" si="1"/>
        <v>303</v>
      </c>
      <c r="K8" s="258">
        <f t="shared" si="2"/>
        <v>24</v>
      </c>
      <c r="L8" s="260">
        <v>36.630000000000003</v>
      </c>
      <c r="N8" s="264" t="s">
        <v>447</v>
      </c>
      <c r="O8" s="255"/>
      <c r="Q8" s="263">
        <v>350</v>
      </c>
    </row>
    <row r="9" spans="1:17" x14ac:dyDescent="0.25">
      <c r="A9" s="254">
        <v>4.5999999999999996</v>
      </c>
      <c r="B9" s="244">
        <v>24</v>
      </c>
      <c r="C9" s="244">
        <v>40</v>
      </c>
      <c r="D9" s="255">
        <v>0.6</v>
      </c>
      <c r="F9" s="256">
        <v>24</v>
      </c>
      <c r="G9" s="257">
        <v>3</v>
      </c>
      <c r="H9" s="258">
        <f t="shared" si="3"/>
        <v>19</v>
      </c>
      <c r="I9" s="259">
        <f t="shared" si="0"/>
        <v>452</v>
      </c>
      <c r="J9" s="259">
        <f t="shared" si="1"/>
        <v>352</v>
      </c>
      <c r="K9" s="258">
        <f t="shared" si="2"/>
        <v>26</v>
      </c>
      <c r="L9" s="260">
        <v>38.76</v>
      </c>
      <c r="N9" s="264" t="s">
        <v>448</v>
      </c>
      <c r="O9" s="255"/>
      <c r="Q9" s="263">
        <v>400</v>
      </c>
    </row>
    <row r="10" spans="1:17" x14ac:dyDescent="0.25">
      <c r="A10" s="269">
        <v>4.8</v>
      </c>
      <c r="B10" s="244">
        <v>32</v>
      </c>
      <c r="C10" s="244">
        <v>40</v>
      </c>
      <c r="D10" s="255">
        <v>0.5</v>
      </c>
      <c r="F10" s="256">
        <v>27</v>
      </c>
      <c r="G10" s="257">
        <v>3</v>
      </c>
      <c r="H10" s="258">
        <f t="shared" si="3"/>
        <v>22</v>
      </c>
      <c r="I10" s="259">
        <f t="shared" si="0"/>
        <v>573</v>
      </c>
      <c r="J10" s="259">
        <f t="shared" si="1"/>
        <v>460</v>
      </c>
      <c r="K10" s="258">
        <f t="shared" ref="K10:K16" si="4">F10+3</f>
        <v>30</v>
      </c>
      <c r="L10" s="260">
        <v>44.17</v>
      </c>
      <c r="N10" s="264" t="s">
        <v>449</v>
      </c>
      <c r="O10" s="255"/>
      <c r="Q10" s="263">
        <v>450</v>
      </c>
    </row>
    <row r="11" spans="1:17" x14ac:dyDescent="0.25">
      <c r="A11" s="269">
        <v>5.6</v>
      </c>
      <c r="B11" s="244">
        <v>30</v>
      </c>
      <c r="C11" s="244">
        <v>50</v>
      </c>
      <c r="D11" s="255">
        <v>0.6</v>
      </c>
      <c r="F11" s="256">
        <v>30</v>
      </c>
      <c r="G11" s="257">
        <v>3.5</v>
      </c>
      <c r="H11" s="258">
        <f t="shared" si="3"/>
        <v>24</v>
      </c>
      <c r="I11" s="259">
        <f t="shared" si="0"/>
        <v>707</v>
      </c>
      <c r="J11" s="259">
        <f t="shared" si="1"/>
        <v>561</v>
      </c>
      <c r="K11" s="258">
        <f t="shared" si="4"/>
        <v>33</v>
      </c>
      <c r="L11" s="260">
        <v>49.56</v>
      </c>
      <c r="N11" s="261" t="s">
        <v>450</v>
      </c>
      <c r="O11" s="262"/>
      <c r="Q11" s="263">
        <v>500</v>
      </c>
    </row>
    <row r="12" spans="1:17" x14ac:dyDescent="0.25">
      <c r="A12" s="269">
        <v>5.8</v>
      </c>
      <c r="B12" s="244">
        <v>40</v>
      </c>
      <c r="C12" s="244">
        <v>50</v>
      </c>
      <c r="D12" s="255">
        <v>0.5</v>
      </c>
      <c r="F12" s="256">
        <v>36</v>
      </c>
      <c r="G12" s="257">
        <v>4</v>
      </c>
      <c r="H12" s="258">
        <f t="shared" si="3"/>
        <v>29</v>
      </c>
      <c r="I12" s="259">
        <f t="shared" si="0"/>
        <v>1018</v>
      </c>
      <c r="J12" s="259">
        <f t="shared" si="1"/>
        <v>817</v>
      </c>
      <c r="K12" s="258">
        <f t="shared" si="4"/>
        <v>39</v>
      </c>
      <c r="L12" s="270">
        <v>59.27</v>
      </c>
      <c r="N12" s="271" t="s">
        <v>451</v>
      </c>
      <c r="O12" s="255">
        <v>1.5</v>
      </c>
      <c r="Q12" s="263">
        <v>550</v>
      </c>
    </row>
    <row r="13" spans="1:17" ht="15.75" thickBot="1" x14ac:dyDescent="0.3">
      <c r="A13" s="269">
        <v>6.6</v>
      </c>
      <c r="B13" s="244">
        <v>36</v>
      </c>
      <c r="C13" s="244">
        <v>60</v>
      </c>
      <c r="D13" s="255">
        <v>0.6</v>
      </c>
      <c r="F13" s="256">
        <v>42</v>
      </c>
      <c r="G13" s="257">
        <v>4.5</v>
      </c>
      <c r="H13" s="258">
        <f t="shared" si="3"/>
        <v>34</v>
      </c>
      <c r="I13" s="259">
        <f t="shared" si="0"/>
        <v>1385</v>
      </c>
      <c r="J13" s="259">
        <f t="shared" si="1"/>
        <v>1121</v>
      </c>
      <c r="K13" s="258">
        <f t="shared" si="4"/>
        <v>45</v>
      </c>
      <c r="L13" s="270">
        <v>70</v>
      </c>
      <c r="N13" s="272" t="s">
        <v>452</v>
      </c>
      <c r="O13" s="267">
        <v>1.1000000000000001</v>
      </c>
      <c r="Q13" s="263">
        <v>600</v>
      </c>
    </row>
    <row r="14" spans="1:17" ht="15.75" thickBot="1" x14ac:dyDescent="0.3">
      <c r="A14" s="269">
        <v>6.8</v>
      </c>
      <c r="B14" s="244">
        <v>48</v>
      </c>
      <c r="C14" s="244">
        <v>60</v>
      </c>
      <c r="D14" s="255">
        <v>0.5</v>
      </c>
      <c r="F14" s="256">
        <v>48</v>
      </c>
      <c r="G14" s="257">
        <v>5</v>
      </c>
      <c r="H14" s="258">
        <f t="shared" si="3"/>
        <v>38</v>
      </c>
      <c r="I14" s="259">
        <f t="shared" si="0"/>
        <v>1810</v>
      </c>
      <c r="J14" s="259">
        <f t="shared" si="1"/>
        <v>1474</v>
      </c>
      <c r="K14" s="258">
        <f t="shared" si="4"/>
        <v>51</v>
      </c>
      <c r="L14" s="270">
        <v>80.88</v>
      </c>
      <c r="N14" s="243"/>
      <c r="Q14" s="263">
        <v>650</v>
      </c>
    </row>
    <row r="15" spans="1:17" ht="15.75" x14ac:dyDescent="0.25">
      <c r="A15" s="269">
        <v>6.9</v>
      </c>
      <c r="B15" s="244">
        <v>54</v>
      </c>
      <c r="C15" s="244">
        <v>60</v>
      </c>
      <c r="D15" s="255">
        <v>0.5</v>
      </c>
      <c r="F15" s="256">
        <v>56</v>
      </c>
      <c r="G15" s="257">
        <v>5.5</v>
      </c>
      <c r="H15" s="258">
        <f t="shared" si="3"/>
        <v>45</v>
      </c>
      <c r="I15" s="259">
        <f t="shared" si="0"/>
        <v>2463</v>
      </c>
      <c r="J15" s="259">
        <f t="shared" si="1"/>
        <v>2030</v>
      </c>
      <c r="K15" s="258">
        <f t="shared" si="4"/>
        <v>59</v>
      </c>
      <c r="L15" s="270">
        <v>91.66</v>
      </c>
      <c r="N15" s="273" t="s">
        <v>453</v>
      </c>
      <c r="Q15" s="263">
        <v>700</v>
      </c>
    </row>
    <row r="16" spans="1:17" ht="15.75" thickBot="1" x14ac:dyDescent="0.3">
      <c r="A16" s="269">
        <v>8.8000000000000007</v>
      </c>
      <c r="B16" s="244">
        <v>64</v>
      </c>
      <c r="C16" s="244">
        <v>80</v>
      </c>
      <c r="D16" s="255">
        <v>0.6</v>
      </c>
      <c r="F16" s="274">
        <v>64</v>
      </c>
      <c r="G16" s="275">
        <v>6</v>
      </c>
      <c r="H16" s="276">
        <f t="shared" si="3"/>
        <v>51</v>
      </c>
      <c r="I16" s="277">
        <f t="shared" si="0"/>
        <v>3217</v>
      </c>
      <c r="J16" s="277">
        <f t="shared" si="1"/>
        <v>2676</v>
      </c>
      <c r="K16" s="276">
        <f t="shared" si="4"/>
        <v>67</v>
      </c>
      <c r="L16" s="278">
        <v>102.44</v>
      </c>
      <c r="N16" s="279">
        <v>16</v>
      </c>
      <c r="Q16" s="263">
        <v>750</v>
      </c>
    </row>
    <row r="17" spans="1:17" ht="15.75" thickBot="1" x14ac:dyDescent="0.3">
      <c r="A17" s="269">
        <v>10.9</v>
      </c>
      <c r="B17" s="244">
        <v>90</v>
      </c>
      <c r="C17" s="244">
        <v>100</v>
      </c>
      <c r="D17" s="255">
        <v>0.5</v>
      </c>
      <c r="N17" s="263">
        <v>19</v>
      </c>
      <c r="Q17" s="263">
        <v>800</v>
      </c>
    </row>
    <row r="18" spans="1:17" ht="15.75" x14ac:dyDescent="0.25">
      <c r="A18" s="269" t="s">
        <v>436</v>
      </c>
      <c r="B18" s="244">
        <v>23.5</v>
      </c>
      <c r="C18" s="244">
        <v>36</v>
      </c>
      <c r="D18" s="255">
        <v>0.5</v>
      </c>
      <c r="F18" s="253" t="s">
        <v>454</v>
      </c>
      <c r="H18" s="280" t="s">
        <v>455</v>
      </c>
      <c r="J18" s="280" t="s">
        <v>456</v>
      </c>
      <c r="N18" s="263">
        <v>22</v>
      </c>
      <c r="Q18" s="263">
        <v>850</v>
      </c>
    </row>
    <row r="19" spans="1:17" ht="15.75" thickBot="1" x14ac:dyDescent="0.3">
      <c r="A19" s="269" t="s">
        <v>438</v>
      </c>
      <c r="B19" s="244">
        <v>27.5</v>
      </c>
      <c r="C19" s="244">
        <v>43</v>
      </c>
      <c r="D19" s="255">
        <v>0.5</v>
      </c>
      <c r="F19" s="263" t="s">
        <v>457</v>
      </c>
      <c r="H19" s="281" t="s">
        <v>458</v>
      </c>
      <c r="J19" s="281" t="s">
        <v>459</v>
      </c>
      <c r="N19" s="281">
        <v>25</v>
      </c>
      <c r="Q19" s="263">
        <v>900</v>
      </c>
    </row>
    <row r="20" spans="1:17" x14ac:dyDescent="0.25">
      <c r="A20" s="269" t="s">
        <v>440</v>
      </c>
      <c r="B20" s="244">
        <v>35.5</v>
      </c>
      <c r="C20" s="244">
        <v>49</v>
      </c>
      <c r="D20" s="255">
        <v>0.5</v>
      </c>
      <c r="F20" s="263" t="s">
        <v>460</v>
      </c>
      <c r="Q20" s="263">
        <v>950</v>
      </c>
    </row>
    <row r="21" spans="1:17" ht="15.75" thickBot="1" x14ac:dyDescent="0.3">
      <c r="A21" s="282" t="s">
        <v>442</v>
      </c>
      <c r="B21" s="266">
        <v>46</v>
      </c>
      <c r="C21" s="266">
        <v>55</v>
      </c>
      <c r="D21" s="267">
        <v>0.5</v>
      </c>
      <c r="F21" s="281" t="s">
        <v>461</v>
      </c>
      <c r="Q21" s="281">
        <v>1000</v>
      </c>
    </row>
    <row r="22" spans="1:17" ht="15.75" thickBot="1" x14ac:dyDescent="0.3"/>
    <row r="23" spans="1:17" ht="15.75" x14ac:dyDescent="0.25">
      <c r="A23" s="481" t="s">
        <v>450</v>
      </c>
      <c r="B23" s="283" t="s">
        <v>462</v>
      </c>
      <c r="C23" s="283" t="s">
        <v>463</v>
      </c>
      <c r="D23" s="283" t="s">
        <v>464</v>
      </c>
      <c r="E23" s="283" t="s">
        <v>465</v>
      </c>
      <c r="F23" s="283" t="s">
        <v>466</v>
      </c>
      <c r="G23" s="283" t="s">
        <v>467</v>
      </c>
      <c r="H23" s="284" t="s">
        <v>468</v>
      </c>
    </row>
    <row r="24" spans="1:17" x14ac:dyDescent="0.25">
      <c r="A24" s="482"/>
      <c r="B24" s="285" t="s">
        <v>469</v>
      </c>
      <c r="C24" s="285" t="s">
        <v>469</v>
      </c>
      <c r="D24" s="285" t="s">
        <v>469</v>
      </c>
      <c r="E24" s="285" t="s">
        <v>469</v>
      </c>
      <c r="F24" s="285" t="s">
        <v>469</v>
      </c>
      <c r="G24" s="285" t="s">
        <v>469</v>
      </c>
      <c r="H24" s="286" t="s">
        <v>470</v>
      </c>
    </row>
    <row r="25" spans="1:17" x14ac:dyDescent="0.25">
      <c r="A25" s="269" t="s">
        <v>471</v>
      </c>
      <c r="B25" s="244">
        <v>1.6</v>
      </c>
      <c r="C25" s="244">
        <v>2</v>
      </c>
      <c r="D25" s="244">
        <f>B25+0.8</f>
        <v>2.4000000000000004</v>
      </c>
      <c r="E25" s="287">
        <f t="shared" ref="E25:E31" si="5">0.3*B25^0.67</f>
        <v>0.41103768703891336</v>
      </c>
      <c r="F25" s="287">
        <f>0.7*E25</f>
        <v>0.28772638092723934</v>
      </c>
      <c r="G25" s="287">
        <f>1.3*E25</f>
        <v>0.53434899315058737</v>
      </c>
      <c r="H25" s="288">
        <f>22*D25^0.3</f>
        <v>28.607904894961404</v>
      </c>
    </row>
    <row r="26" spans="1:17" x14ac:dyDescent="0.25">
      <c r="A26" s="269" t="s">
        <v>472</v>
      </c>
      <c r="B26" s="244">
        <v>2</v>
      </c>
      <c r="C26" s="244">
        <v>2.5</v>
      </c>
      <c r="D26" s="244">
        <f t="shared" ref="D26:D35" si="6">B26+0.8</f>
        <v>2.8</v>
      </c>
      <c r="E26" s="287">
        <f t="shared" si="5"/>
        <v>0.47732189025295119</v>
      </c>
      <c r="F26" s="287">
        <f t="shared" ref="F26:F35" si="7">0.7*E26</f>
        <v>0.33412532317706584</v>
      </c>
      <c r="G26" s="287">
        <f t="shared" ref="G26:G35" si="8">1.3*E26</f>
        <v>0.62051845732883659</v>
      </c>
      <c r="H26" s="288">
        <f t="shared" ref="H26:H35" si="9">22*D26^0.3</f>
        <v>29.961951054640309</v>
      </c>
    </row>
    <row r="27" spans="1:17" x14ac:dyDescent="0.25">
      <c r="A27" s="269" t="s">
        <v>473</v>
      </c>
      <c r="B27" s="244">
        <v>2.5</v>
      </c>
      <c r="C27" s="244">
        <v>3</v>
      </c>
      <c r="D27" s="244">
        <f t="shared" si="6"/>
        <v>3.3</v>
      </c>
      <c r="E27" s="287">
        <f t="shared" si="5"/>
        <v>0.55429512694071015</v>
      </c>
      <c r="F27" s="287">
        <f t="shared" si="7"/>
        <v>0.38800658885849709</v>
      </c>
      <c r="G27" s="287">
        <f t="shared" si="8"/>
        <v>0.72058366502292326</v>
      </c>
      <c r="H27" s="288">
        <f t="shared" si="9"/>
        <v>31.475806210019346</v>
      </c>
    </row>
    <row r="28" spans="1:17" x14ac:dyDescent="0.25">
      <c r="A28" s="269" t="s">
        <v>474</v>
      </c>
      <c r="B28" s="244">
        <v>3</v>
      </c>
      <c r="C28" s="244">
        <v>3.7</v>
      </c>
      <c r="D28" s="244">
        <f t="shared" si="6"/>
        <v>3.8</v>
      </c>
      <c r="E28" s="287">
        <f t="shared" si="5"/>
        <v>0.6263145419357049</v>
      </c>
      <c r="F28" s="287">
        <f t="shared" si="7"/>
        <v>0.43842017935499339</v>
      </c>
      <c r="G28" s="287">
        <f t="shared" si="8"/>
        <v>0.81420890451641637</v>
      </c>
      <c r="H28" s="288">
        <f t="shared" si="9"/>
        <v>32.836568031330792</v>
      </c>
    </row>
    <row r="29" spans="1:17" x14ac:dyDescent="0.25">
      <c r="A29" s="269" t="s">
        <v>475</v>
      </c>
      <c r="B29" s="244">
        <v>3.5</v>
      </c>
      <c r="C29" s="244">
        <v>4.5</v>
      </c>
      <c r="D29" s="244">
        <f t="shared" si="6"/>
        <v>4.3</v>
      </c>
      <c r="E29" s="287">
        <f t="shared" si="5"/>
        <v>0.69445937387844225</v>
      </c>
      <c r="F29" s="287">
        <f t="shared" si="7"/>
        <v>0.48612156171490956</v>
      </c>
      <c r="G29" s="287">
        <f t="shared" si="8"/>
        <v>0.90279718604197501</v>
      </c>
      <c r="H29" s="288">
        <f t="shared" si="9"/>
        <v>34.077146199189329</v>
      </c>
    </row>
    <row r="30" spans="1:17" x14ac:dyDescent="0.25">
      <c r="A30" s="269" t="s">
        <v>476</v>
      </c>
      <c r="B30" s="244">
        <v>4</v>
      </c>
      <c r="C30" s="244">
        <v>5</v>
      </c>
      <c r="D30" s="244">
        <f t="shared" si="6"/>
        <v>4.8</v>
      </c>
      <c r="E30" s="287">
        <f t="shared" si="5"/>
        <v>0.75945395638216795</v>
      </c>
      <c r="F30" s="287">
        <f t="shared" si="7"/>
        <v>0.53161776946751749</v>
      </c>
      <c r="G30" s="287">
        <f t="shared" si="8"/>
        <v>0.98729014329681841</v>
      </c>
      <c r="H30" s="288">
        <f t="shared" si="9"/>
        <v>35.220462288934414</v>
      </c>
    </row>
    <row r="31" spans="1:17" x14ac:dyDescent="0.25">
      <c r="A31" s="269" t="s">
        <v>477</v>
      </c>
      <c r="B31" s="244">
        <v>4.5</v>
      </c>
      <c r="C31" s="244">
        <v>5.5</v>
      </c>
      <c r="D31" s="244">
        <f t="shared" si="6"/>
        <v>5.3</v>
      </c>
      <c r="E31" s="287">
        <f t="shared" si="5"/>
        <v>0.82181419593443106</v>
      </c>
      <c r="F31" s="287">
        <f t="shared" si="7"/>
        <v>0.57526993715410168</v>
      </c>
      <c r="G31" s="287">
        <f t="shared" si="8"/>
        <v>1.0683584547147604</v>
      </c>
      <c r="H31" s="288">
        <f t="shared" si="9"/>
        <v>36.283188218914134</v>
      </c>
    </row>
    <row r="32" spans="1:17" x14ac:dyDescent="0.25">
      <c r="A32" s="269" t="s">
        <v>478</v>
      </c>
      <c r="B32" s="244">
        <v>5</v>
      </c>
      <c r="C32" s="244">
        <v>6</v>
      </c>
      <c r="D32" s="287">
        <f t="shared" si="6"/>
        <v>5.8</v>
      </c>
      <c r="E32" s="287">
        <f>2.12*LN(1+0.1*D32)</f>
        <v>0.96974067572241607</v>
      </c>
      <c r="F32" s="287">
        <f t="shared" si="7"/>
        <v>0.6788184730056912</v>
      </c>
      <c r="G32" s="287">
        <f t="shared" si="8"/>
        <v>1.2606628784391409</v>
      </c>
      <c r="H32" s="288">
        <f t="shared" si="9"/>
        <v>37.277869091614654</v>
      </c>
    </row>
    <row r="33" spans="1:8" x14ac:dyDescent="0.25">
      <c r="A33" s="269" t="s">
        <v>479</v>
      </c>
      <c r="B33" s="244">
        <v>5.5</v>
      </c>
      <c r="C33" s="244">
        <v>6.7</v>
      </c>
      <c r="D33" s="287">
        <f t="shared" si="6"/>
        <v>6.3</v>
      </c>
      <c r="E33" s="287">
        <f>2.12*LN(1+0.1*D33)</f>
        <v>1.0357896314155823</v>
      </c>
      <c r="F33" s="287">
        <f t="shared" si="7"/>
        <v>0.72505274199090763</v>
      </c>
      <c r="G33" s="287">
        <f t="shared" si="8"/>
        <v>1.346526520840257</v>
      </c>
      <c r="H33" s="288">
        <f t="shared" si="9"/>
        <v>38.214206461639002</v>
      </c>
    </row>
    <row r="34" spans="1:8" x14ac:dyDescent="0.25">
      <c r="A34" s="269" t="s">
        <v>480</v>
      </c>
      <c r="B34" s="244">
        <v>6</v>
      </c>
      <c r="C34" s="244">
        <v>7.5</v>
      </c>
      <c r="D34" s="287">
        <f t="shared" si="6"/>
        <v>6.8</v>
      </c>
      <c r="E34" s="287">
        <f>2.12*LN(1+0.1*D34)</f>
        <v>1.0998428420401554</v>
      </c>
      <c r="F34" s="287">
        <f t="shared" si="7"/>
        <v>0.76988998942810871</v>
      </c>
      <c r="G34" s="287">
        <f t="shared" si="8"/>
        <v>1.4297956946522021</v>
      </c>
      <c r="H34" s="288">
        <f t="shared" si="9"/>
        <v>39.099873708049074</v>
      </c>
    </row>
    <row r="35" spans="1:8" ht="15.75" thickBot="1" x14ac:dyDescent="0.3">
      <c r="A35" s="282" t="s">
        <v>481</v>
      </c>
      <c r="B35" s="266">
        <v>7</v>
      </c>
      <c r="C35" s="266">
        <v>8.5</v>
      </c>
      <c r="D35" s="289">
        <f t="shared" si="6"/>
        <v>7.8</v>
      </c>
      <c r="E35" s="289">
        <f>2.12*LN(1+0.1*D35)</f>
        <v>1.2224203323244669</v>
      </c>
      <c r="F35" s="289">
        <f t="shared" si="7"/>
        <v>0.85569423262712674</v>
      </c>
      <c r="G35" s="289">
        <f t="shared" si="8"/>
        <v>1.5891464320218069</v>
      </c>
      <c r="H35" s="290">
        <f t="shared" si="9"/>
        <v>40.742817784548983</v>
      </c>
    </row>
  </sheetData>
  <sheetProtection algorithmName="SHA-512" hashValue="wdpqTKJuZBdrPTxxDmR6h5Zm8ZcUKU9bwxS3jFELl8PsfQdXm5E8DzDAvFO452dI/CQEbL1npMic8zRspzPi4Q==" saltValue="XeVngZAgaA6MttPwywdnjw==" spinCount="100000" sheet="1" selectLockedCells="1"/>
  <mergeCells count="2">
    <mergeCell ref="N2:O2"/>
    <mergeCell ref="A23:A24"/>
  </mergeCells>
  <pageMargins left="0.7" right="0.7" top="0.75" bottom="0.75" header="0.3" footer="0.3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1AD10-1AC1-4E8A-B2FB-285EBE5ECB1B}">
  <sheetPr codeName="Feuil2">
    <tabColor rgb="FFFF0000"/>
  </sheetPr>
  <dimension ref="A1:U184"/>
  <sheetViews>
    <sheetView zoomScale="85" zoomScaleNormal="85" workbookViewId="0">
      <pane ySplit="2" topLeftCell="A3" activePane="bottomLeft" state="frozen"/>
      <selection pane="bottomLeft"/>
    </sheetView>
  </sheetViews>
  <sheetFormatPr baseColWidth="10" defaultRowHeight="15" x14ac:dyDescent="0.25"/>
  <cols>
    <col min="1" max="1" width="25.85546875" customWidth="1"/>
    <col min="10" max="10" width="13" customWidth="1"/>
    <col min="12" max="12" width="12.5703125" customWidth="1"/>
    <col min="13" max="13" width="13.140625" customWidth="1"/>
    <col min="15" max="15" width="12.140625" customWidth="1"/>
    <col min="16" max="16" width="12.28515625" customWidth="1"/>
    <col min="18" max="18" width="13.42578125" style="64" customWidth="1"/>
    <col min="20" max="20" width="19.42578125" customWidth="1"/>
    <col min="21" max="21" width="11.42578125" style="12"/>
  </cols>
  <sheetData>
    <row r="1" spans="1:21" ht="42.75" customHeight="1" x14ac:dyDescent="0.25">
      <c r="A1" s="1" t="s">
        <v>0</v>
      </c>
      <c r="B1" s="1" t="s">
        <v>1</v>
      </c>
      <c r="C1" s="490" t="s">
        <v>2</v>
      </c>
      <c r="D1" s="491"/>
      <c r="E1" s="491"/>
      <c r="F1" s="491"/>
      <c r="G1" s="492"/>
      <c r="H1" s="1" t="s">
        <v>3</v>
      </c>
      <c r="I1" s="2" t="s">
        <v>4</v>
      </c>
      <c r="J1" s="493" t="s">
        <v>5</v>
      </c>
      <c r="K1" s="494"/>
      <c r="L1" s="3" t="s">
        <v>6</v>
      </c>
      <c r="M1" s="4" t="s">
        <v>7</v>
      </c>
      <c r="N1" s="2" t="s">
        <v>4</v>
      </c>
      <c r="O1" s="495" t="s">
        <v>5</v>
      </c>
      <c r="P1" s="496"/>
      <c r="Q1" s="3" t="s">
        <v>6</v>
      </c>
      <c r="R1" s="4" t="s">
        <v>7</v>
      </c>
      <c r="S1" s="5" t="s">
        <v>8</v>
      </c>
      <c r="T1" s="6" t="s">
        <v>9</v>
      </c>
      <c r="U1"/>
    </row>
    <row r="2" spans="1:21" ht="15.75" thickBot="1" x14ac:dyDescent="0.3">
      <c r="A2" s="7"/>
      <c r="B2" s="7" t="s">
        <v>10</v>
      </c>
      <c r="C2" s="8" t="s">
        <v>11</v>
      </c>
      <c r="D2" s="9" t="s">
        <v>12</v>
      </c>
      <c r="E2" s="9" t="s">
        <v>13</v>
      </c>
      <c r="F2" s="9" t="s">
        <v>14</v>
      </c>
      <c r="G2" s="10" t="s">
        <v>15</v>
      </c>
      <c r="H2" s="7" t="s">
        <v>16</v>
      </c>
      <c r="I2" s="8" t="s">
        <v>17</v>
      </c>
      <c r="J2" s="9" t="s">
        <v>18</v>
      </c>
      <c r="K2" s="9" t="s">
        <v>19</v>
      </c>
      <c r="L2" s="9" t="s">
        <v>20</v>
      </c>
      <c r="M2" s="10" t="s">
        <v>21</v>
      </c>
      <c r="N2" s="8" t="s">
        <v>22</v>
      </c>
      <c r="O2" s="9" t="s">
        <v>23</v>
      </c>
      <c r="P2" s="9" t="s">
        <v>24</v>
      </c>
      <c r="Q2" s="9" t="s">
        <v>25</v>
      </c>
      <c r="R2" s="10" t="s">
        <v>26</v>
      </c>
      <c r="S2" s="11" t="s">
        <v>27</v>
      </c>
      <c r="T2" s="9" t="s">
        <v>28</v>
      </c>
    </row>
    <row r="3" spans="1:21" s="18" customFormat="1" ht="15.75" x14ac:dyDescent="0.25">
      <c r="A3" s="13"/>
      <c r="B3" s="14" t="s">
        <v>29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6"/>
      <c r="U3" s="17"/>
    </row>
    <row r="4" spans="1:21" x14ac:dyDescent="0.25">
      <c r="A4" s="19" t="s">
        <v>30</v>
      </c>
      <c r="B4" s="19">
        <v>6</v>
      </c>
      <c r="C4" s="20">
        <v>80</v>
      </c>
      <c r="D4" s="21">
        <v>46</v>
      </c>
      <c r="E4" s="21">
        <v>3.8</v>
      </c>
      <c r="F4" s="21">
        <v>5.2</v>
      </c>
      <c r="G4" s="22">
        <v>5</v>
      </c>
      <c r="H4" s="19">
        <v>7.64</v>
      </c>
      <c r="I4" s="20">
        <v>80.14</v>
      </c>
      <c r="J4" s="21">
        <v>20.03</v>
      </c>
      <c r="K4" s="21">
        <v>23.22</v>
      </c>
      <c r="L4" s="21">
        <v>3.24</v>
      </c>
      <c r="M4" s="22">
        <v>3.58</v>
      </c>
      <c r="N4" s="20">
        <v>8.48</v>
      </c>
      <c r="O4" s="21">
        <v>3.69</v>
      </c>
      <c r="P4" s="21">
        <v>5.82</v>
      </c>
      <c r="Q4" s="21">
        <v>1.05</v>
      </c>
      <c r="R4" s="22">
        <v>4.7840000000000007</v>
      </c>
      <c r="S4" s="23">
        <f>(0.67*(D4-0.63*F4)*F4^3+0.33*(C4-2*F4)*E4^3+2*(E4/F4)*(0.145+0.1*G4/F4)*(((G4+0.5*E4)^2+(G4+F4)^2-G4^2)/(2*G4+F4))^4)/10000</f>
        <v>0.69840490394336441</v>
      </c>
      <c r="T4" s="24">
        <f>(F4*D4^3*(C4-F4)^2)/24000000</f>
        <v>117.99640957866667</v>
      </c>
    </row>
    <row r="5" spans="1:21" x14ac:dyDescent="0.25">
      <c r="A5" s="19" t="s">
        <v>31</v>
      </c>
      <c r="B5" s="19">
        <v>8.1</v>
      </c>
      <c r="C5" s="20">
        <v>100</v>
      </c>
      <c r="D5" s="21">
        <v>55</v>
      </c>
      <c r="E5" s="21">
        <v>4.0999999999999996</v>
      </c>
      <c r="F5" s="21">
        <v>5.7</v>
      </c>
      <c r="G5" s="22">
        <v>7</v>
      </c>
      <c r="H5" s="19">
        <v>10.3</v>
      </c>
      <c r="I5" s="20">
        <v>171</v>
      </c>
      <c r="J5" s="21">
        <v>34.200000000000003</v>
      </c>
      <c r="K5" s="21">
        <v>39.409999999999997</v>
      </c>
      <c r="L5" s="21">
        <v>4.07</v>
      </c>
      <c r="M5" s="22">
        <v>5.08</v>
      </c>
      <c r="N5" s="20">
        <v>15.92</v>
      </c>
      <c r="O5" s="21">
        <v>5.79</v>
      </c>
      <c r="P5" s="21">
        <v>9.15</v>
      </c>
      <c r="Q5" s="21">
        <v>1.24</v>
      </c>
      <c r="R5" s="22">
        <v>6.27</v>
      </c>
      <c r="S5" s="23">
        <f t="shared" ref="S5:S89" si="0">(0.67*(D5-0.63*F5)*F5^3+0.33*(C5-2*F5)*E5^3+2*(E5/F5)*(0.145+0.1*G5/F5)*(((G5+0.5*E5)^2+(G5+F5)^2-G5^2)/(2*G5+F5))^4)/10000</f>
        <v>1.2031596870098096</v>
      </c>
      <c r="T5" s="24">
        <f t="shared" ref="T5:T89" si="1">(F5*D5^3*(C5-F5)^2)/24000000</f>
        <v>351.37840564062498</v>
      </c>
    </row>
    <row r="6" spans="1:21" x14ac:dyDescent="0.25">
      <c r="A6" s="19" t="s">
        <v>32</v>
      </c>
      <c r="B6" s="19">
        <v>10.4</v>
      </c>
      <c r="C6" s="20">
        <v>120</v>
      </c>
      <c r="D6" s="21">
        <v>64</v>
      </c>
      <c r="E6" s="21">
        <v>4.4000000000000004</v>
      </c>
      <c r="F6" s="21">
        <v>6.3</v>
      </c>
      <c r="G6" s="22">
        <v>7</v>
      </c>
      <c r="H6" s="19">
        <v>13.2</v>
      </c>
      <c r="I6" s="20">
        <v>317.8</v>
      </c>
      <c r="J6" s="21">
        <v>52.96</v>
      </c>
      <c r="K6" s="21">
        <v>60.73</v>
      </c>
      <c r="L6" s="21">
        <v>4.9000000000000004</v>
      </c>
      <c r="M6" s="22">
        <v>6.31</v>
      </c>
      <c r="N6" s="20">
        <v>27.67</v>
      </c>
      <c r="O6" s="21">
        <v>8.65</v>
      </c>
      <c r="P6" s="21">
        <v>13.58</v>
      </c>
      <c r="Q6" s="21">
        <v>1.45</v>
      </c>
      <c r="R6" s="22">
        <v>8.0640000000000001</v>
      </c>
      <c r="S6" s="23">
        <f t="shared" si="0"/>
        <v>1.7374183596568267</v>
      </c>
      <c r="T6" s="24">
        <f t="shared" si="1"/>
        <v>889.590546432</v>
      </c>
    </row>
    <row r="7" spans="1:21" x14ac:dyDescent="0.25">
      <c r="A7" s="19" t="s">
        <v>33</v>
      </c>
      <c r="B7" s="19">
        <v>12.9</v>
      </c>
      <c r="C7" s="20">
        <v>140</v>
      </c>
      <c r="D7" s="21">
        <v>73</v>
      </c>
      <c r="E7" s="21">
        <v>4.7</v>
      </c>
      <c r="F7" s="21">
        <v>6.9</v>
      </c>
      <c r="G7" s="22">
        <v>7</v>
      </c>
      <c r="H7" s="19">
        <v>16.399999999999999</v>
      </c>
      <c r="I7" s="20">
        <v>541.20000000000005</v>
      </c>
      <c r="J7" s="21">
        <v>77.319999999999993</v>
      </c>
      <c r="K7" s="21">
        <v>88.34</v>
      </c>
      <c r="L7" s="21">
        <v>5.74</v>
      </c>
      <c r="M7" s="22">
        <v>7.64</v>
      </c>
      <c r="N7" s="20">
        <v>44.92</v>
      </c>
      <c r="O7" s="21">
        <v>12.31</v>
      </c>
      <c r="P7" s="21">
        <v>19.25</v>
      </c>
      <c r="Q7" s="21">
        <v>1.65</v>
      </c>
      <c r="R7" s="22">
        <v>10.074000000000002</v>
      </c>
      <c r="S7" s="23">
        <f t="shared" si="0"/>
        <v>2.4499871607378241</v>
      </c>
      <c r="T7" s="24">
        <f t="shared" si="1"/>
        <v>1981.3561184188748</v>
      </c>
    </row>
    <row r="8" spans="1:21" x14ac:dyDescent="0.25">
      <c r="A8" s="19" t="s">
        <v>34</v>
      </c>
      <c r="B8" s="19">
        <v>15.8</v>
      </c>
      <c r="C8" s="20">
        <v>160</v>
      </c>
      <c r="D8" s="21">
        <v>82</v>
      </c>
      <c r="E8" s="21">
        <v>5</v>
      </c>
      <c r="F8" s="21">
        <v>7.4</v>
      </c>
      <c r="G8" s="22">
        <v>9</v>
      </c>
      <c r="H8" s="19">
        <v>20.100000000000001</v>
      </c>
      <c r="I8" s="20">
        <v>869.3</v>
      </c>
      <c r="J8" s="21">
        <v>108.7</v>
      </c>
      <c r="K8" s="21">
        <v>123.9</v>
      </c>
      <c r="L8" s="21">
        <v>6.58</v>
      </c>
      <c r="M8" s="22">
        <v>9.66</v>
      </c>
      <c r="N8" s="20">
        <v>68.31</v>
      </c>
      <c r="O8" s="21">
        <v>16.66</v>
      </c>
      <c r="P8" s="21">
        <v>26.1</v>
      </c>
      <c r="Q8" s="21">
        <v>1.84</v>
      </c>
      <c r="R8" s="22">
        <v>12.136000000000001</v>
      </c>
      <c r="S8" s="23">
        <f t="shared" si="0"/>
        <v>3.6087337888998934</v>
      </c>
      <c r="T8" s="24">
        <f t="shared" si="1"/>
        <v>3958.8687387013333</v>
      </c>
    </row>
    <row r="9" spans="1:21" x14ac:dyDescent="0.25">
      <c r="A9" s="19" t="s">
        <v>35</v>
      </c>
      <c r="B9" s="19">
        <v>18.8</v>
      </c>
      <c r="C9" s="20">
        <v>180</v>
      </c>
      <c r="D9" s="21">
        <v>91</v>
      </c>
      <c r="E9" s="21">
        <v>5.3</v>
      </c>
      <c r="F9" s="21">
        <v>8</v>
      </c>
      <c r="G9" s="22">
        <v>9</v>
      </c>
      <c r="H9" s="19">
        <v>23.9</v>
      </c>
      <c r="I9" s="20">
        <v>1317</v>
      </c>
      <c r="J9" s="21">
        <v>146.30000000000001</v>
      </c>
      <c r="K9" s="21">
        <v>166.4</v>
      </c>
      <c r="L9" s="21">
        <v>7.42</v>
      </c>
      <c r="M9" s="22">
        <v>11.25</v>
      </c>
      <c r="N9" s="20">
        <v>100.9</v>
      </c>
      <c r="O9" s="21">
        <v>22.16</v>
      </c>
      <c r="P9" s="21">
        <v>34.6</v>
      </c>
      <c r="Q9" s="21">
        <v>2.0499999999999998</v>
      </c>
      <c r="R9" s="22">
        <v>14.56</v>
      </c>
      <c r="S9" s="23">
        <f t="shared" si="0"/>
        <v>4.7966473662344677</v>
      </c>
      <c r="T9" s="24">
        <f t="shared" si="1"/>
        <v>7431.214821333333</v>
      </c>
    </row>
    <row r="10" spans="1:21" x14ac:dyDescent="0.25">
      <c r="A10" s="19" t="s">
        <v>36</v>
      </c>
      <c r="B10" s="19">
        <v>22.4</v>
      </c>
      <c r="C10" s="20">
        <v>200</v>
      </c>
      <c r="D10" s="21">
        <v>100</v>
      </c>
      <c r="E10" s="21">
        <v>5.6</v>
      </c>
      <c r="F10" s="21">
        <v>8.5</v>
      </c>
      <c r="G10" s="22">
        <v>12</v>
      </c>
      <c r="H10" s="19">
        <v>28.5</v>
      </c>
      <c r="I10" s="20">
        <v>1943</v>
      </c>
      <c r="J10" s="21">
        <v>194.3</v>
      </c>
      <c r="K10" s="21">
        <v>220.6</v>
      </c>
      <c r="L10" s="21">
        <v>8.26</v>
      </c>
      <c r="M10" s="22">
        <v>14</v>
      </c>
      <c r="N10" s="20">
        <v>142.4</v>
      </c>
      <c r="O10" s="21">
        <v>28.47</v>
      </c>
      <c r="P10" s="21">
        <v>44.61</v>
      </c>
      <c r="Q10" s="21">
        <v>2.2400000000000002</v>
      </c>
      <c r="R10" s="22">
        <v>17</v>
      </c>
      <c r="S10" s="23">
        <f t="shared" si="0"/>
        <v>6.988782174306273</v>
      </c>
      <c r="T10" s="24">
        <f t="shared" si="1"/>
        <v>12988.088541666666</v>
      </c>
    </row>
    <row r="11" spans="1:21" x14ac:dyDescent="0.25">
      <c r="A11" s="19" t="s">
        <v>37</v>
      </c>
      <c r="B11" s="19">
        <v>26.2</v>
      </c>
      <c r="C11" s="20">
        <v>220</v>
      </c>
      <c r="D11" s="21">
        <v>110</v>
      </c>
      <c r="E11" s="21">
        <v>5.9</v>
      </c>
      <c r="F11" s="21">
        <v>9.1999999999999993</v>
      </c>
      <c r="G11" s="22">
        <v>12</v>
      </c>
      <c r="H11" s="19">
        <v>33.4</v>
      </c>
      <c r="I11" s="20">
        <v>2772</v>
      </c>
      <c r="J11" s="21">
        <v>252</v>
      </c>
      <c r="K11" s="21">
        <v>285.39999999999998</v>
      </c>
      <c r="L11" s="21">
        <v>9.11</v>
      </c>
      <c r="M11" s="22">
        <v>15.88</v>
      </c>
      <c r="N11" s="20">
        <v>204.9</v>
      </c>
      <c r="O11" s="21">
        <v>37.25</v>
      </c>
      <c r="P11" s="21">
        <v>58.11</v>
      </c>
      <c r="Q11" s="21">
        <v>2.48</v>
      </c>
      <c r="R11" s="22">
        <v>20.239999999999998</v>
      </c>
      <c r="S11" s="23">
        <f t="shared" si="0"/>
        <v>9.0790029789805367</v>
      </c>
      <c r="T11" s="24">
        <f t="shared" si="1"/>
        <v>22672.314338666667</v>
      </c>
    </row>
    <row r="12" spans="1:21" x14ac:dyDescent="0.25">
      <c r="A12" s="19" t="s">
        <v>38</v>
      </c>
      <c r="B12" s="19">
        <v>30.7</v>
      </c>
      <c r="C12" s="20">
        <v>240</v>
      </c>
      <c r="D12" s="21">
        <v>120</v>
      </c>
      <c r="E12" s="21">
        <v>6.2</v>
      </c>
      <c r="F12" s="21">
        <v>9.8000000000000007</v>
      </c>
      <c r="G12" s="22">
        <v>15</v>
      </c>
      <c r="H12" s="19">
        <v>39.119999999999997</v>
      </c>
      <c r="I12" s="20">
        <v>3892</v>
      </c>
      <c r="J12" s="21">
        <v>324.3</v>
      </c>
      <c r="K12" s="21">
        <v>366.6</v>
      </c>
      <c r="L12" s="21">
        <v>9.9700000000000006</v>
      </c>
      <c r="M12" s="22">
        <v>19.14</v>
      </c>
      <c r="N12" s="20">
        <v>283.60000000000002</v>
      </c>
      <c r="O12" s="21">
        <v>47.27</v>
      </c>
      <c r="P12" s="21">
        <v>73.92</v>
      </c>
      <c r="Q12" s="21">
        <v>2.69</v>
      </c>
      <c r="R12" s="22">
        <v>23.52</v>
      </c>
      <c r="S12" s="23">
        <f t="shared" si="0"/>
        <v>12.898014396092313</v>
      </c>
      <c r="T12" s="24">
        <f t="shared" si="1"/>
        <v>37391.183423999995</v>
      </c>
    </row>
    <row r="13" spans="1:21" x14ac:dyDescent="0.25">
      <c r="A13" s="19" t="s">
        <v>39</v>
      </c>
      <c r="B13" s="19">
        <v>36.1</v>
      </c>
      <c r="C13" s="20">
        <v>270</v>
      </c>
      <c r="D13" s="21">
        <v>135</v>
      </c>
      <c r="E13" s="21">
        <v>6.6</v>
      </c>
      <c r="F13" s="21">
        <v>10.199999999999999</v>
      </c>
      <c r="G13" s="22">
        <v>15</v>
      </c>
      <c r="H13" s="19">
        <v>45.94</v>
      </c>
      <c r="I13" s="20">
        <v>5790</v>
      </c>
      <c r="J13" s="21">
        <v>428.9</v>
      </c>
      <c r="K13" s="21">
        <v>484</v>
      </c>
      <c r="L13" s="21">
        <v>11.23</v>
      </c>
      <c r="M13" s="22">
        <v>22.14</v>
      </c>
      <c r="N13" s="20">
        <v>419.9</v>
      </c>
      <c r="O13" s="21">
        <v>62.2</v>
      </c>
      <c r="P13" s="21">
        <v>96.95</v>
      </c>
      <c r="Q13" s="21">
        <v>3.02</v>
      </c>
      <c r="R13" s="22">
        <v>27.54</v>
      </c>
      <c r="S13" s="23">
        <f t="shared" si="0"/>
        <v>15.966359107646754</v>
      </c>
      <c r="T13" s="24">
        <f t="shared" si="1"/>
        <v>70577.867001375009</v>
      </c>
    </row>
    <row r="14" spans="1:21" x14ac:dyDescent="0.25">
      <c r="A14" s="19" t="s">
        <v>40</v>
      </c>
      <c r="B14" s="19">
        <v>42.2</v>
      </c>
      <c r="C14" s="20">
        <v>300</v>
      </c>
      <c r="D14" s="21">
        <v>150</v>
      </c>
      <c r="E14" s="21">
        <v>7.1</v>
      </c>
      <c r="F14" s="21">
        <v>10.7</v>
      </c>
      <c r="G14" s="22">
        <v>15</v>
      </c>
      <c r="H14" s="19">
        <v>53.81</v>
      </c>
      <c r="I14" s="20">
        <v>8356</v>
      </c>
      <c r="J14" s="21">
        <v>557.1</v>
      </c>
      <c r="K14" s="21">
        <v>628.4</v>
      </c>
      <c r="L14" s="21">
        <v>12.46</v>
      </c>
      <c r="M14" s="22">
        <v>25.68</v>
      </c>
      <c r="N14" s="20">
        <v>603.79999999999995</v>
      </c>
      <c r="O14" s="21">
        <v>80.5</v>
      </c>
      <c r="P14" s="21">
        <v>125.2</v>
      </c>
      <c r="Q14" s="21">
        <v>3.35</v>
      </c>
      <c r="R14" s="22">
        <v>32.1</v>
      </c>
      <c r="S14" s="23">
        <f t="shared" si="0"/>
        <v>20.143757256284992</v>
      </c>
      <c r="T14" s="24">
        <f t="shared" si="1"/>
        <v>125934.052921875</v>
      </c>
    </row>
    <row r="15" spans="1:21" x14ac:dyDescent="0.25">
      <c r="A15" s="19" t="s">
        <v>41</v>
      </c>
      <c r="B15" s="19">
        <v>49.1</v>
      </c>
      <c r="C15" s="20">
        <v>330</v>
      </c>
      <c r="D15" s="21">
        <v>160</v>
      </c>
      <c r="E15" s="21">
        <v>7.5</v>
      </c>
      <c r="F15" s="21">
        <v>11.5</v>
      </c>
      <c r="G15" s="22">
        <v>18</v>
      </c>
      <c r="H15" s="19">
        <v>62.61</v>
      </c>
      <c r="I15" s="20">
        <v>11770</v>
      </c>
      <c r="J15" s="21">
        <v>713.1</v>
      </c>
      <c r="K15" s="21">
        <v>804.3</v>
      </c>
      <c r="L15" s="21">
        <v>13.71</v>
      </c>
      <c r="M15" s="22">
        <v>30.81</v>
      </c>
      <c r="N15" s="20">
        <v>788.1</v>
      </c>
      <c r="O15" s="21">
        <v>98.52</v>
      </c>
      <c r="P15" s="21">
        <v>153.69999999999999</v>
      </c>
      <c r="Q15" s="21">
        <v>3.55</v>
      </c>
      <c r="R15" s="22">
        <v>36.799999999999997</v>
      </c>
      <c r="S15" s="23">
        <f t="shared" si="0"/>
        <v>28.179558507703348</v>
      </c>
      <c r="T15" s="24">
        <f t="shared" si="1"/>
        <v>199097.32266666667</v>
      </c>
    </row>
    <row r="16" spans="1:21" x14ac:dyDescent="0.25">
      <c r="A16" s="19" t="s">
        <v>42</v>
      </c>
      <c r="B16" s="19">
        <v>57.1</v>
      </c>
      <c r="C16" s="20">
        <v>360</v>
      </c>
      <c r="D16" s="21">
        <v>170</v>
      </c>
      <c r="E16" s="21">
        <v>8</v>
      </c>
      <c r="F16" s="21">
        <v>12.7</v>
      </c>
      <c r="G16" s="22">
        <v>18</v>
      </c>
      <c r="H16" s="19">
        <v>72.73</v>
      </c>
      <c r="I16" s="20">
        <v>16270</v>
      </c>
      <c r="J16" s="21">
        <v>903.6</v>
      </c>
      <c r="K16" s="21">
        <v>1019</v>
      </c>
      <c r="L16" s="21">
        <v>14.95</v>
      </c>
      <c r="M16" s="22">
        <v>35.14</v>
      </c>
      <c r="N16" s="20">
        <v>1043</v>
      </c>
      <c r="O16" s="21">
        <v>122.8</v>
      </c>
      <c r="P16" s="21">
        <v>191.1</v>
      </c>
      <c r="Q16" s="21">
        <v>3.79</v>
      </c>
      <c r="R16" s="22">
        <v>43.18</v>
      </c>
      <c r="S16" s="23">
        <f t="shared" si="0"/>
        <v>37.374434630303199</v>
      </c>
      <c r="T16" s="24">
        <f t="shared" si="1"/>
        <v>313580.32796995837</v>
      </c>
    </row>
    <row r="17" spans="1:21" x14ac:dyDescent="0.25">
      <c r="A17" s="19" t="s">
        <v>43</v>
      </c>
      <c r="B17" s="19">
        <v>66.3</v>
      </c>
      <c r="C17" s="20">
        <v>400</v>
      </c>
      <c r="D17" s="21">
        <v>180</v>
      </c>
      <c r="E17" s="21">
        <v>8.6</v>
      </c>
      <c r="F17" s="21">
        <v>13.5</v>
      </c>
      <c r="G17" s="22">
        <v>21</v>
      </c>
      <c r="H17" s="19">
        <v>84.46</v>
      </c>
      <c r="I17" s="20">
        <v>23130</v>
      </c>
      <c r="J17" s="21">
        <v>1156</v>
      </c>
      <c r="K17" s="21">
        <v>1307</v>
      </c>
      <c r="L17" s="21">
        <v>16.55</v>
      </c>
      <c r="M17" s="22">
        <v>42.69</v>
      </c>
      <c r="N17" s="20">
        <v>1318</v>
      </c>
      <c r="O17" s="21">
        <v>146.4</v>
      </c>
      <c r="P17" s="21">
        <v>229</v>
      </c>
      <c r="Q17" s="21">
        <v>3.95</v>
      </c>
      <c r="R17" s="22">
        <v>48.6</v>
      </c>
      <c r="S17" s="23">
        <f t="shared" si="0"/>
        <v>51.137036586288559</v>
      </c>
      <c r="T17" s="24">
        <f t="shared" si="1"/>
        <v>490048.47112499998</v>
      </c>
    </row>
    <row r="18" spans="1:21" x14ac:dyDescent="0.25">
      <c r="A18" s="19" t="s">
        <v>44</v>
      </c>
      <c r="B18" s="19">
        <v>77.599999999999994</v>
      </c>
      <c r="C18" s="20">
        <v>450</v>
      </c>
      <c r="D18" s="21">
        <v>190</v>
      </c>
      <c r="E18" s="21">
        <v>9.4</v>
      </c>
      <c r="F18" s="21">
        <v>14.6</v>
      </c>
      <c r="G18" s="22">
        <v>21</v>
      </c>
      <c r="H18" s="19">
        <v>98.82</v>
      </c>
      <c r="I18" s="20">
        <v>33740</v>
      </c>
      <c r="J18" s="21">
        <v>1500</v>
      </c>
      <c r="K18" s="21">
        <v>1702</v>
      </c>
      <c r="L18" s="21">
        <v>18.48</v>
      </c>
      <c r="M18" s="22">
        <v>50.85</v>
      </c>
      <c r="N18" s="20">
        <v>1676</v>
      </c>
      <c r="O18" s="21">
        <v>176.4</v>
      </c>
      <c r="P18" s="21">
        <v>276.39999999999998</v>
      </c>
      <c r="Q18" s="21">
        <v>4.12</v>
      </c>
      <c r="R18" s="22">
        <v>55.48</v>
      </c>
      <c r="S18" s="23">
        <f t="shared" si="0"/>
        <v>66.945043883850715</v>
      </c>
      <c r="T18" s="24">
        <f t="shared" si="1"/>
        <v>791005.06853433314</v>
      </c>
    </row>
    <row r="19" spans="1:21" x14ac:dyDescent="0.25">
      <c r="A19" s="19" t="s">
        <v>45</v>
      </c>
      <c r="B19" s="19">
        <v>90.7</v>
      </c>
      <c r="C19" s="20">
        <v>500</v>
      </c>
      <c r="D19" s="21">
        <v>200</v>
      </c>
      <c r="E19" s="21">
        <v>10.199999999999999</v>
      </c>
      <c r="F19" s="21">
        <v>16</v>
      </c>
      <c r="G19" s="22">
        <v>21</v>
      </c>
      <c r="H19" s="19">
        <v>115.5</v>
      </c>
      <c r="I19" s="20">
        <v>48200</v>
      </c>
      <c r="J19" s="21">
        <v>1928</v>
      </c>
      <c r="K19" s="21">
        <v>2194</v>
      </c>
      <c r="L19" s="21">
        <v>20.43</v>
      </c>
      <c r="M19" s="22">
        <v>59.87</v>
      </c>
      <c r="N19" s="20">
        <v>2142</v>
      </c>
      <c r="O19" s="21">
        <v>214.2</v>
      </c>
      <c r="P19" s="21">
        <v>335.9</v>
      </c>
      <c r="Q19" s="21">
        <v>4.3099999999999996</v>
      </c>
      <c r="R19" s="22">
        <v>64</v>
      </c>
      <c r="S19" s="23">
        <f t="shared" si="0"/>
        <v>89.380812500482236</v>
      </c>
      <c r="T19" s="24">
        <f t="shared" si="1"/>
        <v>1249365.3333333333</v>
      </c>
    </row>
    <row r="20" spans="1:21" x14ac:dyDescent="0.25">
      <c r="A20" s="19" t="s">
        <v>46</v>
      </c>
      <c r="B20" s="19">
        <v>106</v>
      </c>
      <c r="C20" s="20">
        <v>550</v>
      </c>
      <c r="D20" s="21">
        <v>210</v>
      </c>
      <c r="E20" s="21">
        <v>11.1</v>
      </c>
      <c r="F20" s="21">
        <v>17.2</v>
      </c>
      <c r="G20" s="22">
        <v>24</v>
      </c>
      <c r="H20" s="19">
        <v>134.4</v>
      </c>
      <c r="I20" s="20">
        <v>67120</v>
      </c>
      <c r="J20" s="21">
        <v>2441</v>
      </c>
      <c r="K20" s="21">
        <v>2787</v>
      </c>
      <c r="L20" s="21">
        <v>22.35</v>
      </c>
      <c r="M20" s="22">
        <v>72.34</v>
      </c>
      <c r="N20" s="20">
        <v>2668</v>
      </c>
      <c r="O20" s="21">
        <v>254.1</v>
      </c>
      <c r="P20" s="21">
        <v>400.5</v>
      </c>
      <c r="Q20" s="21">
        <v>4.45</v>
      </c>
      <c r="R20" s="22">
        <v>72.239999999999995</v>
      </c>
      <c r="S20" s="23">
        <f t="shared" si="0"/>
        <v>123.3385922267821</v>
      </c>
      <c r="T20" s="24">
        <f t="shared" si="1"/>
        <v>1884098.1438719996</v>
      </c>
    </row>
    <row r="21" spans="1:21" ht="15.75" thickBot="1" x14ac:dyDescent="0.3">
      <c r="A21" s="25" t="s">
        <v>47</v>
      </c>
      <c r="B21" s="25">
        <v>122</v>
      </c>
      <c r="C21" s="26">
        <v>600</v>
      </c>
      <c r="D21" s="27">
        <v>220</v>
      </c>
      <c r="E21" s="27">
        <v>12</v>
      </c>
      <c r="F21" s="27">
        <v>19</v>
      </c>
      <c r="G21" s="28">
        <v>24</v>
      </c>
      <c r="H21" s="25">
        <v>156</v>
      </c>
      <c r="I21" s="26">
        <v>92080</v>
      </c>
      <c r="J21" s="27">
        <v>3069</v>
      </c>
      <c r="K21" s="27">
        <v>3512</v>
      </c>
      <c r="L21" s="27">
        <v>24.3</v>
      </c>
      <c r="M21" s="28">
        <v>83.78</v>
      </c>
      <c r="N21" s="26">
        <v>3387</v>
      </c>
      <c r="O21" s="27">
        <v>307.89999999999998</v>
      </c>
      <c r="P21" s="27">
        <v>485.6</v>
      </c>
      <c r="Q21" s="27">
        <v>4.66</v>
      </c>
      <c r="R21" s="28">
        <v>83.6</v>
      </c>
      <c r="S21" s="23">
        <f t="shared" si="0"/>
        <v>165.56865441713069</v>
      </c>
      <c r="T21" s="24">
        <f t="shared" si="1"/>
        <v>2845526.7096666666</v>
      </c>
    </row>
    <row r="22" spans="1:21" s="18" customFormat="1" ht="15.75" x14ac:dyDescent="0.25">
      <c r="A22" s="13"/>
      <c r="B22" s="14" t="s">
        <v>48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29"/>
      <c r="U22" s="17"/>
    </row>
    <row r="23" spans="1:21" x14ac:dyDescent="0.25">
      <c r="A23" s="19" t="s">
        <v>49</v>
      </c>
      <c r="B23" s="30">
        <f>7.85*H23*0.1</f>
        <v>5.004690441733004</v>
      </c>
      <c r="C23" s="20">
        <v>78</v>
      </c>
      <c r="D23" s="21">
        <v>46</v>
      </c>
      <c r="E23" s="21">
        <v>3.3</v>
      </c>
      <c r="F23" s="21">
        <v>4.2</v>
      </c>
      <c r="G23" s="22">
        <v>5</v>
      </c>
      <c r="H23" s="31">
        <f>((C23-2*F23)*E23+2*D23*F23+(2*G23)^2-PI()*G23^2)*0.01</f>
        <v>6.3754018366025527</v>
      </c>
      <c r="I23" s="32">
        <f>0.0001*(C23^3*E23/12+(D23-F23)*F23*(C23-F23)^2/2+F23^3*(D23-E23)/6+G23^2*(4-PI())*(0.5*C23-F23-G23*(1-2/(12-3*PI())))^2+4*G23^4*(1/3-PI()/16-1/(9*(4-PI()))))</f>
        <v>63.348419044552955</v>
      </c>
      <c r="J23" s="33">
        <f>I23/(C23*0.5*0.1)</f>
        <v>16.243184370398193</v>
      </c>
      <c r="K23" s="34">
        <f>((E23*C23^2)/4+(D23-E23)*(C23-F23)*F23+((C23-2*F23)*(4-PI())*G23^2/2)+((3*PI()-10)*3)/3)*0.001</f>
        <v>19.000831169337648</v>
      </c>
      <c r="L23" s="34">
        <f>SQRT(I23/H23)</f>
        <v>3.1522024978034975</v>
      </c>
      <c r="M23" s="35">
        <f>H23-(2*D23*F23-(E23+2*G23)*F23)*0.01</f>
        <v>3.0700018366025525</v>
      </c>
      <c r="N23" s="36">
        <f>0.0001*(C23*E23^3/12+(D23-F23)*F23*(D23+F23)^2/8+F23*(D23-E23)^3/24+G23^2*(4-PI())*(0.5*E23-G23*(1-2/(12-3*PI())))^2+4*G23^4*(1/3-PI()/16-1/(9*(4-PI()))))</f>
        <v>6.9185365884003831</v>
      </c>
      <c r="O23" s="34">
        <f>N23/(D23*0.5*0.1)</f>
        <v>3.0080593862610359</v>
      </c>
      <c r="P23" s="34">
        <f>0.001*(D23^2*F23/2+((C23-2*F23)*E23^2)/4+G23^3*(10/3-PI())+(2-PI()/2)*E23*G23^2)</f>
        <v>4.6924628880073636</v>
      </c>
      <c r="Q23" s="34">
        <f>SQRT(N23/H23)</f>
        <v>1.0417256059953579</v>
      </c>
      <c r="R23" s="35">
        <f>0.01*2*D23*E23</f>
        <v>3.036</v>
      </c>
      <c r="S23" s="23">
        <f>(0.67*(D23-0.63*F23)*F23^3+0.33*(C23-2*F23)*E23^3+2*(E23/F23)*(0.145+0.1*G23/F23)*(((G23+0.5*E23)^2+(G23+F23)^2-G23^2)/(2*G23+F23))^4)/10000</f>
        <v>0.41650168285892725</v>
      </c>
      <c r="T23" s="24">
        <f>(F23*D23^3*(C23-F23)^2)/24000000</f>
        <v>92.773569671999994</v>
      </c>
    </row>
    <row r="24" spans="1:21" x14ac:dyDescent="0.25">
      <c r="A24" s="19" t="s">
        <v>50</v>
      </c>
      <c r="B24" s="30">
        <f t="shared" ref="B24:B40" si="2">7.85*H24*0.1</f>
        <v>6.8924723857966859</v>
      </c>
      <c r="C24" s="20">
        <v>98</v>
      </c>
      <c r="D24" s="21">
        <v>55</v>
      </c>
      <c r="E24" s="21">
        <v>3.6</v>
      </c>
      <c r="F24" s="21">
        <v>4.7</v>
      </c>
      <c r="G24" s="22">
        <v>7</v>
      </c>
      <c r="H24" s="31">
        <f t="shared" ref="H24:H40" si="3">((C24-2*F24)*E24+2*D24*F24+(2*G24)^2-PI()*G24^2)*0.01</f>
        <v>8.7802195997410006</v>
      </c>
      <c r="I24" s="32">
        <f t="shared" ref="I24:I40" si="4">0.0001*(C24^3*E24/12+(D24-F24)*F24*(C24-F24)^2/2+F24^3*(D24-E24)/6+G24^2*(4-PI())*(0.5*C24-F24-G24*(1-2/(12-3*PI())))^2+4*G24^4*(1/3-PI()/16-1/(9*(4-PI()))))</f>
        <v>138.91030494520484</v>
      </c>
      <c r="J24" s="33">
        <f t="shared" ref="J24:J40" si="5">I24/(C24*0.5*0.1)</f>
        <v>28.349041825552007</v>
      </c>
      <c r="K24" s="34">
        <f t="shared" ref="K24:K40" si="6">((E24*C24^2)/4+(D24-E24)*(C24-F24)*F24+((C24-2*F24)*(4-PI())*G24^2/2)+((3*PI()-10)*3)/3)*0.001</f>
        <v>33.045783604813408</v>
      </c>
      <c r="L24" s="34">
        <f t="shared" ref="L24:L40" si="7">SQRT(I24/H24)</f>
        <v>3.9775398856249331</v>
      </c>
      <c r="M24" s="35">
        <f t="shared" ref="M24:M40" si="8">H24-(2*D24*F24-(E24+2*G24)*F24)*0.01</f>
        <v>4.4374195997410011</v>
      </c>
      <c r="N24" s="36">
        <f t="shared" ref="N24:N40" si="9">0.0001*(C24*E24^3/12+(D24-F24)*F24*(D24+F24)^2/8+F24*(D24-E24)^3/24+G24^2*(4-PI())*(0.5*E24-G24*(1-2/(12-3*PI())))^2+4*G24^4*(1/3-PI()/16-1/(9*(4-PI()))))</f>
        <v>13.237268205321575</v>
      </c>
      <c r="O24" s="34">
        <f t="shared" ref="O24:O40" si="10">N24/(D24*0.5*0.1)</f>
        <v>4.8135520746623905</v>
      </c>
      <c r="P24" s="34">
        <f t="shared" ref="P24:P40" si="11">0.001*(D24^2*F24/2+((C24-2*F24)*E24^2)/4+G24^3*(10/3-PI())+(2-PI()/2)*E24*G24^2)</f>
        <v>7.5372925811054152</v>
      </c>
      <c r="Q24" s="34">
        <f t="shared" ref="Q24:Q40" si="12">SQRT(N24/H24)</f>
        <v>1.2278533377728318</v>
      </c>
      <c r="R24" s="35">
        <f t="shared" ref="R24:R40" si="13">0.01*2*D24*E24</f>
        <v>3.9600000000000004</v>
      </c>
      <c r="S24" s="23">
        <f t="shared" ref="S24:S40" si="14">(0.67*(D24-0.63*F24)*F24^3+0.33*(C24-2*F24)*E24^3+2*(E24/F24)*(0.145+0.1*G24/F24)*(((G24+0.5*E24)^2+(G24+F24)^2-G24^2)/(2*G24+F24))^4)/10000</f>
        <v>0.77352707296777246</v>
      </c>
      <c r="T24" s="24">
        <f t="shared" ref="T24:T40" si="15">(F24*D24^3*(C24-F24)^2)/24000000</f>
        <v>283.62073110937501</v>
      </c>
    </row>
    <row r="25" spans="1:21" x14ac:dyDescent="0.25">
      <c r="A25" s="19" t="s">
        <v>51</v>
      </c>
      <c r="B25" s="30">
        <f t="shared" si="2"/>
        <v>8.6584083857966849</v>
      </c>
      <c r="C25" s="20">
        <v>117.6</v>
      </c>
      <c r="D25" s="21">
        <v>64</v>
      </c>
      <c r="E25" s="21">
        <v>3.8</v>
      </c>
      <c r="F25" s="21">
        <v>5.0999999999999996</v>
      </c>
      <c r="G25" s="22">
        <v>7</v>
      </c>
      <c r="H25" s="31">
        <f t="shared" si="3"/>
        <v>11.029819599741</v>
      </c>
      <c r="I25" s="32">
        <f t="shared" si="4"/>
        <v>253.16622297475982</v>
      </c>
      <c r="J25" s="33">
        <f t="shared" si="5"/>
        <v>43.055480097748273</v>
      </c>
      <c r="K25" s="34">
        <f t="shared" si="6"/>
        <v>49.936174028569944</v>
      </c>
      <c r="L25" s="34">
        <f t="shared" si="7"/>
        <v>4.7909173254973281</v>
      </c>
      <c r="M25" s="35">
        <f t="shared" si="8"/>
        <v>5.4096195997410002</v>
      </c>
      <c r="N25" s="36">
        <f t="shared" si="9"/>
        <v>22.626364820944236</v>
      </c>
      <c r="O25" s="34">
        <f t="shared" si="10"/>
        <v>7.0707390065450735</v>
      </c>
      <c r="P25" s="34">
        <f t="shared" si="11"/>
        <v>10.978198777102824</v>
      </c>
      <c r="Q25" s="34">
        <f t="shared" si="12"/>
        <v>1.4322643691326233</v>
      </c>
      <c r="R25" s="35">
        <f t="shared" si="13"/>
        <v>4.8639999999999999</v>
      </c>
      <c r="S25" s="23">
        <f t="shared" si="14"/>
        <v>1.0422755395467032</v>
      </c>
      <c r="T25" s="24">
        <f t="shared" si="15"/>
        <v>705.02399999999989</v>
      </c>
    </row>
    <row r="26" spans="1:21" x14ac:dyDescent="0.25">
      <c r="A26" s="19" t="s">
        <v>52</v>
      </c>
      <c r="B26" s="30">
        <f t="shared" si="2"/>
        <v>10.512892385796684</v>
      </c>
      <c r="C26" s="20">
        <v>137.4</v>
      </c>
      <c r="D26" s="21">
        <v>73</v>
      </c>
      <c r="E26" s="21">
        <v>3.8</v>
      </c>
      <c r="F26" s="21">
        <v>5.6</v>
      </c>
      <c r="G26" s="22">
        <v>7</v>
      </c>
      <c r="H26" s="31">
        <f t="shared" si="3"/>
        <v>13.392219599740999</v>
      </c>
      <c r="I26" s="32">
        <f t="shared" si="4"/>
        <v>426.10905116597706</v>
      </c>
      <c r="J26" s="33">
        <f t="shared" si="5"/>
        <v>62.024607156619652</v>
      </c>
      <c r="K26" s="34">
        <f t="shared" si="6"/>
        <v>71.663492452326508</v>
      </c>
      <c r="L26" s="34">
        <f t="shared" si="7"/>
        <v>5.6407142375739854</v>
      </c>
      <c r="M26" s="35">
        <f t="shared" si="8"/>
        <v>6.2130195997409992</v>
      </c>
      <c r="N26" s="36">
        <f t="shared" si="9"/>
        <v>36.950223498860915</v>
      </c>
      <c r="O26" s="34">
        <f t="shared" si="10"/>
        <v>10.12334890379751</v>
      </c>
      <c r="P26" s="34">
        <f t="shared" si="11"/>
        <v>15.522466777102824</v>
      </c>
      <c r="Q26" s="34">
        <f t="shared" si="12"/>
        <v>1.6610482721473057</v>
      </c>
      <c r="R26" s="35">
        <f t="shared" si="13"/>
        <v>5.548</v>
      </c>
      <c r="S26" s="23">
        <f t="shared" si="14"/>
        <v>1.3625650321121925</v>
      </c>
      <c r="T26" s="24">
        <f t="shared" si="15"/>
        <v>1576.7984565853333</v>
      </c>
    </row>
    <row r="27" spans="1:21" x14ac:dyDescent="0.25">
      <c r="A27" s="19" t="s">
        <v>53</v>
      </c>
      <c r="B27" s="30">
        <f t="shared" si="2"/>
        <v>12.700758311214932</v>
      </c>
      <c r="C27" s="20">
        <v>157</v>
      </c>
      <c r="D27" s="21">
        <v>82</v>
      </c>
      <c r="E27" s="21">
        <v>4</v>
      </c>
      <c r="F27" s="21">
        <v>5.9</v>
      </c>
      <c r="G27" s="22">
        <v>9</v>
      </c>
      <c r="H27" s="31">
        <f t="shared" si="3"/>
        <v>16.17930995059227</v>
      </c>
      <c r="I27" s="32">
        <f t="shared" si="4"/>
        <v>676.47910457080525</v>
      </c>
      <c r="J27" s="33">
        <f t="shared" si="5"/>
        <v>86.175682110930595</v>
      </c>
      <c r="K27" s="34">
        <f t="shared" si="6"/>
        <v>99.232595019260629</v>
      </c>
      <c r="L27" s="34">
        <f t="shared" si="7"/>
        <v>6.4661711525931516</v>
      </c>
      <c r="M27" s="35">
        <f t="shared" si="8"/>
        <v>7.8013099505922696</v>
      </c>
      <c r="N27" s="36">
        <f t="shared" si="9"/>
        <v>55.133115797868491</v>
      </c>
      <c r="O27" s="34">
        <f t="shared" si="10"/>
        <v>13.447101414114265</v>
      </c>
      <c r="P27" s="34">
        <f t="shared" si="11"/>
        <v>20.695440945651498</v>
      </c>
      <c r="Q27" s="34">
        <f t="shared" si="12"/>
        <v>1.8459769377901249</v>
      </c>
      <c r="R27" s="35">
        <f t="shared" si="13"/>
        <v>6.5600000000000005</v>
      </c>
      <c r="S27" s="23">
        <f t="shared" si="14"/>
        <v>1.9665962862402209</v>
      </c>
      <c r="T27" s="24">
        <f t="shared" si="15"/>
        <v>3094.6479880063339</v>
      </c>
    </row>
    <row r="28" spans="1:21" x14ac:dyDescent="0.25">
      <c r="A28" s="19" t="s">
        <v>54</v>
      </c>
      <c r="B28" s="30">
        <f t="shared" si="2"/>
        <v>15.368188311214929</v>
      </c>
      <c r="C28" s="20">
        <v>177</v>
      </c>
      <c r="D28" s="21">
        <v>91</v>
      </c>
      <c r="E28" s="21">
        <v>4.3</v>
      </c>
      <c r="F28" s="21">
        <v>6.5</v>
      </c>
      <c r="G28" s="22">
        <v>9</v>
      </c>
      <c r="H28" s="31">
        <f t="shared" si="3"/>
        <v>19.577309950592266</v>
      </c>
      <c r="I28" s="32">
        <f t="shared" si="4"/>
        <v>1041.9509237820571</v>
      </c>
      <c r="J28" s="33">
        <f t="shared" si="5"/>
        <v>117.7345676589895</v>
      </c>
      <c r="K28" s="34">
        <f t="shared" si="6"/>
        <v>135.46491637281738</v>
      </c>
      <c r="L28" s="34">
        <f t="shared" si="7"/>
        <v>7.2953666526427758</v>
      </c>
      <c r="M28" s="35">
        <f t="shared" si="8"/>
        <v>9.1968099505922662</v>
      </c>
      <c r="N28" s="32">
        <f t="shared" si="9"/>
        <v>83.054154889061607</v>
      </c>
      <c r="O28" s="33">
        <f t="shared" si="10"/>
        <v>18.253660415178377</v>
      </c>
      <c r="P28" s="33">
        <f t="shared" si="11"/>
        <v>27.960610594910381</v>
      </c>
      <c r="Q28" s="34">
        <f t="shared" si="12"/>
        <v>2.0597009693612072</v>
      </c>
      <c r="R28" s="35">
        <f t="shared" si="13"/>
        <v>7.8259999999999996</v>
      </c>
      <c r="S28" s="23">
        <f t="shared" si="14"/>
        <v>2.7024202414589213</v>
      </c>
      <c r="T28" s="24">
        <f t="shared" si="15"/>
        <v>5933.0097024114584</v>
      </c>
    </row>
    <row r="29" spans="1:21" x14ac:dyDescent="0.25">
      <c r="A29" s="19" t="s">
        <v>55</v>
      </c>
      <c r="B29" s="30">
        <f t="shared" si="2"/>
        <v>18.424818664382098</v>
      </c>
      <c r="C29" s="20">
        <v>197</v>
      </c>
      <c r="D29" s="21">
        <v>100</v>
      </c>
      <c r="E29" s="21">
        <v>4.5</v>
      </c>
      <c r="F29" s="21">
        <v>7</v>
      </c>
      <c r="G29" s="22">
        <v>12</v>
      </c>
      <c r="H29" s="31">
        <f t="shared" si="3"/>
        <v>23.4711065788307</v>
      </c>
      <c r="I29" s="32">
        <f t="shared" si="4"/>
        <v>1559.8804535835927</v>
      </c>
      <c r="J29" s="37">
        <f t="shared" si="5"/>
        <v>158.36349782574544</v>
      </c>
      <c r="K29" s="34">
        <f t="shared" si="6"/>
        <v>181.98492497426167</v>
      </c>
      <c r="L29" s="34">
        <f t="shared" si="7"/>
        <v>8.152276014053303</v>
      </c>
      <c r="M29" s="35">
        <f t="shared" si="8"/>
        <v>11.466106578830699</v>
      </c>
      <c r="N29" s="32">
        <f t="shared" si="9"/>
        <v>118.78440291404667</v>
      </c>
      <c r="O29" s="37">
        <f t="shared" si="10"/>
        <v>23.756880582809334</v>
      </c>
      <c r="P29" s="33">
        <f t="shared" si="11"/>
        <v>36.535889374833744</v>
      </c>
      <c r="Q29" s="34">
        <f t="shared" si="12"/>
        <v>2.2496394887413569</v>
      </c>
      <c r="R29" s="35">
        <f t="shared" si="13"/>
        <v>9</v>
      </c>
      <c r="S29" s="23">
        <f t="shared" si="14"/>
        <v>4.1186625892174789</v>
      </c>
      <c r="T29" s="24">
        <f t="shared" si="15"/>
        <v>10529.166666666666</v>
      </c>
    </row>
    <row r="30" spans="1:21" x14ac:dyDescent="0.25">
      <c r="A30" s="19" t="s">
        <v>56</v>
      </c>
      <c r="B30" s="30">
        <f t="shared" si="2"/>
        <v>22.181043664382102</v>
      </c>
      <c r="C30" s="20">
        <v>217</v>
      </c>
      <c r="D30" s="21">
        <v>110</v>
      </c>
      <c r="E30" s="21">
        <v>5</v>
      </c>
      <c r="F30" s="21">
        <v>7.7</v>
      </c>
      <c r="G30" s="22">
        <v>12</v>
      </c>
      <c r="H30" s="31">
        <f t="shared" si="3"/>
        <v>28.2561065788307</v>
      </c>
      <c r="I30" s="32">
        <f t="shared" si="4"/>
        <v>2270.9706472897938</v>
      </c>
      <c r="J30" s="37">
        <f t="shared" si="5"/>
        <v>209.30605044145562</v>
      </c>
      <c r="K30" s="34">
        <f t="shared" si="6"/>
        <v>240.53967909257423</v>
      </c>
      <c r="L30" s="34">
        <f t="shared" si="7"/>
        <v>8.964985685493005</v>
      </c>
      <c r="M30" s="35">
        <f t="shared" si="8"/>
        <v>13.549106578830699</v>
      </c>
      <c r="N30" s="32">
        <f t="shared" si="9"/>
        <v>173.83418329619045</v>
      </c>
      <c r="O30" s="37">
        <f t="shared" si="10"/>
        <v>31.606215144761901</v>
      </c>
      <c r="P30" s="33">
        <f t="shared" si="11"/>
        <v>48.48535453930451</v>
      </c>
      <c r="Q30" s="34">
        <f t="shared" si="12"/>
        <v>2.4803412201596222</v>
      </c>
      <c r="R30" s="35">
        <f t="shared" si="13"/>
        <v>11</v>
      </c>
      <c r="S30" s="23">
        <f t="shared" si="14"/>
        <v>5.6965522749067397</v>
      </c>
      <c r="T30" s="24">
        <f t="shared" si="15"/>
        <v>18706.648919291671</v>
      </c>
    </row>
    <row r="31" spans="1:21" x14ac:dyDescent="0.25">
      <c r="A31" s="19" t="s">
        <v>57</v>
      </c>
      <c r="B31" s="30">
        <f t="shared" si="2"/>
        <v>26.15008997559703</v>
      </c>
      <c r="C31" s="20">
        <v>237</v>
      </c>
      <c r="D31" s="21">
        <v>120</v>
      </c>
      <c r="E31" s="21">
        <v>5.2</v>
      </c>
      <c r="F31" s="21">
        <v>8.3000000000000007</v>
      </c>
      <c r="G31" s="22">
        <v>15</v>
      </c>
      <c r="H31" s="31">
        <f t="shared" si="3"/>
        <v>33.312216529422969</v>
      </c>
      <c r="I31" s="32">
        <f t="shared" si="4"/>
        <v>3223.172325347683</v>
      </c>
      <c r="J31" s="37">
        <f t="shared" si="5"/>
        <v>271.99766458630234</v>
      </c>
      <c r="K31" s="34">
        <f t="shared" si="6"/>
        <v>312.21784293220179</v>
      </c>
      <c r="L31" s="34">
        <f t="shared" si="7"/>
        <v>9.836486434679049</v>
      </c>
      <c r="M31" s="35">
        <f t="shared" si="8"/>
        <v>16.313816529422969</v>
      </c>
      <c r="N31" s="32">
        <f t="shared" si="9"/>
        <v>243.52755055885791</v>
      </c>
      <c r="O31" s="37">
        <f t="shared" si="10"/>
        <v>40.587925093142985</v>
      </c>
      <c r="P31" s="33">
        <f t="shared" si="11"/>
        <v>62.39919709178443</v>
      </c>
      <c r="Q31" s="34">
        <f t="shared" si="12"/>
        <v>2.7037858128616521</v>
      </c>
      <c r="R31" s="35">
        <f t="shared" si="13"/>
        <v>12.48</v>
      </c>
      <c r="S31" s="23">
        <f t="shared" si="14"/>
        <v>8.3631144603405438</v>
      </c>
      <c r="T31" s="24">
        <f t="shared" si="15"/>
        <v>31256.685143999999</v>
      </c>
    </row>
    <row r="32" spans="1:21" x14ac:dyDescent="0.25">
      <c r="A32" s="19" t="s">
        <v>58</v>
      </c>
      <c r="B32" s="30">
        <f t="shared" si="2"/>
        <v>30.732291975597033</v>
      </c>
      <c r="C32" s="20">
        <v>267</v>
      </c>
      <c r="D32" s="21">
        <v>135</v>
      </c>
      <c r="E32" s="21">
        <v>5.5</v>
      </c>
      <c r="F32" s="21">
        <v>8.6999999999999993</v>
      </c>
      <c r="G32" s="22">
        <v>15</v>
      </c>
      <c r="H32" s="31">
        <f t="shared" si="3"/>
        <v>39.149416529422972</v>
      </c>
      <c r="I32" s="32">
        <f t="shared" si="4"/>
        <v>4824.4258536716452</v>
      </c>
      <c r="J32" s="37">
        <f t="shared" si="5"/>
        <v>361.38021375817561</v>
      </c>
      <c r="K32" s="34">
        <f t="shared" si="6"/>
        <v>413.13957306515931</v>
      </c>
      <c r="L32" s="34">
        <f t="shared" si="7"/>
        <v>11.100950628807938</v>
      </c>
      <c r="M32" s="35">
        <f t="shared" si="8"/>
        <v>18.747916529422969</v>
      </c>
      <c r="N32" s="32">
        <f t="shared" si="9"/>
        <v>362.88185380726571</v>
      </c>
      <c r="O32" s="37">
        <f t="shared" si="10"/>
        <v>53.760274638113437</v>
      </c>
      <c r="P32" s="33">
        <f t="shared" si="11"/>
        <v>82.344614339725766</v>
      </c>
      <c r="Q32" s="34">
        <f t="shared" si="12"/>
        <v>3.0445280440635654</v>
      </c>
      <c r="R32" s="35">
        <f t="shared" si="13"/>
        <v>14.850000000000001</v>
      </c>
      <c r="S32" s="23">
        <f t="shared" si="14"/>
        <v>10.313128617232667</v>
      </c>
      <c r="T32" s="24">
        <f t="shared" si="15"/>
        <v>59505.639756609373</v>
      </c>
    </row>
    <row r="33" spans="1:20" x14ac:dyDescent="0.25">
      <c r="A33" s="19" t="s">
        <v>59</v>
      </c>
      <c r="B33" s="30">
        <f t="shared" si="2"/>
        <v>36.522922975597027</v>
      </c>
      <c r="C33" s="20">
        <v>297</v>
      </c>
      <c r="D33" s="21">
        <v>150</v>
      </c>
      <c r="E33" s="21">
        <v>6.1</v>
      </c>
      <c r="F33" s="21">
        <v>9.1999999999999993</v>
      </c>
      <c r="G33" s="22">
        <v>15</v>
      </c>
      <c r="H33" s="31">
        <f t="shared" si="3"/>
        <v>46.526016529422968</v>
      </c>
      <c r="I33" s="32">
        <f t="shared" si="4"/>
        <v>7055.3834795413095</v>
      </c>
      <c r="J33" s="37">
        <f t="shared" si="5"/>
        <v>475.10999862231034</v>
      </c>
      <c r="K33" s="34">
        <f t="shared" si="6"/>
        <v>542.43544603282271</v>
      </c>
      <c r="L33" s="34">
        <f t="shared" si="7"/>
        <v>12.314375054145884</v>
      </c>
      <c r="M33" s="35">
        <f t="shared" si="8"/>
        <v>22.247216529422968</v>
      </c>
      <c r="N33" s="32">
        <f t="shared" si="9"/>
        <v>525.32114330389618</v>
      </c>
      <c r="O33" s="37">
        <f t="shared" si="10"/>
        <v>70.042819107186162</v>
      </c>
      <c r="P33" s="33">
        <f t="shared" si="11"/>
        <v>107.32788333560843</v>
      </c>
      <c r="Q33" s="34">
        <f t="shared" si="12"/>
        <v>3.3601951843207232</v>
      </c>
      <c r="R33" s="35">
        <f t="shared" si="13"/>
        <v>18.299999999999997</v>
      </c>
      <c r="S33" s="23">
        <f t="shared" si="14"/>
        <v>13.451349901072943</v>
      </c>
      <c r="T33" s="24">
        <f t="shared" si="15"/>
        <v>107159.81174999999</v>
      </c>
    </row>
    <row r="34" spans="1:20" x14ac:dyDescent="0.25">
      <c r="A34" s="19" t="s">
        <v>60</v>
      </c>
      <c r="B34" s="30">
        <f t="shared" si="2"/>
        <v>42.967948244859727</v>
      </c>
      <c r="C34" s="20">
        <v>327</v>
      </c>
      <c r="D34" s="21">
        <v>160</v>
      </c>
      <c r="E34" s="21">
        <v>6.5</v>
      </c>
      <c r="F34" s="21">
        <v>10</v>
      </c>
      <c r="G34" s="22">
        <v>18</v>
      </c>
      <c r="H34" s="31">
        <f t="shared" si="3"/>
        <v>54.736239802369077</v>
      </c>
      <c r="I34" s="32">
        <f t="shared" si="4"/>
        <v>10054.97263088772</v>
      </c>
      <c r="J34" s="37">
        <f t="shared" si="5"/>
        <v>614.98303552830089</v>
      </c>
      <c r="K34" s="34">
        <f t="shared" si="6"/>
        <v>703.04608074432599</v>
      </c>
      <c r="L34" s="34">
        <f t="shared" si="7"/>
        <v>13.553547016196424</v>
      </c>
      <c r="M34" s="35">
        <f t="shared" si="8"/>
        <v>26.986239802369077</v>
      </c>
      <c r="N34" s="32">
        <f t="shared" si="9"/>
        <v>693.65691616828144</v>
      </c>
      <c r="O34" s="37">
        <f t="shared" si="10"/>
        <v>86.70711452103518</v>
      </c>
      <c r="P34" s="33">
        <f t="shared" si="11"/>
        <v>133.26482208003429</v>
      </c>
      <c r="Q34" s="34">
        <f t="shared" si="12"/>
        <v>3.5598760823660571</v>
      </c>
      <c r="R34" s="35">
        <f t="shared" si="13"/>
        <v>20.8</v>
      </c>
      <c r="S34" s="23">
        <f t="shared" si="14"/>
        <v>19.595527469070458</v>
      </c>
      <c r="T34" s="24">
        <f t="shared" si="15"/>
        <v>171501.22666666665</v>
      </c>
    </row>
    <row r="35" spans="1:20" x14ac:dyDescent="0.25">
      <c r="A35" s="19" t="s">
        <v>61</v>
      </c>
      <c r="B35" s="30">
        <f t="shared" si="2"/>
        <v>50.212399244859725</v>
      </c>
      <c r="C35" s="20">
        <v>357.6</v>
      </c>
      <c r="D35" s="21">
        <v>170</v>
      </c>
      <c r="E35" s="21">
        <v>6.6</v>
      </c>
      <c r="F35" s="21">
        <v>11.5</v>
      </c>
      <c r="G35" s="22">
        <v>18</v>
      </c>
      <c r="H35" s="31">
        <f t="shared" si="3"/>
        <v>63.964839802369077</v>
      </c>
      <c r="I35" s="32">
        <f t="shared" si="4"/>
        <v>14177.965873901352</v>
      </c>
      <c r="J35" s="37">
        <f t="shared" si="5"/>
        <v>792.95111151573542</v>
      </c>
      <c r="K35" s="34">
        <f t="shared" si="6"/>
        <v>907.88438067159541</v>
      </c>
      <c r="L35" s="34">
        <f t="shared" si="7"/>
        <v>14.887998112562101</v>
      </c>
      <c r="M35" s="35">
        <f t="shared" si="8"/>
        <v>29.763839802369077</v>
      </c>
      <c r="N35" s="32">
        <f t="shared" si="9"/>
        <v>960.80301073594194</v>
      </c>
      <c r="O35" s="37">
        <f t="shared" si="10"/>
        <v>113.03564832187553</v>
      </c>
      <c r="P35" s="33">
        <f t="shared" si="11"/>
        <v>171.85483477904614</v>
      </c>
      <c r="Q35" s="34">
        <f t="shared" si="12"/>
        <v>3.875667573549229</v>
      </c>
      <c r="R35" s="35">
        <f t="shared" si="13"/>
        <v>22.439999999999998</v>
      </c>
      <c r="S35" s="23">
        <f t="shared" si="14"/>
        <v>26.555964919887575</v>
      </c>
      <c r="T35" s="24">
        <f t="shared" si="15"/>
        <v>281991.85301645839</v>
      </c>
    </row>
    <row r="36" spans="1:20" x14ac:dyDescent="0.25">
      <c r="A36" s="19" t="s">
        <v>62</v>
      </c>
      <c r="B36" s="30">
        <f t="shared" si="2"/>
        <v>57.380027472170177</v>
      </c>
      <c r="C36" s="20">
        <v>397</v>
      </c>
      <c r="D36" s="21">
        <v>180</v>
      </c>
      <c r="E36" s="21">
        <v>7</v>
      </c>
      <c r="F36" s="21">
        <v>12</v>
      </c>
      <c r="G36" s="22">
        <v>21</v>
      </c>
      <c r="H36" s="31">
        <f t="shared" si="3"/>
        <v>73.095576397669006</v>
      </c>
      <c r="I36" s="32">
        <f t="shared" si="4"/>
        <v>19847.918695574303</v>
      </c>
      <c r="J36" s="37">
        <f t="shared" si="5"/>
        <v>999.89514839165247</v>
      </c>
      <c r="K36" s="34">
        <f t="shared" si="6"/>
        <v>1145.676174594488</v>
      </c>
      <c r="L36" s="34">
        <f t="shared" si="7"/>
        <v>16.478282292753789</v>
      </c>
      <c r="M36" s="35">
        <f t="shared" si="8"/>
        <v>35.775576397669006</v>
      </c>
      <c r="N36" s="32">
        <f t="shared" si="9"/>
        <v>1189.6340340296249</v>
      </c>
      <c r="O36" s="37">
        <f t="shared" si="10"/>
        <v>132.18155933662499</v>
      </c>
      <c r="P36" s="33">
        <f t="shared" si="11"/>
        <v>202.0699121742891</v>
      </c>
      <c r="Q36" s="34">
        <f t="shared" si="12"/>
        <v>4.0342345330595517</v>
      </c>
      <c r="R36" s="35">
        <f t="shared" si="13"/>
        <v>25.2</v>
      </c>
      <c r="S36" s="23">
        <f t="shared" si="14"/>
        <v>34.845684295310392</v>
      </c>
      <c r="T36" s="24">
        <f t="shared" si="15"/>
        <v>432224.1</v>
      </c>
    </row>
    <row r="37" spans="1:20" x14ac:dyDescent="0.25">
      <c r="A37" s="19" t="s">
        <v>63</v>
      </c>
      <c r="B37" s="30">
        <f t="shared" si="2"/>
        <v>67.153905472170166</v>
      </c>
      <c r="C37" s="20">
        <v>447</v>
      </c>
      <c r="D37" s="21">
        <v>190</v>
      </c>
      <c r="E37" s="21">
        <v>7.6</v>
      </c>
      <c r="F37" s="21">
        <v>13.1</v>
      </c>
      <c r="G37" s="22">
        <v>21</v>
      </c>
      <c r="H37" s="31">
        <f t="shared" si="3"/>
        <v>85.546376397669007</v>
      </c>
      <c r="I37" s="32">
        <f t="shared" si="4"/>
        <v>29080.589226160297</v>
      </c>
      <c r="J37" s="37">
        <f t="shared" si="5"/>
        <v>1301.1449318192526</v>
      </c>
      <c r="K37" s="34">
        <f t="shared" si="6"/>
        <v>1496.0630681849168</v>
      </c>
      <c r="L37" s="34">
        <f t="shared" si="7"/>
        <v>18.437447292724674</v>
      </c>
      <c r="M37" s="35">
        <f t="shared" si="8"/>
        <v>42.263976397669012</v>
      </c>
      <c r="N37" s="32">
        <f t="shared" si="9"/>
        <v>1528.3788248270441</v>
      </c>
      <c r="O37" s="37">
        <f t="shared" si="10"/>
        <v>160.88198156074148</v>
      </c>
      <c r="P37" s="33">
        <f t="shared" si="11"/>
        <v>245.74558146621919</v>
      </c>
      <c r="Q37" s="34">
        <f t="shared" si="12"/>
        <v>4.2268291796864466</v>
      </c>
      <c r="R37" s="35">
        <f t="shared" si="13"/>
        <v>28.88</v>
      </c>
      <c r="S37" s="23">
        <f t="shared" si="14"/>
        <v>45.746179756441705</v>
      </c>
      <c r="T37" s="24">
        <f t="shared" si="15"/>
        <v>704855.60413370829</v>
      </c>
    </row>
    <row r="38" spans="1:20" x14ac:dyDescent="0.25">
      <c r="A38" s="19" t="s">
        <v>64</v>
      </c>
      <c r="B38" s="30">
        <f t="shared" si="2"/>
        <v>79.361597472170175</v>
      </c>
      <c r="C38" s="20">
        <v>497</v>
      </c>
      <c r="D38" s="21">
        <v>200</v>
      </c>
      <c r="E38" s="21">
        <v>8.4</v>
      </c>
      <c r="F38" s="21">
        <v>14.5</v>
      </c>
      <c r="G38" s="22">
        <v>21</v>
      </c>
      <c r="H38" s="31">
        <f t="shared" si="3"/>
        <v>101.09757639766902</v>
      </c>
      <c r="I38" s="32">
        <f t="shared" si="4"/>
        <v>41903.855786545224</v>
      </c>
      <c r="J38" s="37">
        <f t="shared" si="5"/>
        <v>1686.2718626376347</v>
      </c>
      <c r="K38" s="34">
        <f t="shared" si="6"/>
        <v>1947.7823124834158</v>
      </c>
      <c r="L38" s="34">
        <f t="shared" si="7"/>
        <v>20.359008374524645</v>
      </c>
      <c r="M38" s="35">
        <f t="shared" si="8"/>
        <v>50.405576397669016</v>
      </c>
      <c r="N38" s="32">
        <f t="shared" si="9"/>
        <v>1974.9570495552944</v>
      </c>
      <c r="O38" s="37">
        <f t="shared" si="10"/>
        <v>197.49570495552945</v>
      </c>
      <c r="P38" s="33">
        <f t="shared" si="11"/>
        <v>301.6211725221259</v>
      </c>
      <c r="Q38" s="34">
        <f t="shared" si="12"/>
        <v>4.4198594118649899</v>
      </c>
      <c r="R38" s="35">
        <f t="shared" si="13"/>
        <v>33.6</v>
      </c>
      <c r="S38" s="23">
        <f t="shared" si="14"/>
        <v>62.879189321234634</v>
      </c>
      <c r="T38" s="24">
        <f t="shared" si="15"/>
        <v>1125230.2083333333</v>
      </c>
    </row>
    <row r="39" spans="1:20" x14ac:dyDescent="0.25">
      <c r="A39" s="19" t="s">
        <v>65</v>
      </c>
      <c r="B39" s="30">
        <f t="shared" si="2"/>
        <v>92.071414657528408</v>
      </c>
      <c r="C39" s="20">
        <v>547</v>
      </c>
      <c r="D39" s="21">
        <v>210</v>
      </c>
      <c r="E39" s="21">
        <v>9</v>
      </c>
      <c r="F39" s="21">
        <v>15.7</v>
      </c>
      <c r="G39" s="22">
        <v>24</v>
      </c>
      <c r="H39" s="31">
        <f t="shared" si="3"/>
        <v>117.28842631532281</v>
      </c>
      <c r="I39" s="32">
        <f t="shared" si="4"/>
        <v>58494.727625496605</v>
      </c>
      <c r="J39" s="37">
        <f t="shared" si="5"/>
        <v>2138.7468967274808</v>
      </c>
      <c r="K39" s="34">
        <f t="shared" si="6"/>
        <v>2477.3103951869821</v>
      </c>
      <c r="L39" s="34">
        <f t="shared" si="7"/>
        <v>22.332162631141212</v>
      </c>
      <c r="M39" s="35">
        <f t="shared" si="8"/>
        <v>60.297426315322802</v>
      </c>
      <c r="N39" s="32">
        <f t="shared" si="9"/>
        <v>2478.0145555818303</v>
      </c>
      <c r="O39" s="37">
        <f t="shared" si="10"/>
        <v>236.0013862458886</v>
      </c>
      <c r="P39" s="33">
        <f t="shared" si="11"/>
        <v>361.50151499866996</v>
      </c>
      <c r="Q39" s="34">
        <f t="shared" si="12"/>
        <v>4.5964691209289192</v>
      </c>
      <c r="R39" s="35">
        <f t="shared" si="13"/>
        <v>37.800000000000004</v>
      </c>
      <c r="S39" s="23">
        <f t="shared" si="14"/>
        <v>86.665269493398839</v>
      </c>
      <c r="T39" s="24">
        <f t="shared" si="15"/>
        <v>1710117.4034463747</v>
      </c>
    </row>
    <row r="40" spans="1:20" ht="15.75" thickBot="1" x14ac:dyDescent="0.3">
      <c r="A40" s="19" t="s">
        <v>66</v>
      </c>
      <c r="B40" s="30">
        <f t="shared" si="2"/>
        <v>107.56103465752841</v>
      </c>
      <c r="C40" s="26">
        <v>597</v>
      </c>
      <c r="D40" s="27">
        <v>220</v>
      </c>
      <c r="E40" s="27">
        <v>9.8000000000000007</v>
      </c>
      <c r="F40" s="27">
        <v>17.5</v>
      </c>
      <c r="G40" s="28">
        <v>24</v>
      </c>
      <c r="H40" s="31">
        <f t="shared" si="3"/>
        <v>137.02042631532279</v>
      </c>
      <c r="I40" s="32">
        <f t="shared" si="4"/>
        <v>80656.272729859964</v>
      </c>
      <c r="J40" s="37">
        <f t="shared" si="5"/>
        <v>2702.0526877675029</v>
      </c>
      <c r="K40" s="34">
        <f t="shared" si="6"/>
        <v>3143.8306042385311</v>
      </c>
      <c r="L40" s="34">
        <f t="shared" si="7"/>
        <v>24.26198987193531</v>
      </c>
      <c r="M40" s="35">
        <f t="shared" si="8"/>
        <v>70.135426315322789</v>
      </c>
      <c r="N40" s="32">
        <f t="shared" si="9"/>
        <v>3181.5273142870769</v>
      </c>
      <c r="O40" s="37">
        <f t="shared" si="10"/>
        <v>289.22975584427974</v>
      </c>
      <c r="P40" s="33">
        <f t="shared" si="11"/>
        <v>442.06701205128286</v>
      </c>
      <c r="Q40" s="34">
        <f t="shared" si="12"/>
        <v>4.8186476494380175</v>
      </c>
      <c r="R40" s="35">
        <f t="shared" si="13"/>
        <v>43.120000000000005</v>
      </c>
      <c r="S40" s="23">
        <f t="shared" si="14"/>
        <v>118.95816313976962</v>
      </c>
      <c r="T40" s="24">
        <f t="shared" si="15"/>
        <v>2607364.3910416667</v>
      </c>
    </row>
    <row r="41" spans="1:20" ht="15.75" x14ac:dyDescent="0.25">
      <c r="A41" s="38"/>
      <c r="B41" s="39" t="s">
        <v>67</v>
      </c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1"/>
    </row>
    <row r="42" spans="1:20" x14ac:dyDescent="0.25">
      <c r="A42" s="19" t="s">
        <v>68</v>
      </c>
      <c r="B42" s="19">
        <v>5.94</v>
      </c>
      <c r="C42" s="20">
        <v>80</v>
      </c>
      <c r="D42" s="21">
        <v>42</v>
      </c>
      <c r="E42" s="21">
        <v>3.9</v>
      </c>
      <c r="F42" s="21">
        <v>5.9</v>
      </c>
      <c r="G42" s="22">
        <v>3.9</v>
      </c>
      <c r="H42" s="19">
        <v>7.58</v>
      </c>
      <c r="I42" s="20">
        <v>77.8</v>
      </c>
      <c r="J42" s="21">
        <v>19.5</v>
      </c>
      <c r="K42" s="21">
        <v>22.8</v>
      </c>
      <c r="L42" s="21">
        <v>3.2</v>
      </c>
      <c r="M42" s="22">
        <v>3.41</v>
      </c>
      <c r="N42" s="20">
        <v>6.29</v>
      </c>
      <c r="O42" s="21">
        <v>3</v>
      </c>
      <c r="P42" s="21">
        <v>5</v>
      </c>
      <c r="Q42" s="21">
        <v>0.91</v>
      </c>
      <c r="R42" s="22">
        <v>4.9560000000000004</v>
      </c>
      <c r="S42" s="23">
        <f t="shared" si="0"/>
        <v>0.79910742991300943</v>
      </c>
      <c r="T42" s="24">
        <f t="shared" si="1"/>
        <v>100.005769773</v>
      </c>
    </row>
    <row r="43" spans="1:20" x14ac:dyDescent="0.25">
      <c r="A43" s="19" t="s">
        <v>69</v>
      </c>
      <c r="B43" s="19">
        <v>8.34</v>
      </c>
      <c r="C43" s="20">
        <v>100</v>
      </c>
      <c r="D43" s="21">
        <v>50</v>
      </c>
      <c r="E43" s="21">
        <v>4.5</v>
      </c>
      <c r="F43" s="21">
        <v>6.8</v>
      </c>
      <c r="G43" s="22">
        <v>4.5</v>
      </c>
      <c r="H43" s="19">
        <v>10.6</v>
      </c>
      <c r="I43" s="20">
        <v>171</v>
      </c>
      <c r="J43" s="21">
        <v>34.200000000000003</v>
      </c>
      <c r="K43" s="21">
        <v>39.799999999999997</v>
      </c>
      <c r="L43" s="21">
        <v>4.01</v>
      </c>
      <c r="M43" s="22">
        <v>4.8499999999999996</v>
      </c>
      <c r="N43" s="20">
        <v>12.2</v>
      </c>
      <c r="O43" s="21">
        <v>4.88</v>
      </c>
      <c r="P43" s="21">
        <v>8.1</v>
      </c>
      <c r="Q43" s="21">
        <v>1.07</v>
      </c>
      <c r="R43" s="22">
        <v>6.8</v>
      </c>
      <c r="S43" s="23">
        <f t="shared" si="0"/>
        <v>1.4686910750240914</v>
      </c>
      <c r="T43" s="24">
        <f t="shared" si="1"/>
        <v>307.63766666666669</v>
      </c>
    </row>
    <row r="44" spans="1:20" x14ac:dyDescent="0.25">
      <c r="A44" s="19" t="s">
        <v>70</v>
      </c>
      <c r="B44" s="19">
        <v>11.1</v>
      </c>
      <c r="C44" s="20">
        <v>120</v>
      </c>
      <c r="D44" s="21">
        <v>58</v>
      </c>
      <c r="E44" s="21">
        <v>5.0999999999999996</v>
      </c>
      <c r="F44" s="21">
        <v>7.7</v>
      </c>
      <c r="G44" s="22">
        <v>5.0999999999999996</v>
      </c>
      <c r="H44" s="19">
        <v>14.2</v>
      </c>
      <c r="I44" s="20">
        <v>328</v>
      </c>
      <c r="J44" s="21">
        <v>54.7</v>
      </c>
      <c r="K44" s="21">
        <v>63.6</v>
      </c>
      <c r="L44" s="21">
        <v>4.8099999999999996</v>
      </c>
      <c r="M44" s="22">
        <v>6.63</v>
      </c>
      <c r="N44" s="20">
        <v>21.5</v>
      </c>
      <c r="O44" s="21">
        <v>7.41</v>
      </c>
      <c r="P44" s="21">
        <v>12.4</v>
      </c>
      <c r="Q44" s="21">
        <v>1.23</v>
      </c>
      <c r="R44" s="22">
        <v>8.9320000000000004</v>
      </c>
      <c r="S44" s="23">
        <f t="shared" si="0"/>
        <v>2.4887321697019806</v>
      </c>
      <c r="T44" s="24">
        <f t="shared" si="1"/>
        <v>789.44699631233345</v>
      </c>
    </row>
    <row r="45" spans="1:20" x14ac:dyDescent="0.25">
      <c r="A45" s="19" t="s">
        <v>71</v>
      </c>
      <c r="B45" s="19">
        <v>14.3</v>
      </c>
      <c r="C45" s="20">
        <v>140</v>
      </c>
      <c r="D45" s="21">
        <v>66</v>
      </c>
      <c r="E45" s="21">
        <v>5.7</v>
      </c>
      <c r="F45" s="21">
        <v>8.6</v>
      </c>
      <c r="G45" s="22">
        <v>5.7</v>
      </c>
      <c r="H45" s="19">
        <v>18.3</v>
      </c>
      <c r="I45" s="20">
        <v>573</v>
      </c>
      <c r="J45" s="21">
        <v>81.900000000000006</v>
      </c>
      <c r="K45" s="21">
        <v>95.4</v>
      </c>
      <c r="L45" s="21">
        <v>5.61</v>
      </c>
      <c r="M45" s="22">
        <v>8.65</v>
      </c>
      <c r="N45" s="20">
        <v>35.200000000000003</v>
      </c>
      <c r="O45" s="21">
        <v>10.7</v>
      </c>
      <c r="P45" s="21">
        <v>17.899999999999999</v>
      </c>
      <c r="Q45" s="21">
        <v>1.4</v>
      </c>
      <c r="R45" s="22">
        <v>11.352</v>
      </c>
      <c r="S45" s="23">
        <f t="shared" si="0"/>
        <v>3.9639570280166132</v>
      </c>
      <c r="T45" s="24">
        <f t="shared" si="1"/>
        <v>1778.7288396240003</v>
      </c>
    </row>
    <row r="46" spans="1:20" x14ac:dyDescent="0.25">
      <c r="A46" s="19" t="s">
        <v>72</v>
      </c>
      <c r="B46" s="19">
        <v>17.899999999999999</v>
      </c>
      <c r="C46" s="20">
        <v>160</v>
      </c>
      <c r="D46" s="21">
        <v>74</v>
      </c>
      <c r="E46" s="21">
        <v>6.3</v>
      </c>
      <c r="F46" s="21">
        <v>9.5</v>
      </c>
      <c r="G46" s="22">
        <v>6.3</v>
      </c>
      <c r="H46" s="19">
        <v>22.8</v>
      </c>
      <c r="I46" s="20">
        <v>935</v>
      </c>
      <c r="J46" s="21">
        <v>117</v>
      </c>
      <c r="K46" s="21">
        <v>136</v>
      </c>
      <c r="L46" s="21">
        <v>6.4</v>
      </c>
      <c r="M46" s="22">
        <v>10.83</v>
      </c>
      <c r="N46" s="20">
        <v>54.7</v>
      </c>
      <c r="O46" s="21">
        <v>14.8</v>
      </c>
      <c r="P46" s="21">
        <v>24.9</v>
      </c>
      <c r="Q46" s="21">
        <v>1.55</v>
      </c>
      <c r="R46" s="22">
        <v>14.06</v>
      </c>
      <c r="S46" s="23">
        <f t="shared" si="0"/>
        <v>6.0127695636902558</v>
      </c>
      <c r="T46" s="24">
        <f t="shared" si="1"/>
        <v>3633.1265252916664</v>
      </c>
    </row>
    <row r="47" spans="1:20" x14ac:dyDescent="0.25">
      <c r="A47" s="19" t="s">
        <v>73</v>
      </c>
      <c r="B47" s="19">
        <v>21.9</v>
      </c>
      <c r="C47" s="20">
        <v>180</v>
      </c>
      <c r="D47" s="21">
        <v>82</v>
      </c>
      <c r="E47" s="21">
        <v>6.9</v>
      </c>
      <c r="F47" s="21">
        <v>10.4</v>
      </c>
      <c r="G47" s="22">
        <v>6.9</v>
      </c>
      <c r="H47" s="19">
        <v>27.9</v>
      </c>
      <c r="I47" s="20">
        <v>1450</v>
      </c>
      <c r="J47" s="21">
        <v>161</v>
      </c>
      <c r="K47" s="21">
        <v>187</v>
      </c>
      <c r="L47" s="21">
        <v>7.2</v>
      </c>
      <c r="M47" s="22">
        <v>13.35</v>
      </c>
      <c r="N47" s="20">
        <v>81.3</v>
      </c>
      <c r="O47" s="21">
        <v>19.8</v>
      </c>
      <c r="P47" s="21">
        <v>33.200000000000003</v>
      </c>
      <c r="Q47" s="21">
        <v>1.71</v>
      </c>
      <c r="R47" s="22">
        <v>17.056000000000001</v>
      </c>
      <c r="S47" s="23">
        <f t="shared" si="0"/>
        <v>8.7672512900975104</v>
      </c>
      <c r="T47" s="24">
        <f t="shared" si="1"/>
        <v>6872.509527381334</v>
      </c>
    </row>
    <row r="48" spans="1:20" x14ac:dyDescent="0.25">
      <c r="A48" s="19" t="s">
        <v>74</v>
      </c>
      <c r="B48" s="19">
        <v>26.2</v>
      </c>
      <c r="C48" s="20">
        <v>200</v>
      </c>
      <c r="D48" s="21">
        <v>90</v>
      </c>
      <c r="E48" s="21">
        <v>7.5</v>
      </c>
      <c r="F48" s="21">
        <v>11.3</v>
      </c>
      <c r="G48" s="22">
        <v>7.5</v>
      </c>
      <c r="H48" s="19">
        <v>33.4</v>
      </c>
      <c r="I48" s="20">
        <v>2140</v>
      </c>
      <c r="J48" s="21">
        <v>214</v>
      </c>
      <c r="K48" s="21">
        <v>250</v>
      </c>
      <c r="L48" s="21">
        <v>8</v>
      </c>
      <c r="M48" s="22">
        <v>16.03</v>
      </c>
      <c r="N48" s="20">
        <v>117</v>
      </c>
      <c r="O48" s="21">
        <v>26</v>
      </c>
      <c r="P48" s="21">
        <v>43.5</v>
      </c>
      <c r="Q48" s="21">
        <v>1.87</v>
      </c>
      <c r="R48" s="22">
        <v>20.340000000000003</v>
      </c>
      <c r="S48" s="23">
        <f t="shared" si="0"/>
        <v>12.3731613202653</v>
      </c>
      <c r="T48" s="24">
        <f t="shared" si="1"/>
        <v>12221.894496375</v>
      </c>
    </row>
    <row r="49" spans="1:20" x14ac:dyDescent="0.25">
      <c r="A49" s="19" t="s">
        <v>75</v>
      </c>
      <c r="B49" s="19">
        <v>31.1</v>
      </c>
      <c r="C49" s="20">
        <v>220</v>
      </c>
      <c r="D49" s="21">
        <v>98</v>
      </c>
      <c r="E49" s="21">
        <v>8.1</v>
      </c>
      <c r="F49" s="21">
        <v>12.2</v>
      </c>
      <c r="G49" s="22">
        <v>8.1</v>
      </c>
      <c r="H49" s="19">
        <v>39.5</v>
      </c>
      <c r="I49" s="20">
        <v>3060</v>
      </c>
      <c r="J49" s="21">
        <v>278</v>
      </c>
      <c r="K49" s="21">
        <v>324</v>
      </c>
      <c r="L49" s="21">
        <v>8.8000000000000007</v>
      </c>
      <c r="M49" s="22">
        <v>19.059999999999999</v>
      </c>
      <c r="N49" s="20">
        <v>162</v>
      </c>
      <c r="O49" s="21">
        <v>33.1</v>
      </c>
      <c r="P49" s="21">
        <v>55.7</v>
      </c>
      <c r="Q49" s="21">
        <v>2.02</v>
      </c>
      <c r="R49" s="22">
        <v>23.911999999999999</v>
      </c>
      <c r="S49" s="23">
        <f t="shared" si="0"/>
        <v>16.989936366872886</v>
      </c>
      <c r="T49" s="24">
        <f t="shared" si="1"/>
        <v>20659.409423650664</v>
      </c>
    </row>
    <row r="50" spans="1:20" x14ac:dyDescent="0.25">
      <c r="A50" s="19" t="s">
        <v>76</v>
      </c>
      <c r="B50" s="19">
        <v>36.200000000000003</v>
      </c>
      <c r="C50" s="20">
        <v>240</v>
      </c>
      <c r="D50" s="21">
        <v>106</v>
      </c>
      <c r="E50" s="21">
        <v>8.6999999999999993</v>
      </c>
      <c r="F50" s="21">
        <v>13.1</v>
      </c>
      <c r="G50" s="22">
        <v>8.6999999999999993</v>
      </c>
      <c r="H50" s="19">
        <v>46.1</v>
      </c>
      <c r="I50" s="20">
        <v>4250</v>
      </c>
      <c r="J50" s="21">
        <v>354</v>
      </c>
      <c r="K50" s="21">
        <v>412</v>
      </c>
      <c r="L50" s="21">
        <v>9.59</v>
      </c>
      <c r="M50" s="22">
        <v>22.33</v>
      </c>
      <c r="N50" s="20">
        <v>221</v>
      </c>
      <c r="O50" s="21">
        <v>41.7</v>
      </c>
      <c r="P50" s="21">
        <v>70</v>
      </c>
      <c r="Q50" s="21">
        <v>2.2000000000000002</v>
      </c>
      <c r="R50" s="22">
        <v>27.771999999999998</v>
      </c>
      <c r="S50" s="23">
        <f t="shared" si="0"/>
        <v>22.79069074225189</v>
      </c>
      <c r="T50" s="24">
        <f t="shared" si="1"/>
        <v>33469.300939402332</v>
      </c>
    </row>
    <row r="51" spans="1:20" x14ac:dyDescent="0.25">
      <c r="A51" s="19" t="s">
        <v>77</v>
      </c>
      <c r="B51" s="19">
        <v>41.9</v>
      </c>
      <c r="C51" s="20">
        <v>260</v>
      </c>
      <c r="D51" s="21">
        <v>113</v>
      </c>
      <c r="E51" s="21">
        <v>9.4</v>
      </c>
      <c r="F51" s="21">
        <v>14.1</v>
      </c>
      <c r="G51" s="22">
        <v>9.4</v>
      </c>
      <c r="H51" s="19">
        <v>53.3</v>
      </c>
      <c r="I51" s="20">
        <v>5740</v>
      </c>
      <c r="J51" s="21">
        <v>442</v>
      </c>
      <c r="K51" s="21">
        <v>514</v>
      </c>
      <c r="L51" s="21">
        <v>10.4</v>
      </c>
      <c r="M51" s="22">
        <v>26.08</v>
      </c>
      <c r="N51" s="20">
        <v>288</v>
      </c>
      <c r="O51" s="21">
        <v>51</v>
      </c>
      <c r="P51" s="21">
        <v>85.9</v>
      </c>
      <c r="Q51" s="21">
        <v>2.3199999999999998</v>
      </c>
      <c r="R51" s="22">
        <v>31.866</v>
      </c>
      <c r="S51" s="23">
        <f t="shared" si="0"/>
        <v>30.554247962712473</v>
      </c>
      <c r="T51" s="24">
        <f t="shared" si="1"/>
        <v>51257.835014784883</v>
      </c>
    </row>
    <row r="52" spans="1:20" x14ac:dyDescent="0.25">
      <c r="A52" s="19" t="s">
        <v>78</v>
      </c>
      <c r="B52" s="19">
        <v>47.9</v>
      </c>
      <c r="C52" s="20">
        <v>280</v>
      </c>
      <c r="D52" s="21">
        <v>119</v>
      </c>
      <c r="E52" s="21">
        <v>10.1</v>
      </c>
      <c r="F52" s="21">
        <v>15.2</v>
      </c>
      <c r="G52" s="22">
        <v>10.1</v>
      </c>
      <c r="H52" s="19">
        <v>61</v>
      </c>
      <c r="I52" s="20">
        <v>7590</v>
      </c>
      <c r="J52" s="21">
        <v>542</v>
      </c>
      <c r="K52" s="21">
        <v>632</v>
      </c>
      <c r="L52" s="21">
        <v>11.1</v>
      </c>
      <c r="M52" s="22">
        <v>30.18</v>
      </c>
      <c r="N52" s="20">
        <v>364</v>
      </c>
      <c r="O52" s="21">
        <v>61.2</v>
      </c>
      <c r="P52" s="21">
        <v>103</v>
      </c>
      <c r="Q52" s="21">
        <v>2.4500000000000002</v>
      </c>
      <c r="R52" s="22">
        <v>36.176000000000002</v>
      </c>
      <c r="S52" s="23">
        <f t="shared" si="0"/>
        <v>40.445039213431905</v>
      </c>
      <c r="T52" s="24">
        <f t="shared" si="1"/>
        <v>74835.763173994666</v>
      </c>
    </row>
    <row r="53" spans="1:20" x14ac:dyDescent="0.25">
      <c r="A53" s="19" t="s">
        <v>79</v>
      </c>
      <c r="B53" s="19">
        <v>54.2</v>
      </c>
      <c r="C53" s="20">
        <v>300</v>
      </c>
      <c r="D53" s="21">
        <v>125</v>
      </c>
      <c r="E53" s="21">
        <v>10.8</v>
      </c>
      <c r="F53" s="21">
        <v>16.2</v>
      </c>
      <c r="G53" s="22">
        <v>10.8</v>
      </c>
      <c r="H53" s="19">
        <v>69</v>
      </c>
      <c r="I53" s="20">
        <v>9800</v>
      </c>
      <c r="J53" s="21">
        <v>653</v>
      </c>
      <c r="K53" s="21">
        <v>762</v>
      </c>
      <c r="L53" s="21">
        <v>11.9</v>
      </c>
      <c r="M53" s="22">
        <v>34.58</v>
      </c>
      <c r="N53" s="20">
        <v>451</v>
      </c>
      <c r="O53" s="21">
        <v>72.2</v>
      </c>
      <c r="P53" s="21">
        <v>121</v>
      </c>
      <c r="Q53" s="21">
        <v>2.56</v>
      </c>
      <c r="R53" s="22">
        <v>40.5</v>
      </c>
      <c r="S53" s="23">
        <f t="shared" si="0"/>
        <v>51.919395975312682</v>
      </c>
      <c r="T53" s="24">
        <f t="shared" si="1"/>
        <v>106183.880859375</v>
      </c>
    </row>
    <row r="54" spans="1:20" x14ac:dyDescent="0.25">
      <c r="A54" s="19" t="s">
        <v>80</v>
      </c>
      <c r="B54" s="19">
        <v>61</v>
      </c>
      <c r="C54" s="20">
        <v>320</v>
      </c>
      <c r="D54" s="21">
        <v>131</v>
      </c>
      <c r="E54" s="21">
        <v>11.5</v>
      </c>
      <c r="F54" s="21">
        <v>17.3</v>
      </c>
      <c r="G54" s="22">
        <v>11.5</v>
      </c>
      <c r="H54" s="19">
        <v>77.7</v>
      </c>
      <c r="I54" s="20">
        <v>12510</v>
      </c>
      <c r="J54" s="21">
        <v>782</v>
      </c>
      <c r="K54" s="21">
        <v>914</v>
      </c>
      <c r="L54" s="21">
        <v>12.7</v>
      </c>
      <c r="M54" s="22">
        <v>39.26</v>
      </c>
      <c r="N54" s="20">
        <v>555</v>
      </c>
      <c r="O54" s="21">
        <v>84.7</v>
      </c>
      <c r="P54" s="21">
        <v>143</v>
      </c>
      <c r="Q54" s="21">
        <v>2.67</v>
      </c>
      <c r="R54" s="22">
        <v>45.326000000000001</v>
      </c>
      <c r="S54" s="23">
        <f t="shared" si="0"/>
        <v>66.424858789285267</v>
      </c>
      <c r="T54" s="24">
        <f t="shared" si="1"/>
        <v>148481.92532744363</v>
      </c>
    </row>
    <row r="55" spans="1:20" x14ac:dyDescent="0.25">
      <c r="A55" s="19" t="s">
        <v>81</v>
      </c>
      <c r="B55" s="19">
        <v>68</v>
      </c>
      <c r="C55" s="20">
        <v>340</v>
      </c>
      <c r="D55" s="21">
        <v>137</v>
      </c>
      <c r="E55" s="21">
        <v>12.2</v>
      </c>
      <c r="F55" s="21">
        <v>18.3</v>
      </c>
      <c r="G55" s="22">
        <v>12.2</v>
      </c>
      <c r="H55" s="19">
        <v>86.7</v>
      </c>
      <c r="I55" s="20">
        <v>15700</v>
      </c>
      <c r="J55" s="21">
        <v>923</v>
      </c>
      <c r="K55" s="21">
        <v>1080</v>
      </c>
      <c r="L55" s="21">
        <v>13.5</v>
      </c>
      <c r="M55" s="22">
        <v>44.27</v>
      </c>
      <c r="N55" s="20">
        <v>674</v>
      </c>
      <c r="O55" s="21">
        <v>98.4</v>
      </c>
      <c r="P55" s="21">
        <v>166</v>
      </c>
      <c r="Q55" s="21">
        <v>2.8</v>
      </c>
      <c r="R55" s="22">
        <v>50.141999999999996</v>
      </c>
      <c r="S55" s="23">
        <f t="shared" si="0"/>
        <v>82.882779407870245</v>
      </c>
      <c r="T55" s="24">
        <f t="shared" si="1"/>
        <v>202910.10298655462</v>
      </c>
    </row>
    <row r="56" spans="1:20" x14ac:dyDescent="0.25">
      <c r="A56" s="19" t="s">
        <v>82</v>
      </c>
      <c r="B56" s="19">
        <v>76.099999999999994</v>
      </c>
      <c r="C56" s="20">
        <v>360</v>
      </c>
      <c r="D56" s="21">
        <v>143</v>
      </c>
      <c r="E56" s="21">
        <v>13</v>
      </c>
      <c r="F56" s="21">
        <v>19.5</v>
      </c>
      <c r="G56" s="22">
        <v>13</v>
      </c>
      <c r="H56" s="19">
        <v>97</v>
      </c>
      <c r="I56" s="20">
        <v>19610</v>
      </c>
      <c r="J56" s="21">
        <v>1090</v>
      </c>
      <c r="K56" s="21">
        <v>1276</v>
      </c>
      <c r="L56" s="21">
        <v>14.2</v>
      </c>
      <c r="M56" s="22">
        <v>49.95</v>
      </c>
      <c r="N56" s="20">
        <v>818</v>
      </c>
      <c r="O56" s="21">
        <v>114</v>
      </c>
      <c r="P56" s="21">
        <v>194</v>
      </c>
      <c r="Q56" s="21">
        <v>2.9</v>
      </c>
      <c r="R56" s="22">
        <v>55.77</v>
      </c>
      <c r="S56" s="23">
        <f t="shared" si="0"/>
        <v>105.20723063320986</v>
      </c>
      <c r="T56" s="24">
        <f t="shared" si="1"/>
        <v>275464.5486382969</v>
      </c>
    </row>
    <row r="57" spans="1:20" x14ac:dyDescent="0.25">
      <c r="A57" s="19" t="s">
        <v>83</v>
      </c>
      <c r="B57" s="19">
        <v>84</v>
      </c>
      <c r="C57" s="20">
        <v>380</v>
      </c>
      <c r="D57" s="21">
        <v>149</v>
      </c>
      <c r="E57" s="21">
        <v>13.7</v>
      </c>
      <c r="F57" s="21">
        <v>20.5</v>
      </c>
      <c r="G57" s="22">
        <v>13.7</v>
      </c>
      <c r="H57" s="19">
        <v>107</v>
      </c>
      <c r="I57" s="20">
        <v>24010</v>
      </c>
      <c r="J57" s="21">
        <v>1260</v>
      </c>
      <c r="K57" s="21">
        <v>1482</v>
      </c>
      <c r="L57" s="21">
        <v>15</v>
      </c>
      <c r="M57" s="22">
        <v>55.55</v>
      </c>
      <c r="N57" s="20">
        <v>975</v>
      </c>
      <c r="O57" s="21">
        <v>131</v>
      </c>
      <c r="P57" s="21">
        <v>221</v>
      </c>
      <c r="Q57" s="21">
        <v>3.02</v>
      </c>
      <c r="R57" s="22">
        <v>61.09</v>
      </c>
      <c r="S57" s="23">
        <f t="shared" si="0"/>
        <v>128.22905371614783</v>
      </c>
      <c r="T57" s="24">
        <f t="shared" si="1"/>
        <v>365173.46636744268</v>
      </c>
    </row>
    <row r="58" spans="1:20" x14ac:dyDescent="0.25">
      <c r="A58" s="19" t="s">
        <v>84</v>
      </c>
      <c r="B58" s="19">
        <v>92.4</v>
      </c>
      <c r="C58" s="20">
        <v>400</v>
      </c>
      <c r="D58" s="21">
        <v>155</v>
      </c>
      <c r="E58" s="21">
        <v>14.4</v>
      </c>
      <c r="F58" s="21">
        <v>21.6</v>
      </c>
      <c r="G58" s="22">
        <v>14.4</v>
      </c>
      <c r="H58" s="19">
        <v>118</v>
      </c>
      <c r="I58" s="20">
        <v>29210</v>
      </c>
      <c r="J58" s="21">
        <v>1460</v>
      </c>
      <c r="K58" s="21">
        <v>1714</v>
      </c>
      <c r="L58" s="21">
        <v>15.7</v>
      </c>
      <c r="M58" s="22">
        <v>61.69</v>
      </c>
      <c r="N58" s="20">
        <v>1160</v>
      </c>
      <c r="O58" s="21">
        <v>149</v>
      </c>
      <c r="P58" s="21">
        <v>253</v>
      </c>
      <c r="Q58" s="21">
        <v>3.13</v>
      </c>
      <c r="R58" s="22">
        <v>66.959999999999994</v>
      </c>
      <c r="S58" s="23">
        <f t="shared" si="0"/>
        <v>156.21353144987711</v>
      </c>
      <c r="T58" s="24">
        <f t="shared" si="1"/>
        <v>479887.9660079999</v>
      </c>
    </row>
    <row r="59" spans="1:20" x14ac:dyDescent="0.25">
      <c r="A59" s="19" t="s">
        <v>85</v>
      </c>
      <c r="B59" s="19">
        <v>115</v>
      </c>
      <c r="C59" s="20">
        <v>450</v>
      </c>
      <c r="D59" s="21">
        <v>170</v>
      </c>
      <c r="E59" s="21">
        <v>16.2</v>
      </c>
      <c r="F59" s="21">
        <v>24.3</v>
      </c>
      <c r="G59" s="22">
        <v>16.2</v>
      </c>
      <c r="H59" s="19">
        <v>147</v>
      </c>
      <c r="I59" s="20">
        <v>45850</v>
      </c>
      <c r="J59" s="21">
        <v>2040</v>
      </c>
      <c r="K59" s="21">
        <v>2400</v>
      </c>
      <c r="L59" s="21">
        <v>17.7</v>
      </c>
      <c r="M59" s="22">
        <v>77.790000000000006</v>
      </c>
      <c r="N59" s="20">
        <v>1730</v>
      </c>
      <c r="O59" s="21">
        <v>203</v>
      </c>
      <c r="P59" s="21">
        <v>345</v>
      </c>
      <c r="Q59" s="21">
        <v>3.43</v>
      </c>
      <c r="R59" s="22">
        <v>82.62</v>
      </c>
      <c r="S59" s="23">
        <f t="shared" si="0"/>
        <v>246.01784866752041</v>
      </c>
      <c r="T59" s="24">
        <f t="shared" si="1"/>
        <v>901465.47071212495</v>
      </c>
    </row>
    <row r="60" spans="1:20" x14ac:dyDescent="0.25">
      <c r="A60" s="19" t="s">
        <v>86</v>
      </c>
      <c r="B60" s="19">
        <v>141</v>
      </c>
      <c r="C60" s="20">
        <v>500</v>
      </c>
      <c r="D60" s="21">
        <v>185</v>
      </c>
      <c r="E60" s="21">
        <v>18</v>
      </c>
      <c r="F60" s="21">
        <v>27</v>
      </c>
      <c r="G60" s="22">
        <v>18</v>
      </c>
      <c r="H60" s="19">
        <v>179</v>
      </c>
      <c r="I60" s="20">
        <v>68740</v>
      </c>
      <c r="J60" s="21">
        <v>2750</v>
      </c>
      <c r="K60" s="21">
        <v>3240</v>
      </c>
      <c r="L60" s="21">
        <v>19.600000000000001</v>
      </c>
      <c r="M60" s="22">
        <v>95.6</v>
      </c>
      <c r="N60" s="20">
        <v>2480</v>
      </c>
      <c r="O60" s="21">
        <v>268</v>
      </c>
      <c r="P60" s="21">
        <v>456</v>
      </c>
      <c r="Q60" s="21">
        <v>3.72</v>
      </c>
      <c r="R60" s="22">
        <v>99.9</v>
      </c>
      <c r="S60" s="23">
        <f t="shared" si="0"/>
        <v>369.84153326630155</v>
      </c>
      <c r="T60" s="24">
        <f t="shared" si="1"/>
        <v>1593639.1458281251</v>
      </c>
    </row>
    <row r="61" spans="1:20" ht="15.75" thickBot="1" x14ac:dyDescent="0.3">
      <c r="A61" s="25" t="s">
        <v>87</v>
      </c>
      <c r="B61" s="25">
        <v>166</v>
      </c>
      <c r="C61" s="26">
        <v>550</v>
      </c>
      <c r="D61" s="27">
        <v>200</v>
      </c>
      <c r="E61" s="27">
        <v>19</v>
      </c>
      <c r="F61" s="27">
        <v>30</v>
      </c>
      <c r="G61" s="28">
        <v>19</v>
      </c>
      <c r="H61" s="25">
        <v>212</v>
      </c>
      <c r="I61" s="26">
        <v>99180</v>
      </c>
      <c r="J61" s="27">
        <v>3610</v>
      </c>
      <c r="K61" s="27">
        <v>4240</v>
      </c>
      <c r="L61" s="27">
        <v>21.6</v>
      </c>
      <c r="M61" s="28">
        <v>111.3</v>
      </c>
      <c r="N61" s="26">
        <v>3490</v>
      </c>
      <c r="O61" s="27">
        <v>349</v>
      </c>
      <c r="P61" s="27">
        <v>592</v>
      </c>
      <c r="Q61" s="27">
        <v>4.0199999999999996</v>
      </c>
      <c r="R61" s="28">
        <v>120</v>
      </c>
      <c r="S61" s="23">
        <f t="shared" si="0"/>
        <v>520.20370660452079</v>
      </c>
      <c r="T61" s="24">
        <f t="shared" si="1"/>
        <v>2704000</v>
      </c>
    </row>
    <row r="62" spans="1:20" ht="15.75" x14ac:dyDescent="0.25">
      <c r="A62" s="38"/>
      <c r="B62" s="39" t="s">
        <v>88</v>
      </c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1"/>
    </row>
    <row r="63" spans="1:20" x14ac:dyDescent="0.25">
      <c r="A63" s="19" t="s">
        <v>89</v>
      </c>
      <c r="B63" s="19">
        <v>16.7</v>
      </c>
      <c r="C63" s="20">
        <v>96</v>
      </c>
      <c r="D63" s="21">
        <v>100</v>
      </c>
      <c r="E63" s="21">
        <v>5</v>
      </c>
      <c r="F63" s="21">
        <v>8</v>
      </c>
      <c r="G63" s="22">
        <v>12</v>
      </c>
      <c r="H63" s="19">
        <v>21.24</v>
      </c>
      <c r="I63" s="20">
        <v>349.2</v>
      </c>
      <c r="J63" s="21">
        <v>72.760000000000005</v>
      </c>
      <c r="K63" s="21">
        <v>83.01</v>
      </c>
      <c r="L63" s="21">
        <v>4.0599999999999996</v>
      </c>
      <c r="M63" s="22">
        <v>7.56</v>
      </c>
      <c r="N63" s="20">
        <v>133.80000000000001</v>
      </c>
      <c r="O63" s="21">
        <v>26.76</v>
      </c>
      <c r="P63" s="21">
        <v>41.14</v>
      </c>
      <c r="Q63" s="21">
        <v>2.5099999999999998</v>
      </c>
      <c r="R63" s="22">
        <v>16</v>
      </c>
      <c r="S63" s="23">
        <f t="shared" si="0"/>
        <v>5.2494178167107401</v>
      </c>
      <c r="T63" s="24">
        <f t="shared" si="1"/>
        <v>2581.3333333333335</v>
      </c>
    </row>
    <row r="64" spans="1:20" x14ac:dyDescent="0.25">
      <c r="A64" s="19" t="s">
        <v>90</v>
      </c>
      <c r="B64" s="19">
        <v>19.899999999999999</v>
      </c>
      <c r="C64" s="20">
        <v>114</v>
      </c>
      <c r="D64" s="21">
        <v>120</v>
      </c>
      <c r="E64" s="21">
        <v>5</v>
      </c>
      <c r="F64" s="21">
        <v>8</v>
      </c>
      <c r="G64" s="22">
        <v>12</v>
      </c>
      <c r="H64" s="19">
        <v>25.34</v>
      </c>
      <c r="I64" s="20">
        <v>606.20000000000005</v>
      </c>
      <c r="J64" s="21">
        <v>106.3</v>
      </c>
      <c r="K64" s="21">
        <v>119.5</v>
      </c>
      <c r="L64" s="21">
        <v>4.8899999999999997</v>
      </c>
      <c r="M64" s="22">
        <v>8.4600000000000009</v>
      </c>
      <c r="N64" s="20">
        <v>230.9</v>
      </c>
      <c r="O64" s="21">
        <v>38.479999999999997</v>
      </c>
      <c r="P64" s="21">
        <v>58.85</v>
      </c>
      <c r="Q64" s="21">
        <v>3.02</v>
      </c>
      <c r="R64" s="22">
        <v>19.2</v>
      </c>
      <c r="S64" s="23">
        <f t="shared" si="0"/>
        <v>6.0097478167107399</v>
      </c>
      <c r="T64" s="24">
        <f t="shared" si="1"/>
        <v>6471.9359999999997</v>
      </c>
    </row>
    <row r="65" spans="1:20" x14ac:dyDescent="0.25">
      <c r="A65" s="19" t="s">
        <v>91</v>
      </c>
      <c r="B65" s="19">
        <v>24.7</v>
      </c>
      <c r="C65" s="20">
        <v>133</v>
      </c>
      <c r="D65" s="21">
        <v>140</v>
      </c>
      <c r="E65" s="21">
        <v>5.5</v>
      </c>
      <c r="F65" s="21">
        <v>8.5</v>
      </c>
      <c r="G65" s="22">
        <v>12</v>
      </c>
      <c r="H65" s="19">
        <v>31.42</v>
      </c>
      <c r="I65" s="20">
        <v>1033</v>
      </c>
      <c r="J65" s="21">
        <v>155.4</v>
      </c>
      <c r="K65" s="21">
        <v>173.5</v>
      </c>
      <c r="L65" s="21">
        <v>5.73</v>
      </c>
      <c r="M65" s="22">
        <v>10.119999999999999</v>
      </c>
      <c r="N65" s="20">
        <v>389.3</v>
      </c>
      <c r="O65" s="21">
        <v>55.62</v>
      </c>
      <c r="P65" s="21">
        <v>84.85</v>
      </c>
      <c r="Q65" s="21">
        <v>3.52</v>
      </c>
      <c r="R65" s="22">
        <v>23.8</v>
      </c>
      <c r="S65" s="23">
        <f t="shared" si="0"/>
        <v>8.1509253823261485</v>
      </c>
      <c r="T65" s="24">
        <f t="shared" si="1"/>
        <v>15063.659625</v>
      </c>
    </row>
    <row r="66" spans="1:20" x14ac:dyDescent="0.25">
      <c r="A66" s="19" t="s">
        <v>92</v>
      </c>
      <c r="B66" s="19">
        <v>30.4</v>
      </c>
      <c r="C66" s="20">
        <v>152</v>
      </c>
      <c r="D66" s="21">
        <v>160</v>
      </c>
      <c r="E66" s="21">
        <v>6</v>
      </c>
      <c r="F66" s="21">
        <v>9</v>
      </c>
      <c r="G66" s="22">
        <v>15</v>
      </c>
      <c r="H66" s="19">
        <v>38.770000000000003</v>
      </c>
      <c r="I66" s="20">
        <v>1673</v>
      </c>
      <c r="J66" s="21">
        <v>220.1</v>
      </c>
      <c r="K66" s="21">
        <v>245.1</v>
      </c>
      <c r="L66" s="21">
        <v>6.57</v>
      </c>
      <c r="M66" s="22">
        <v>13.21</v>
      </c>
      <c r="N66" s="20">
        <v>615.6</v>
      </c>
      <c r="O66" s="21">
        <v>76.95</v>
      </c>
      <c r="P66" s="21">
        <v>117.6</v>
      </c>
      <c r="Q66" s="21">
        <v>3.98</v>
      </c>
      <c r="R66" s="22">
        <v>28.8</v>
      </c>
      <c r="S66" s="23">
        <f t="shared" si="0"/>
        <v>12.22203528547985</v>
      </c>
      <c r="T66" s="24">
        <f t="shared" si="1"/>
        <v>31409.664000000001</v>
      </c>
    </row>
    <row r="67" spans="1:20" x14ac:dyDescent="0.25">
      <c r="A67" s="19" t="s">
        <v>93</v>
      </c>
      <c r="B67" s="19">
        <v>35.5</v>
      </c>
      <c r="C67" s="20">
        <v>171</v>
      </c>
      <c r="D67" s="21">
        <v>180</v>
      </c>
      <c r="E67" s="21">
        <v>6</v>
      </c>
      <c r="F67" s="21">
        <v>9.5</v>
      </c>
      <c r="G67" s="22">
        <v>15</v>
      </c>
      <c r="H67" s="19">
        <v>45.25</v>
      </c>
      <c r="I67" s="20">
        <v>2510</v>
      </c>
      <c r="J67" s="21">
        <v>293.60000000000002</v>
      </c>
      <c r="K67" s="21">
        <v>324.89999999999998</v>
      </c>
      <c r="L67" s="21">
        <v>7.45</v>
      </c>
      <c r="M67" s="22">
        <v>14.47</v>
      </c>
      <c r="N67" s="20">
        <v>924.6</v>
      </c>
      <c r="O67" s="21">
        <v>102.7</v>
      </c>
      <c r="P67" s="21">
        <v>156.5</v>
      </c>
      <c r="Q67" s="21">
        <v>4.5199999999999996</v>
      </c>
      <c r="R67" s="22">
        <v>34.200000000000003</v>
      </c>
      <c r="S67" s="23">
        <f t="shared" si="0"/>
        <v>14.837025298585056</v>
      </c>
      <c r="T67" s="24">
        <f t="shared" si="1"/>
        <v>60210.874125000002</v>
      </c>
    </row>
    <row r="68" spans="1:20" x14ac:dyDescent="0.25">
      <c r="A68" s="19" t="s">
        <v>94</v>
      </c>
      <c r="B68" s="19">
        <v>42.3</v>
      </c>
      <c r="C68" s="20">
        <v>190</v>
      </c>
      <c r="D68" s="21">
        <v>200</v>
      </c>
      <c r="E68" s="21">
        <v>6.5</v>
      </c>
      <c r="F68" s="21">
        <v>10</v>
      </c>
      <c r="G68" s="22">
        <v>16</v>
      </c>
      <c r="H68" s="19">
        <v>53.83</v>
      </c>
      <c r="I68" s="20">
        <v>3692</v>
      </c>
      <c r="J68" s="21">
        <v>388.6</v>
      </c>
      <c r="K68" s="21">
        <v>429.5</v>
      </c>
      <c r="L68" s="21">
        <v>8.2799999999999994</v>
      </c>
      <c r="M68" s="22">
        <v>18.079999999999998</v>
      </c>
      <c r="N68" s="20">
        <v>1336</v>
      </c>
      <c r="O68" s="21">
        <v>133.6</v>
      </c>
      <c r="P68" s="21">
        <v>203.8</v>
      </c>
      <c r="Q68" s="21">
        <v>4.9800000000000004</v>
      </c>
      <c r="R68" s="22">
        <v>40</v>
      </c>
      <c r="S68" s="23">
        <f t="shared" si="0"/>
        <v>19.495812460613013</v>
      </c>
      <c r="T68" s="24">
        <f t="shared" si="1"/>
        <v>108000</v>
      </c>
    </row>
    <row r="69" spans="1:20" x14ac:dyDescent="0.25">
      <c r="A69" s="19" t="s">
        <v>95</v>
      </c>
      <c r="B69" s="19">
        <v>50.5</v>
      </c>
      <c r="C69" s="20">
        <v>210</v>
      </c>
      <c r="D69" s="21">
        <v>220</v>
      </c>
      <c r="E69" s="21">
        <v>7</v>
      </c>
      <c r="F69" s="21">
        <v>11</v>
      </c>
      <c r="G69" s="22">
        <v>18</v>
      </c>
      <c r="H69" s="19">
        <v>64.34</v>
      </c>
      <c r="I69" s="20">
        <v>5410</v>
      </c>
      <c r="J69" s="21">
        <v>515.20000000000005</v>
      </c>
      <c r="K69" s="21">
        <v>568.5</v>
      </c>
      <c r="L69" s="21">
        <v>9.17</v>
      </c>
      <c r="M69" s="22">
        <v>20.67</v>
      </c>
      <c r="N69" s="20">
        <v>1955</v>
      </c>
      <c r="O69" s="21">
        <v>177.7</v>
      </c>
      <c r="P69" s="21">
        <v>270.60000000000002</v>
      </c>
      <c r="Q69" s="21">
        <v>5.51</v>
      </c>
      <c r="R69" s="22">
        <v>48.4</v>
      </c>
      <c r="S69" s="23">
        <f t="shared" si="0"/>
        <v>28.531192396028882</v>
      </c>
      <c r="T69" s="24">
        <f t="shared" si="1"/>
        <v>193266.08033333335</v>
      </c>
    </row>
    <row r="70" spans="1:20" x14ac:dyDescent="0.25">
      <c r="A70" s="19" t="s">
        <v>96</v>
      </c>
      <c r="B70" s="19">
        <v>60.3</v>
      </c>
      <c r="C70" s="20">
        <v>230</v>
      </c>
      <c r="D70" s="21">
        <v>240</v>
      </c>
      <c r="E70" s="21">
        <v>7.5</v>
      </c>
      <c r="F70" s="21">
        <v>12</v>
      </c>
      <c r="G70" s="22">
        <v>21</v>
      </c>
      <c r="H70" s="19">
        <v>76.84</v>
      </c>
      <c r="I70" s="20">
        <v>7763</v>
      </c>
      <c r="J70" s="21">
        <v>675.1</v>
      </c>
      <c r="K70" s="21">
        <v>744.6</v>
      </c>
      <c r="L70" s="21">
        <v>10.050000000000001</v>
      </c>
      <c r="M70" s="22">
        <v>25.18</v>
      </c>
      <c r="N70" s="20">
        <v>2769</v>
      </c>
      <c r="O70" s="21">
        <v>230.7</v>
      </c>
      <c r="P70" s="21">
        <v>351.7</v>
      </c>
      <c r="Q70" s="21">
        <v>6</v>
      </c>
      <c r="R70" s="22">
        <v>57.6</v>
      </c>
      <c r="S70" s="23">
        <f t="shared" si="0"/>
        <v>41.656856835423895</v>
      </c>
      <c r="T70" s="24">
        <f t="shared" si="1"/>
        <v>328485.88799999998</v>
      </c>
    </row>
    <row r="71" spans="1:20" x14ac:dyDescent="0.25">
      <c r="A71" s="19" t="s">
        <v>97</v>
      </c>
      <c r="B71" s="19">
        <v>68.2</v>
      </c>
      <c r="C71" s="20">
        <v>250</v>
      </c>
      <c r="D71" s="21">
        <v>260</v>
      </c>
      <c r="E71" s="21">
        <v>7.5</v>
      </c>
      <c r="F71" s="21">
        <v>12.5</v>
      </c>
      <c r="G71" s="22">
        <v>24</v>
      </c>
      <c r="H71" s="19">
        <v>86.82</v>
      </c>
      <c r="I71" s="20">
        <v>10450</v>
      </c>
      <c r="J71" s="21">
        <v>836.4</v>
      </c>
      <c r="K71" s="21">
        <v>919.8</v>
      </c>
      <c r="L71" s="21">
        <v>10.97</v>
      </c>
      <c r="M71" s="22">
        <v>28.76</v>
      </c>
      <c r="N71" s="20">
        <v>3668</v>
      </c>
      <c r="O71" s="21">
        <v>282.10000000000002</v>
      </c>
      <c r="P71" s="21">
        <v>430.2</v>
      </c>
      <c r="Q71" s="21">
        <v>6.5</v>
      </c>
      <c r="R71" s="22">
        <v>65</v>
      </c>
      <c r="S71" s="23">
        <f t="shared" si="0"/>
        <v>52.507212436220634</v>
      </c>
      <c r="T71" s="24">
        <f t="shared" si="1"/>
        <v>516352.21354166669</v>
      </c>
    </row>
    <row r="72" spans="1:20" x14ac:dyDescent="0.25">
      <c r="A72" s="19" t="s">
        <v>98</v>
      </c>
      <c r="B72" s="19">
        <v>76.400000000000006</v>
      </c>
      <c r="C72" s="20">
        <v>270</v>
      </c>
      <c r="D72" s="21">
        <v>280</v>
      </c>
      <c r="E72" s="21">
        <v>8</v>
      </c>
      <c r="F72" s="21">
        <v>13</v>
      </c>
      <c r="G72" s="22">
        <v>24</v>
      </c>
      <c r="H72" s="19">
        <v>97.26</v>
      </c>
      <c r="I72" s="20">
        <v>13670</v>
      </c>
      <c r="J72" s="21">
        <v>1013</v>
      </c>
      <c r="K72" s="21">
        <v>1112</v>
      </c>
      <c r="L72" s="21">
        <v>11.86</v>
      </c>
      <c r="M72" s="22">
        <v>31.74</v>
      </c>
      <c r="N72" s="20">
        <v>4763</v>
      </c>
      <c r="O72" s="21">
        <v>340.2</v>
      </c>
      <c r="P72" s="21">
        <v>518.1</v>
      </c>
      <c r="Q72" s="21">
        <v>7</v>
      </c>
      <c r="R72" s="22">
        <v>72.8</v>
      </c>
      <c r="S72" s="23">
        <f t="shared" si="0"/>
        <v>62.254175459579031</v>
      </c>
      <c r="T72" s="24">
        <f t="shared" si="1"/>
        <v>785366.64266666665</v>
      </c>
    </row>
    <row r="73" spans="1:20" x14ac:dyDescent="0.25">
      <c r="A73" s="19" t="s">
        <v>99</v>
      </c>
      <c r="B73" s="19">
        <v>88.3</v>
      </c>
      <c r="C73" s="20">
        <v>290</v>
      </c>
      <c r="D73" s="21">
        <v>300</v>
      </c>
      <c r="E73" s="21">
        <v>8.5</v>
      </c>
      <c r="F73" s="21">
        <v>14</v>
      </c>
      <c r="G73" s="22">
        <v>27</v>
      </c>
      <c r="H73" s="19">
        <v>112.5</v>
      </c>
      <c r="I73" s="20">
        <v>18260</v>
      </c>
      <c r="J73" s="21">
        <v>1260</v>
      </c>
      <c r="K73" s="21">
        <v>1383</v>
      </c>
      <c r="L73" s="21">
        <v>12.74</v>
      </c>
      <c r="M73" s="22">
        <v>37.28</v>
      </c>
      <c r="N73" s="20">
        <v>6310</v>
      </c>
      <c r="O73" s="21">
        <v>420.6</v>
      </c>
      <c r="P73" s="21">
        <v>641.20000000000005</v>
      </c>
      <c r="Q73" s="21">
        <v>7.49</v>
      </c>
      <c r="R73" s="22">
        <v>84</v>
      </c>
      <c r="S73" s="23">
        <f t="shared" si="0"/>
        <v>85.385781228456523</v>
      </c>
      <c r="T73" s="24">
        <f t="shared" si="1"/>
        <v>1199772</v>
      </c>
    </row>
    <row r="74" spans="1:20" x14ac:dyDescent="0.25">
      <c r="A74" s="19" t="s">
        <v>100</v>
      </c>
      <c r="B74" s="19">
        <v>97.6</v>
      </c>
      <c r="C74" s="20">
        <v>310</v>
      </c>
      <c r="D74" s="21">
        <v>300</v>
      </c>
      <c r="E74" s="21">
        <v>9</v>
      </c>
      <c r="F74" s="21">
        <v>15.5</v>
      </c>
      <c r="G74" s="22">
        <v>27</v>
      </c>
      <c r="H74" s="19">
        <v>124.4</v>
      </c>
      <c r="I74" s="20">
        <v>22930</v>
      </c>
      <c r="J74" s="21">
        <v>1479</v>
      </c>
      <c r="K74" s="21">
        <v>1628</v>
      </c>
      <c r="L74" s="21">
        <v>13.58</v>
      </c>
      <c r="M74" s="22">
        <v>41.13</v>
      </c>
      <c r="N74" s="20">
        <v>6985</v>
      </c>
      <c r="O74" s="21">
        <v>465.7</v>
      </c>
      <c r="P74" s="21">
        <v>709.7</v>
      </c>
      <c r="Q74" s="21">
        <v>7.49</v>
      </c>
      <c r="R74" s="22">
        <v>93</v>
      </c>
      <c r="S74" s="23">
        <f t="shared" si="0"/>
        <v>108.26729664351943</v>
      </c>
      <c r="T74" s="24">
        <f t="shared" si="1"/>
        <v>1512358.734375</v>
      </c>
    </row>
    <row r="75" spans="1:20" x14ac:dyDescent="0.25">
      <c r="A75" s="19" t="s">
        <v>101</v>
      </c>
      <c r="B75" s="19">
        <v>105</v>
      </c>
      <c r="C75" s="20">
        <v>330</v>
      </c>
      <c r="D75" s="21">
        <v>300</v>
      </c>
      <c r="E75" s="21">
        <v>9.5</v>
      </c>
      <c r="F75" s="21">
        <v>16.5</v>
      </c>
      <c r="G75" s="22">
        <v>27</v>
      </c>
      <c r="H75" s="19">
        <v>133.5</v>
      </c>
      <c r="I75" s="20">
        <v>27690</v>
      </c>
      <c r="J75" s="21">
        <v>1678</v>
      </c>
      <c r="K75" s="21">
        <v>1850</v>
      </c>
      <c r="L75" s="21">
        <v>14.4</v>
      </c>
      <c r="M75" s="22">
        <v>44.95</v>
      </c>
      <c r="N75" s="20">
        <v>7436</v>
      </c>
      <c r="O75" s="21">
        <v>495.7</v>
      </c>
      <c r="P75" s="21">
        <v>755.9</v>
      </c>
      <c r="Q75" s="21">
        <v>7.46</v>
      </c>
      <c r="R75" s="22">
        <v>99</v>
      </c>
      <c r="S75" s="23">
        <f t="shared" si="0"/>
        <v>127.54411291360657</v>
      </c>
      <c r="T75" s="24">
        <f t="shared" si="1"/>
        <v>1824364.265625</v>
      </c>
    </row>
    <row r="76" spans="1:20" x14ac:dyDescent="0.25">
      <c r="A76" s="19" t="s">
        <v>102</v>
      </c>
      <c r="B76" s="19">
        <v>112</v>
      </c>
      <c r="C76" s="20">
        <v>350</v>
      </c>
      <c r="D76" s="21">
        <v>300</v>
      </c>
      <c r="E76" s="21">
        <v>10</v>
      </c>
      <c r="F76" s="21">
        <v>17.5</v>
      </c>
      <c r="G76" s="22">
        <v>27</v>
      </c>
      <c r="H76" s="19">
        <v>142.80000000000001</v>
      </c>
      <c r="I76" s="20">
        <v>33090</v>
      </c>
      <c r="J76" s="21">
        <v>1891</v>
      </c>
      <c r="K76" s="21">
        <v>2088</v>
      </c>
      <c r="L76" s="21">
        <v>15.22</v>
      </c>
      <c r="M76" s="22">
        <v>48.96</v>
      </c>
      <c r="N76" s="20">
        <v>7887</v>
      </c>
      <c r="O76" s="21">
        <v>525.79999999999995</v>
      </c>
      <c r="P76" s="21">
        <v>802.3</v>
      </c>
      <c r="Q76" s="21">
        <v>7.43</v>
      </c>
      <c r="R76" s="22">
        <v>105</v>
      </c>
      <c r="S76" s="23">
        <f t="shared" si="0"/>
        <v>149.23238667673732</v>
      </c>
      <c r="T76" s="24">
        <f t="shared" si="1"/>
        <v>2176576.171875</v>
      </c>
    </row>
    <row r="77" spans="1:20" x14ac:dyDescent="0.25">
      <c r="A77" s="19" t="s">
        <v>103</v>
      </c>
      <c r="B77" s="19">
        <v>125</v>
      </c>
      <c r="C77" s="20">
        <v>390</v>
      </c>
      <c r="D77" s="21">
        <v>300</v>
      </c>
      <c r="E77" s="21">
        <v>11</v>
      </c>
      <c r="F77" s="21">
        <v>19</v>
      </c>
      <c r="G77" s="22">
        <v>27</v>
      </c>
      <c r="H77" s="19">
        <v>159</v>
      </c>
      <c r="I77" s="20">
        <v>45070</v>
      </c>
      <c r="J77" s="21">
        <v>2311</v>
      </c>
      <c r="K77" s="21">
        <v>2562</v>
      </c>
      <c r="L77" s="21">
        <v>16.84</v>
      </c>
      <c r="M77" s="22">
        <v>57.33</v>
      </c>
      <c r="N77" s="20">
        <v>8564</v>
      </c>
      <c r="O77" s="21">
        <v>570.9</v>
      </c>
      <c r="P77" s="21">
        <v>872.9</v>
      </c>
      <c r="Q77" s="21">
        <v>7.34</v>
      </c>
      <c r="R77" s="22">
        <v>114</v>
      </c>
      <c r="S77" s="23">
        <f t="shared" si="0"/>
        <v>189.54077131488694</v>
      </c>
      <c r="T77" s="24">
        <f t="shared" si="1"/>
        <v>2942076.375</v>
      </c>
    </row>
    <row r="78" spans="1:20" x14ac:dyDescent="0.25">
      <c r="A78" s="19" t="s">
        <v>104</v>
      </c>
      <c r="B78" s="19">
        <v>140</v>
      </c>
      <c r="C78" s="20">
        <v>440</v>
      </c>
      <c r="D78" s="21">
        <v>300</v>
      </c>
      <c r="E78" s="21">
        <v>11.5</v>
      </c>
      <c r="F78" s="21">
        <v>21</v>
      </c>
      <c r="G78" s="22">
        <v>27</v>
      </c>
      <c r="H78" s="19">
        <v>178</v>
      </c>
      <c r="I78" s="20">
        <v>63720</v>
      </c>
      <c r="J78" s="21">
        <v>2896</v>
      </c>
      <c r="K78" s="21">
        <v>3216</v>
      </c>
      <c r="L78" s="21">
        <v>18.920000000000002</v>
      </c>
      <c r="M78" s="22">
        <v>65.78</v>
      </c>
      <c r="N78" s="20">
        <v>9465</v>
      </c>
      <c r="O78" s="21">
        <v>631</v>
      </c>
      <c r="P78" s="21">
        <v>965.5</v>
      </c>
      <c r="Q78" s="21">
        <v>7.29</v>
      </c>
      <c r="R78" s="22">
        <v>126</v>
      </c>
      <c r="S78" s="23">
        <f t="shared" si="0"/>
        <v>244.44073552530034</v>
      </c>
      <c r="T78" s="24">
        <f t="shared" si="1"/>
        <v>4147628.625</v>
      </c>
    </row>
    <row r="79" spans="1:20" x14ac:dyDescent="0.25">
      <c r="A79" s="19" t="s">
        <v>105</v>
      </c>
      <c r="B79" s="19">
        <v>155</v>
      </c>
      <c r="C79" s="20">
        <v>490</v>
      </c>
      <c r="D79" s="21">
        <v>300</v>
      </c>
      <c r="E79" s="21">
        <v>12</v>
      </c>
      <c r="F79" s="21">
        <v>23</v>
      </c>
      <c r="G79" s="22">
        <v>27</v>
      </c>
      <c r="H79" s="19">
        <v>197.5</v>
      </c>
      <c r="I79" s="20">
        <v>86970</v>
      </c>
      <c r="J79" s="21">
        <v>3550</v>
      </c>
      <c r="K79" s="21">
        <v>3949</v>
      </c>
      <c r="L79" s="21">
        <v>20.98</v>
      </c>
      <c r="M79" s="22">
        <v>74.72</v>
      </c>
      <c r="N79" s="20">
        <v>10370</v>
      </c>
      <c r="O79" s="21">
        <v>691.1</v>
      </c>
      <c r="P79" s="21">
        <v>1059</v>
      </c>
      <c r="Q79" s="21">
        <v>7.24</v>
      </c>
      <c r="R79" s="22">
        <v>138</v>
      </c>
      <c r="S79" s="23">
        <f t="shared" si="0"/>
        <v>310.17482758585413</v>
      </c>
      <c r="T79" s="24">
        <f t="shared" si="1"/>
        <v>5643052.875</v>
      </c>
    </row>
    <row r="80" spans="1:20" x14ac:dyDescent="0.25">
      <c r="A80" s="19" t="s">
        <v>106</v>
      </c>
      <c r="B80" s="19">
        <v>166</v>
      </c>
      <c r="C80" s="20">
        <v>540</v>
      </c>
      <c r="D80" s="21">
        <v>300</v>
      </c>
      <c r="E80" s="21">
        <v>12.5</v>
      </c>
      <c r="F80" s="21">
        <v>24</v>
      </c>
      <c r="G80" s="22">
        <v>27</v>
      </c>
      <c r="H80" s="19">
        <v>211.8</v>
      </c>
      <c r="I80" s="20">
        <v>111900</v>
      </c>
      <c r="J80" s="21">
        <v>4146</v>
      </c>
      <c r="K80" s="21">
        <v>4622</v>
      </c>
      <c r="L80" s="21">
        <v>22.99</v>
      </c>
      <c r="M80" s="22">
        <v>83.72</v>
      </c>
      <c r="N80" s="20">
        <v>10820</v>
      </c>
      <c r="O80" s="21">
        <v>721.3</v>
      </c>
      <c r="P80" s="21">
        <v>1107</v>
      </c>
      <c r="Q80" s="21">
        <v>7.15</v>
      </c>
      <c r="R80" s="22">
        <v>144</v>
      </c>
      <c r="S80" s="23">
        <f t="shared" si="0"/>
        <v>352.52922387702586</v>
      </c>
      <c r="T80" s="24">
        <f t="shared" si="1"/>
        <v>7188912</v>
      </c>
    </row>
    <row r="81" spans="1:20" x14ac:dyDescent="0.25">
      <c r="A81" s="19" t="s">
        <v>107</v>
      </c>
      <c r="B81" s="19">
        <v>178</v>
      </c>
      <c r="C81" s="20">
        <v>590</v>
      </c>
      <c r="D81" s="21">
        <v>300</v>
      </c>
      <c r="E81" s="21">
        <v>13</v>
      </c>
      <c r="F81" s="21">
        <v>25</v>
      </c>
      <c r="G81" s="22">
        <v>27</v>
      </c>
      <c r="H81" s="19">
        <v>226.5</v>
      </c>
      <c r="I81" s="20">
        <v>141200</v>
      </c>
      <c r="J81" s="21">
        <v>4787</v>
      </c>
      <c r="K81" s="21">
        <v>5350</v>
      </c>
      <c r="L81" s="21">
        <v>24.97</v>
      </c>
      <c r="M81" s="22">
        <v>93.21</v>
      </c>
      <c r="N81" s="20">
        <v>11270</v>
      </c>
      <c r="O81" s="21">
        <v>751.4</v>
      </c>
      <c r="P81" s="21">
        <v>1156</v>
      </c>
      <c r="Q81" s="21">
        <v>7.05</v>
      </c>
      <c r="R81" s="22">
        <v>150</v>
      </c>
      <c r="S81" s="23">
        <f t="shared" si="0"/>
        <v>398.89041774183636</v>
      </c>
      <c r="T81" s="24">
        <f t="shared" si="1"/>
        <v>8978203.125</v>
      </c>
    </row>
    <row r="82" spans="1:20" x14ac:dyDescent="0.25">
      <c r="A82" s="19" t="s">
        <v>108</v>
      </c>
      <c r="B82" s="19">
        <v>190</v>
      </c>
      <c r="C82" s="20">
        <v>640</v>
      </c>
      <c r="D82" s="21">
        <v>300</v>
      </c>
      <c r="E82" s="21">
        <v>13.5</v>
      </c>
      <c r="F82" s="21">
        <v>26</v>
      </c>
      <c r="G82" s="22">
        <v>27</v>
      </c>
      <c r="H82" s="19">
        <v>241.6</v>
      </c>
      <c r="I82" s="20">
        <v>175200</v>
      </c>
      <c r="J82" s="21">
        <v>5474</v>
      </c>
      <c r="K82" s="21">
        <v>6136</v>
      </c>
      <c r="L82" s="21">
        <v>26.93</v>
      </c>
      <c r="M82" s="22">
        <v>103.2</v>
      </c>
      <c r="N82" s="20">
        <v>11720</v>
      </c>
      <c r="O82" s="21">
        <v>781.6</v>
      </c>
      <c r="P82" s="21">
        <v>1205</v>
      </c>
      <c r="Q82" s="21">
        <v>6.97</v>
      </c>
      <c r="R82" s="22">
        <v>156</v>
      </c>
      <c r="S82" s="23">
        <f t="shared" si="0"/>
        <v>449.47503863751803</v>
      </c>
      <c r="T82" s="24">
        <f t="shared" si="1"/>
        <v>11027133</v>
      </c>
    </row>
    <row r="83" spans="1:20" x14ac:dyDescent="0.25">
      <c r="A83" s="19" t="s">
        <v>109</v>
      </c>
      <c r="B83" s="19">
        <v>204</v>
      </c>
      <c r="C83" s="20">
        <v>690</v>
      </c>
      <c r="D83" s="21">
        <v>300</v>
      </c>
      <c r="E83" s="21">
        <v>14.5</v>
      </c>
      <c r="F83" s="21">
        <v>27</v>
      </c>
      <c r="G83" s="22">
        <v>27</v>
      </c>
      <c r="H83" s="19">
        <v>260.5</v>
      </c>
      <c r="I83" s="20">
        <v>215300</v>
      </c>
      <c r="J83" s="21">
        <v>6241</v>
      </c>
      <c r="K83" s="21">
        <v>7032</v>
      </c>
      <c r="L83" s="21">
        <v>28.75</v>
      </c>
      <c r="M83" s="22">
        <v>117</v>
      </c>
      <c r="N83" s="20">
        <v>12180</v>
      </c>
      <c r="O83" s="21">
        <v>811.9</v>
      </c>
      <c r="P83" s="21">
        <v>1257</v>
      </c>
      <c r="Q83" s="21">
        <v>6.84</v>
      </c>
      <c r="R83" s="22">
        <v>162</v>
      </c>
      <c r="S83" s="23">
        <f t="shared" si="0"/>
        <v>515.10084634977898</v>
      </c>
      <c r="T83" s="24">
        <f t="shared" si="1"/>
        <v>13351908.375</v>
      </c>
    </row>
    <row r="84" spans="1:20" x14ac:dyDescent="0.25">
      <c r="A84" s="19" t="s">
        <v>110</v>
      </c>
      <c r="B84" s="19">
        <v>224</v>
      </c>
      <c r="C84" s="20">
        <v>790</v>
      </c>
      <c r="D84" s="21">
        <v>300</v>
      </c>
      <c r="E84" s="21">
        <v>15</v>
      </c>
      <c r="F84" s="21">
        <v>28</v>
      </c>
      <c r="G84" s="22">
        <v>30</v>
      </c>
      <c r="H84" s="19">
        <v>285.8</v>
      </c>
      <c r="I84" s="20">
        <v>303400</v>
      </c>
      <c r="J84" s="21">
        <v>7682</v>
      </c>
      <c r="K84" s="21">
        <v>8699</v>
      </c>
      <c r="L84" s="21">
        <v>32.58</v>
      </c>
      <c r="M84" s="22">
        <v>138.80000000000001</v>
      </c>
      <c r="N84" s="20">
        <v>12640</v>
      </c>
      <c r="O84" s="21">
        <v>842.6</v>
      </c>
      <c r="P84" s="21">
        <v>1312</v>
      </c>
      <c r="Q84" s="21">
        <v>6.65</v>
      </c>
      <c r="R84" s="22">
        <v>168</v>
      </c>
      <c r="S84" s="23">
        <f t="shared" si="0"/>
        <v>598.11284940621476</v>
      </c>
      <c r="T84" s="24">
        <f t="shared" si="1"/>
        <v>18290286</v>
      </c>
    </row>
    <row r="85" spans="1:20" x14ac:dyDescent="0.25">
      <c r="A85" s="19" t="s">
        <v>111</v>
      </c>
      <c r="B85" s="19">
        <v>252</v>
      </c>
      <c r="C85" s="20">
        <v>890</v>
      </c>
      <c r="D85" s="21">
        <v>300</v>
      </c>
      <c r="E85" s="21">
        <v>16</v>
      </c>
      <c r="F85" s="21">
        <v>30</v>
      </c>
      <c r="G85" s="22">
        <v>30</v>
      </c>
      <c r="H85" s="19">
        <v>320.5</v>
      </c>
      <c r="I85" s="20">
        <v>422100</v>
      </c>
      <c r="J85" s="21">
        <v>9485</v>
      </c>
      <c r="K85" s="21">
        <v>10810</v>
      </c>
      <c r="L85" s="21">
        <v>36.29</v>
      </c>
      <c r="M85" s="22">
        <v>163.30000000000001</v>
      </c>
      <c r="N85" s="20">
        <v>13550</v>
      </c>
      <c r="O85" s="21">
        <v>903.2</v>
      </c>
      <c r="P85" s="21">
        <v>1414</v>
      </c>
      <c r="Q85" s="21">
        <v>6.5</v>
      </c>
      <c r="R85" s="22">
        <v>180</v>
      </c>
      <c r="S85" s="23">
        <f t="shared" si="0"/>
        <v>738.16306178679361</v>
      </c>
      <c r="T85" s="24">
        <f t="shared" si="1"/>
        <v>24961500</v>
      </c>
    </row>
    <row r="86" spans="1:20" ht="15.75" thickBot="1" x14ac:dyDescent="0.3">
      <c r="A86" s="25" t="s">
        <v>112</v>
      </c>
      <c r="B86" s="25">
        <v>272</v>
      </c>
      <c r="C86" s="26">
        <v>990</v>
      </c>
      <c r="D86" s="27">
        <v>300</v>
      </c>
      <c r="E86" s="27">
        <v>16.5</v>
      </c>
      <c r="F86" s="27">
        <v>31</v>
      </c>
      <c r="G86" s="28">
        <v>30</v>
      </c>
      <c r="H86" s="25">
        <v>346.8</v>
      </c>
      <c r="I86" s="26">
        <v>553800</v>
      </c>
      <c r="J86" s="27">
        <v>11190</v>
      </c>
      <c r="K86" s="27">
        <v>12820</v>
      </c>
      <c r="L86" s="27">
        <v>39.96</v>
      </c>
      <c r="M86" s="28">
        <v>184.6</v>
      </c>
      <c r="N86" s="26">
        <v>14000</v>
      </c>
      <c r="O86" s="27">
        <v>933.6</v>
      </c>
      <c r="P86" s="27">
        <v>1470</v>
      </c>
      <c r="Q86" s="27">
        <v>6.35</v>
      </c>
      <c r="R86" s="28">
        <v>186</v>
      </c>
      <c r="S86" s="23">
        <f t="shared" si="0"/>
        <v>823.80528669642717</v>
      </c>
      <c r="T86" s="24">
        <f t="shared" si="1"/>
        <v>32073874.875</v>
      </c>
    </row>
    <row r="87" spans="1:20" ht="15.75" x14ac:dyDescent="0.25">
      <c r="A87" s="38"/>
      <c r="B87" s="39" t="s">
        <v>113</v>
      </c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1"/>
    </row>
    <row r="88" spans="1:20" x14ac:dyDescent="0.25">
      <c r="A88" s="19" t="s">
        <v>114</v>
      </c>
      <c r="B88" s="19">
        <v>20.399999999999999</v>
      </c>
      <c r="C88" s="20">
        <v>100</v>
      </c>
      <c r="D88" s="21">
        <v>100</v>
      </c>
      <c r="E88" s="21">
        <v>6</v>
      </c>
      <c r="F88" s="21">
        <v>10</v>
      </c>
      <c r="G88" s="22">
        <v>12</v>
      </c>
      <c r="H88" s="19">
        <v>26.04</v>
      </c>
      <c r="I88" s="20">
        <v>449.5</v>
      </c>
      <c r="J88" s="21">
        <v>89.91</v>
      </c>
      <c r="K88" s="21">
        <v>104.2</v>
      </c>
      <c r="L88" s="21">
        <v>4.16</v>
      </c>
      <c r="M88" s="22">
        <v>9.0399999999999991</v>
      </c>
      <c r="N88" s="20">
        <v>167.3</v>
      </c>
      <c r="O88" s="21">
        <v>33.450000000000003</v>
      </c>
      <c r="P88" s="21">
        <v>51.42</v>
      </c>
      <c r="Q88" s="21">
        <v>2.5299999999999998</v>
      </c>
      <c r="R88" s="22">
        <v>20</v>
      </c>
      <c r="S88" s="23">
        <f t="shared" si="0"/>
        <v>9.2731037066388975</v>
      </c>
      <c r="T88" s="24">
        <f t="shared" si="1"/>
        <v>3375</v>
      </c>
    </row>
    <row r="89" spans="1:20" x14ac:dyDescent="0.25">
      <c r="A89" s="19" t="s">
        <v>115</v>
      </c>
      <c r="B89" s="19">
        <v>26.7</v>
      </c>
      <c r="C89" s="20">
        <v>120</v>
      </c>
      <c r="D89" s="21">
        <v>120</v>
      </c>
      <c r="E89" s="21">
        <v>6.5</v>
      </c>
      <c r="F89" s="21">
        <v>11</v>
      </c>
      <c r="G89" s="22">
        <v>12</v>
      </c>
      <c r="H89" s="19">
        <v>34.01</v>
      </c>
      <c r="I89" s="20">
        <v>864.4</v>
      </c>
      <c r="J89" s="21">
        <v>144.1</v>
      </c>
      <c r="K89" s="21">
        <v>165.2</v>
      </c>
      <c r="L89" s="21">
        <v>5.04</v>
      </c>
      <c r="M89" s="22">
        <v>10.96</v>
      </c>
      <c r="N89" s="20">
        <v>317.5</v>
      </c>
      <c r="O89" s="21">
        <v>52.92</v>
      </c>
      <c r="P89" s="21">
        <v>80.97</v>
      </c>
      <c r="Q89" s="21">
        <v>3.06</v>
      </c>
      <c r="R89" s="22">
        <v>26.4</v>
      </c>
      <c r="S89" s="23">
        <f t="shared" si="0"/>
        <v>13.882039338259419</v>
      </c>
      <c r="T89" s="24">
        <f t="shared" si="1"/>
        <v>9409.7520000000004</v>
      </c>
    </row>
    <row r="90" spans="1:20" x14ac:dyDescent="0.25">
      <c r="A90" s="19" t="s">
        <v>116</v>
      </c>
      <c r="B90" s="19">
        <v>33.700000000000003</v>
      </c>
      <c r="C90" s="20">
        <v>140</v>
      </c>
      <c r="D90" s="21">
        <v>140</v>
      </c>
      <c r="E90" s="21">
        <v>7</v>
      </c>
      <c r="F90" s="21">
        <v>12</v>
      </c>
      <c r="G90" s="22">
        <v>12</v>
      </c>
      <c r="H90" s="19">
        <v>42.96</v>
      </c>
      <c r="I90" s="20">
        <v>1509</v>
      </c>
      <c r="J90" s="21">
        <v>215.6</v>
      </c>
      <c r="K90" s="21">
        <v>245.4</v>
      </c>
      <c r="L90" s="21">
        <v>5.93</v>
      </c>
      <c r="M90" s="22">
        <v>13.08</v>
      </c>
      <c r="N90" s="20">
        <v>549.70000000000005</v>
      </c>
      <c r="O90" s="21">
        <v>78.52</v>
      </c>
      <c r="P90" s="21">
        <v>119.8</v>
      </c>
      <c r="Q90" s="21">
        <v>3.58</v>
      </c>
      <c r="R90" s="22">
        <v>33.6</v>
      </c>
      <c r="S90" s="23">
        <f t="shared" ref="S90:S111" si="16">(0.67*(D90-0.63*F90)*F90^3+0.33*(C90-2*F90)*E90^3+2*(E90/F90)*(0.145+0.1*G90/F90)*(((G90+0.5*E90)^2+(G90+F90)^2-G90^2)/(2*G90+F90))^4)/10000</f>
        <v>20.121948037251165</v>
      </c>
      <c r="T90" s="24">
        <f t="shared" ref="T90:T111" si="17">(F90*D90^3*(C90-F90)^2)/24000000</f>
        <v>22478.848000000002</v>
      </c>
    </row>
    <row r="91" spans="1:20" x14ac:dyDescent="0.25">
      <c r="A91" s="19" t="s">
        <v>117</v>
      </c>
      <c r="B91" s="19">
        <v>42.6</v>
      </c>
      <c r="C91" s="20">
        <v>160</v>
      </c>
      <c r="D91" s="21">
        <v>160</v>
      </c>
      <c r="E91" s="21">
        <v>8</v>
      </c>
      <c r="F91" s="21">
        <v>13</v>
      </c>
      <c r="G91" s="22">
        <v>15</v>
      </c>
      <c r="H91" s="19">
        <v>54.25</v>
      </c>
      <c r="I91" s="20">
        <v>2492</v>
      </c>
      <c r="J91" s="21">
        <v>311.5</v>
      </c>
      <c r="K91" s="21">
        <v>354</v>
      </c>
      <c r="L91" s="21">
        <v>6.78</v>
      </c>
      <c r="M91" s="22">
        <v>17.59</v>
      </c>
      <c r="N91" s="20">
        <v>889.2</v>
      </c>
      <c r="O91" s="21">
        <v>111.2</v>
      </c>
      <c r="P91" s="21">
        <v>170</v>
      </c>
      <c r="Q91" s="21">
        <v>4.05</v>
      </c>
      <c r="R91" s="22">
        <v>41.6</v>
      </c>
      <c r="S91" s="23">
        <f t="shared" si="16"/>
        <v>31.32570633385718</v>
      </c>
      <c r="T91" s="24">
        <f t="shared" si="17"/>
        <v>47943.167999999998</v>
      </c>
    </row>
    <row r="92" spans="1:20" x14ac:dyDescent="0.25">
      <c r="A92" s="19" t="s">
        <v>118</v>
      </c>
      <c r="B92" s="19">
        <v>51.2</v>
      </c>
      <c r="C92" s="20">
        <v>180</v>
      </c>
      <c r="D92" s="21">
        <v>180</v>
      </c>
      <c r="E92" s="21">
        <v>8.5</v>
      </c>
      <c r="F92" s="21">
        <v>14</v>
      </c>
      <c r="G92" s="22">
        <v>15</v>
      </c>
      <c r="H92" s="19">
        <v>65.25</v>
      </c>
      <c r="I92" s="20">
        <v>3831</v>
      </c>
      <c r="J92" s="21">
        <v>425.7</v>
      </c>
      <c r="K92" s="21">
        <v>481.4</v>
      </c>
      <c r="L92" s="21">
        <v>7.65</v>
      </c>
      <c r="M92" s="22">
        <v>20.239999999999998</v>
      </c>
      <c r="N92" s="20">
        <v>1363</v>
      </c>
      <c r="O92" s="21">
        <v>151.4</v>
      </c>
      <c r="P92" s="21">
        <v>231</v>
      </c>
      <c r="Q92" s="21">
        <v>4.57</v>
      </c>
      <c r="R92" s="22">
        <v>50.4</v>
      </c>
      <c r="S92" s="23">
        <f t="shared" si="16"/>
        <v>42.290024499272739</v>
      </c>
      <c r="T92" s="24">
        <f t="shared" si="17"/>
        <v>93745.512000000002</v>
      </c>
    </row>
    <row r="93" spans="1:20" x14ac:dyDescent="0.25">
      <c r="A93" s="19" t="s">
        <v>119</v>
      </c>
      <c r="B93" s="19">
        <v>61.3</v>
      </c>
      <c r="C93" s="20">
        <v>200</v>
      </c>
      <c r="D93" s="21">
        <v>200</v>
      </c>
      <c r="E93" s="21">
        <v>9</v>
      </c>
      <c r="F93" s="21">
        <v>15</v>
      </c>
      <c r="G93" s="22">
        <v>18</v>
      </c>
      <c r="H93" s="19">
        <v>78.08</v>
      </c>
      <c r="I93" s="20">
        <v>5696</v>
      </c>
      <c r="J93" s="21">
        <v>569.6</v>
      </c>
      <c r="K93" s="21">
        <v>642.5</v>
      </c>
      <c r="L93" s="21">
        <v>8.5399999999999991</v>
      </c>
      <c r="M93" s="22">
        <v>24.83</v>
      </c>
      <c r="N93" s="20">
        <v>2003</v>
      </c>
      <c r="O93" s="21">
        <v>200.3</v>
      </c>
      <c r="P93" s="21">
        <v>305.8</v>
      </c>
      <c r="Q93" s="21">
        <v>5.07</v>
      </c>
      <c r="R93" s="22">
        <v>60</v>
      </c>
      <c r="S93" s="23">
        <f t="shared" si="16"/>
        <v>59.454187514859441</v>
      </c>
      <c r="T93" s="24">
        <f t="shared" si="17"/>
        <v>171125</v>
      </c>
    </row>
    <row r="94" spans="1:20" x14ac:dyDescent="0.25">
      <c r="A94" s="19" t="s">
        <v>120</v>
      </c>
      <c r="B94" s="19">
        <v>71.5</v>
      </c>
      <c r="C94" s="20">
        <v>220</v>
      </c>
      <c r="D94" s="21">
        <v>220</v>
      </c>
      <c r="E94" s="21">
        <v>9.5</v>
      </c>
      <c r="F94" s="21">
        <v>16</v>
      </c>
      <c r="G94" s="22">
        <v>18</v>
      </c>
      <c r="H94" s="19">
        <v>91.04</v>
      </c>
      <c r="I94" s="20">
        <v>8091</v>
      </c>
      <c r="J94" s="21">
        <v>735.5</v>
      </c>
      <c r="K94" s="21">
        <v>827</v>
      </c>
      <c r="L94" s="21">
        <v>9.43</v>
      </c>
      <c r="M94" s="22">
        <v>27.92</v>
      </c>
      <c r="N94" s="20">
        <v>2843</v>
      </c>
      <c r="O94" s="21">
        <v>258.5</v>
      </c>
      <c r="P94" s="21">
        <v>393.9</v>
      </c>
      <c r="Q94" s="21">
        <v>5.59</v>
      </c>
      <c r="R94" s="22">
        <v>70.400000000000006</v>
      </c>
      <c r="S94" s="23">
        <f t="shared" si="16"/>
        <v>76.800891167261838</v>
      </c>
      <c r="T94" s="24">
        <f t="shared" si="17"/>
        <v>295418.11200000002</v>
      </c>
    </row>
    <row r="95" spans="1:20" x14ac:dyDescent="0.25">
      <c r="A95" s="19" t="s">
        <v>121</v>
      </c>
      <c r="B95" s="19">
        <v>83.2</v>
      </c>
      <c r="C95" s="20">
        <v>240</v>
      </c>
      <c r="D95" s="21">
        <v>240</v>
      </c>
      <c r="E95" s="21">
        <v>10</v>
      </c>
      <c r="F95" s="21">
        <v>17</v>
      </c>
      <c r="G95" s="22">
        <v>21</v>
      </c>
      <c r="H95" s="19">
        <v>106</v>
      </c>
      <c r="I95" s="20">
        <v>11260</v>
      </c>
      <c r="J95" s="21">
        <v>938.3</v>
      </c>
      <c r="K95" s="21">
        <v>1053</v>
      </c>
      <c r="L95" s="21">
        <v>10.31</v>
      </c>
      <c r="M95" s="22">
        <v>33.229999999999997</v>
      </c>
      <c r="N95" s="20">
        <v>3923</v>
      </c>
      <c r="O95" s="21">
        <v>326.89999999999998</v>
      </c>
      <c r="P95" s="21">
        <v>498.4</v>
      </c>
      <c r="Q95" s="21">
        <v>6.08</v>
      </c>
      <c r="R95" s="22">
        <v>81.599999999999994</v>
      </c>
      <c r="S95" s="23">
        <f t="shared" si="16"/>
        <v>102.99256527016234</v>
      </c>
      <c r="T95" s="24">
        <f t="shared" si="17"/>
        <v>486946.36800000002</v>
      </c>
    </row>
    <row r="96" spans="1:20" x14ac:dyDescent="0.25">
      <c r="A96" s="19" t="s">
        <v>122</v>
      </c>
      <c r="B96" s="19">
        <v>93</v>
      </c>
      <c r="C96" s="20">
        <v>260</v>
      </c>
      <c r="D96" s="21">
        <v>260</v>
      </c>
      <c r="E96" s="21">
        <v>10</v>
      </c>
      <c r="F96" s="21">
        <v>17.5</v>
      </c>
      <c r="G96" s="22">
        <v>24</v>
      </c>
      <c r="H96" s="19">
        <v>118.4</v>
      </c>
      <c r="I96" s="20">
        <v>14920</v>
      </c>
      <c r="J96" s="21">
        <v>1148</v>
      </c>
      <c r="K96" s="21">
        <v>1283</v>
      </c>
      <c r="L96" s="21">
        <v>11.22</v>
      </c>
      <c r="M96" s="22">
        <v>37.590000000000003</v>
      </c>
      <c r="N96" s="20">
        <v>5135</v>
      </c>
      <c r="O96" s="21">
        <v>395</v>
      </c>
      <c r="P96" s="21">
        <v>602.20000000000005</v>
      </c>
      <c r="Q96" s="21">
        <v>6.58</v>
      </c>
      <c r="R96" s="22">
        <v>91</v>
      </c>
      <c r="S96" s="23">
        <f t="shared" si="16"/>
        <v>124.14805734873958</v>
      </c>
      <c r="T96" s="24">
        <f t="shared" si="17"/>
        <v>753651.09895833337</v>
      </c>
    </row>
    <row r="97" spans="1:20" x14ac:dyDescent="0.25">
      <c r="A97" s="19" t="s">
        <v>123</v>
      </c>
      <c r="B97" s="19">
        <v>103</v>
      </c>
      <c r="C97" s="20">
        <v>280</v>
      </c>
      <c r="D97" s="21">
        <v>280</v>
      </c>
      <c r="E97" s="21">
        <v>10.5</v>
      </c>
      <c r="F97" s="21">
        <v>18</v>
      </c>
      <c r="G97" s="22">
        <v>24</v>
      </c>
      <c r="H97" s="19">
        <v>131.4</v>
      </c>
      <c r="I97" s="20">
        <v>19270</v>
      </c>
      <c r="J97" s="21">
        <v>1376</v>
      </c>
      <c r="K97" s="21">
        <v>1534</v>
      </c>
      <c r="L97" s="21">
        <v>12.11</v>
      </c>
      <c r="M97" s="22">
        <v>41.09</v>
      </c>
      <c r="N97" s="20">
        <v>6595</v>
      </c>
      <c r="O97" s="21">
        <v>471</v>
      </c>
      <c r="P97" s="21">
        <v>717.6</v>
      </c>
      <c r="Q97" s="21">
        <v>7.09</v>
      </c>
      <c r="R97" s="22">
        <v>100.8</v>
      </c>
      <c r="S97" s="23">
        <f t="shared" si="16"/>
        <v>144.14460545180268</v>
      </c>
      <c r="T97" s="24">
        <f t="shared" si="17"/>
        <v>1130154.8160000001</v>
      </c>
    </row>
    <row r="98" spans="1:20" x14ac:dyDescent="0.25">
      <c r="A98" s="19" t="s">
        <v>124</v>
      </c>
      <c r="B98" s="19">
        <v>117</v>
      </c>
      <c r="C98" s="20">
        <v>300</v>
      </c>
      <c r="D98" s="21">
        <v>300</v>
      </c>
      <c r="E98" s="21">
        <v>11</v>
      </c>
      <c r="F98" s="21">
        <v>19</v>
      </c>
      <c r="G98" s="22">
        <v>27</v>
      </c>
      <c r="H98" s="19">
        <v>149.1</v>
      </c>
      <c r="I98" s="20">
        <v>25170</v>
      </c>
      <c r="J98" s="21">
        <v>1678</v>
      </c>
      <c r="K98" s="21">
        <v>1869</v>
      </c>
      <c r="L98" s="21">
        <v>12.99</v>
      </c>
      <c r="M98" s="22">
        <v>47.43</v>
      </c>
      <c r="N98" s="20">
        <v>8563</v>
      </c>
      <c r="O98" s="21">
        <v>570.9</v>
      </c>
      <c r="P98" s="21">
        <v>870.1</v>
      </c>
      <c r="Q98" s="21">
        <v>7.58</v>
      </c>
      <c r="R98" s="22">
        <v>114</v>
      </c>
      <c r="S98" s="23">
        <f t="shared" si="16"/>
        <v>185.58770131488694</v>
      </c>
      <c r="T98" s="24">
        <f t="shared" si="17"/>
        <v>1687791.375</v>
      </c>
    </row>
    <row r="99" spans="1:20" x14ac:dyDescent="0.25">
      <c r="A99" s="19" t="s">
        <v>125</v>
      </c>
      <c r="B99" s="19">
        <v>127</v>
      </c>
      <c r="C99" s="20">
        <v>320</v>
      </c>
      <c r="D99" s="21">
        <v>300</v>
      </c>
      <c r="E99" s="21">
        <v>11.5</v>
      </c>
      <c r="F99" s="21">
        <v>20.5</v>
      </c>
      <c r="G99" s="22">
        <v>27</v>
      </c>
      <c r="H99" s="19">
        <v>161.30000000000001</v>
      </c>
      <c r="I99" s="20">
        <v>30820</v>
      </c>
      <c r="J99" s="21">
        <v>1926</v>
      </c>
      <c r="K99" s="21">
        <v>2149</v>
      </c>
      <c r="L99" s="21">
        <v>13.82</v>
      </c>
      <c r="M99" s="22">
        <v>51.77</v>
      </c>
      <c r="N99" s="20">
        <v>9239</v>
      </c>
      <c r="O99" s="21">
        <v>615.9</v>
      </c>
      <c r="P99" s="21">
        <v>939.1</v>
      </c>
      <c r="Q99" s="21">
        <v>7.57</v>
      </c>
      <c r="R99" s="22">
        <v>123</v>
      </c>
      <c r="S99" s="23">
        <f t="shared" si="16"/>
        <v>225.75224411122315</v>
      </c>
      <c r="T99" s="24">
        <f t="shared" si="17"/>
        <v>2068712.015625</v>
      </c>
    </row>
    <row r="100" spans="1:20" x14ac:dyDescent="0.25">
      <c r="A100" s="19" t="s">
        <v>126</v>
      </c>
      <c r="B100" s="19">
        <v>134</v>
      </c>
      <c r="C100" s="20">
        <v>340</v>
      </c>
      <c r="D100" s="21">
        <v>300</v>
      </c>
      <c r="E100" s="21">
        <v>12</v>
      </c>
      <c r="F100" s="21">
        <v>21.5</v>
      </c>
      <c r="G100" s="22">
        <v>27</v>
      </c>
      <c r="H100" s="19">
        <v>170.9</v>
      </c>
      <c r="I100" s="20">
        <v>36660</v>
      </c>
      <c r="J100" s="21">
        <v>2156</v>
      </c>
      <c r="K100" s="21">
        <v>2408</v>
      </c>
      <c r="L100" s="21">
        <v>14.65</v>
      </c>
      <c r="M100" s="22">
        <v>56.09</v>
      </c>
      <c r="N100" s="20">
        <v>9690</v>
      </c>
      <c r="O100" s="21">
        <v>646</v>
      </c>
      <c r="P100" s="21">
        <v>985.7</v>
      </c>
      <c r="Q100" s="21">
        <v>7.53</v>
      </c>
      <c r="R100" s="22">
        <v>129</v>
      </c>
      <c r="S100" s="23">
        <f t="shared" si="16"/>
        <v>257.98215525722719</v>
      </c>
      <c r="T100" s="24">
        <f t="shared" si="17"/>
        <v>2453634.421875</v>
      </c>
    </row>
    <row r="101" spans="1:20" x14ac:dyDescent="0.25">
      <c r="A101" s="19" t="s">
        <v>127</v>
      </c>
      <c r="B101" s="19">
        <v>142</v>
      </c>
      <c r="C101" s="20">
        <v>360</v>
      </c>
      <c r="D101" s="21">
        <v>300</v>
      </c>
      <c r="E101" s="21">
        <v>12.5</v>
      </c>
      <c r="F101" s="21">
        <v>22.5</v>
      </c>
      <c r="G101" s="22">
        <v>27</v>
      </c>
      <c r="H101" s="19">
        <v>180.6</v>
      </c>
      <c r="I101" s="20">
        <v>43190</v>
      </c>
      <c r="J101" s="21">
        <v>2400</v>
      </c>
      <c r="K101" s="21">
        <v>2683</v>
      </c>
      <c r="L101" s="21">
        <v>15.46</v>
      </c>
      <c r="M101" s="22">
        <v>60.6</v>
      </c>
      <c r="N101" s="20">
        <v>10140</v>
      </c>
      <c r="O101" s="21">
        <v>676.1</v>
      </c>
      <c r="P101" s="21">
        <v>1032</v>
      </c>
      <c r="Q101" s="21">
        <v>7.49</v>
      </c>
      <c r="R101" s="22">
        <v>135</v>
      </c>
      <c r="S101" s="23">
        <f t="shared" si="16"/>
        <v>293.33295940570662</v>
      </c>
      <c r="T101" s="24">
        <f t="shared" si="17"/>
        <v>2883251.953125</v>
      </c>
    </row>
    <row r="102" spans="1:20" x14ac:dyDescent="0.25">
      <c r="A102" s="19" t="s">
        <v>128</v>
      </c>
      <c r="B102" s="19">
        <v>155</v>
      </c>
      <c r="C102" s="20">
        <v>400</v>
      </c>
      <c r="D102" s="21">
        <v>300</v>
      </c>
      <c r="E102" s="21">
        <v>13.5</v>
      </c>
      <c r="F102" s="21">
        <v>24</v>
      </c>
      <c r="G102" s="22">
        <v>27</v>
      </c>
      <c r="H102" s="19">
        <v>197.8</v>
      </c>
      <c r="I102" s="20">
        <v>57680</v>
      </c>
      <c r="J102" s="21">
        <v>2884</v>
      </c>
      <c r="K102" s="21">
        <v>3232</v>
      </c>
      <c r="L102" s="21">
        <v>17.079999999999998</v>
      </c>
      <c r="M102" s="22">
        <v>69.98</v>
      </c>
      <c r="N102" s="20">
        <v>10820</v>
      </c>
      <c r="O102" s="21">
        <v>721.3</v>
      </c>
      <c r="P102" s="21">
        <v>1104</v>
      </c>
      <c r="Q102" s="21">
        <v>7.4</v>
      </c>
      <c r="R102" s="22">
        <v>144</v>
      </c>
      <c r="S102" s="23">
        <f t="shared" si="16"/>
        <v>356.77035060368161</v>
      </c>
      <c r="T102" s="24">
        <f t="shared" si="17"/>
        <v>3817152</v>
      </c>
    </row>
    <row r="103" spans="1:20" x14ac:dyDescent="0.25">
      <c r="A103" s="19" t="s">
        <v>129</v>
      </c>
      <c r="B103" s="19">
        <v>171</v>
      </c>
      <c r="C103" s="20">
        <v>450</v>
      </c>
      <c r="D103" s="21">
        <v>300</v>
      </c>
      <c r="E103" s="21">
        <v>14</v>
      </c>
      <c r="F103" s="21">
        <v>26</v>
      </c>
      <c r="G103" s="22">
        <v>27</v>
      </c>
      <c r="H103" s="19">
        <v>218</v>
      </c>
      <c r="I103" s="20">
        <v>79890</v>
      </c>
      <c r="J103" s="21">
        <v>3551</v>
      </c>
      <c r="K103" s="21">
        <v>3982</v>
      </c>
      <c r="L103" s="21">
        <v>19.14</v>
      </c>
      <c r="M103" s="22">
        <v>79.66</v>
      </c>
      <c r="N103" s="20">
        <v>11720</v>
      </c>
      <c r="O103" s="21">
        <v>781.4</v>
      </c>
      <c r="P103" s="21">
        <v>1198</v>
      </c>
      <c r="Q103" s="21">
        <v>7.33</v>
      </c>
      <c r="R103" s="22">
        <v>156</v>
      </c>
      <c r="S103" s="23">
        <f t="shared" si="16"/>
        <v>441.77302184791313</v>
      </c>
      <c r="T103" s="24">
        <f t="shared" si="17"/>
        <v>5258448</v>
      </c>
    </row>
    <row r="104" spans="1:20" x14ac:dyDescent="0.25">
      <c r="A104" s="19" t="s">
        <v>130</v>
      </c>
      <c r="B104" s="19">
        <v>187</v>
      </c>
      <c r="C104" s="20">
        <v>500</v>
      </c>
      <c r="D104" s="21">
        <v>300</v>
      </c>
      <c r="E104" s="21">
        <v>14.5</v>
      </c>
      <c r="F104" s="21">
        <v>28</v>
      </c>
      <c r="G104" s="22">
        <v>27</v>
      </c>
      <c r="H104" s="19">
        <v>238.6</v>
      </c>
      <c r="I104" s="20">
        <v>107200</v>
      </c>
      <c r="J104" s="21">
        <v>4287</v>
      </c>
      <c r="K104" s="21">
        <v>4815</v>
      </c>
      <c r="L104" s="21">
        <v>21.19</v>
      </c>
      <c r="M104" s="22">
        <v>89.82</v>
      </c>
      <c r="N104" s="20">
        <v>12620</v>
      </c>
      <c r="O104" s="21">
        <v>841.6</v>
      </c>
      <c r="P104" s="21">
        <v>1292</v>
      </c>
      <c r="Q104" s="21">
        <v>7.27</v>
      </c>
      <c r="R104" s="22">
        <v>168</v>
      </c>
      <c r="S104" s="23">
        <f t="shared" si="16"/>
        <v>540.05703237392675</v>
      </c>
      <c r="T104" s="24">
        <f t="shared" si="17"/>
        <v>7017696</v>
      </c>
    </row>
    <row r="105" spans="1:20" x14ac:dyDescent="0.25">
      <c r="A105" s="19" t="s">
        <v>131</v>
      </c>
      <c r="B105" s="19">
        <v>199</v>
      </c>
      <c r="C105" s="20">
        <v>550</v>
      </c>
      <c r="D105" s="21">
        <v>300</v>
      </c>
      <c r="E105" s="21">
        <v>15</v>
      </c>
      <c r="F105" s="21">
        <v>29</v>
      </c>
      <c r="G105" s="22">
        <v>27</v>
      </c>
      <c r="H105" s="19">
        <v>254.1</v>
      </c>
      <c r="I105" s="20">
        <v>136700</v>
      </c>
      <c r="J105" s="21">
        <v>4971</v>
      </c>
      <c r="K105" s="21">
        <v>5591</v>
      </c>
      <c r="L105" s="21">
        <v>23.2</v>
      </c>
      <c r="M105" s="22">
        <v>100.1</v>
      </c>
      <c r="N105" s="20">
        <v>13080</v>
      </c>
      <c r="O105" s="21">
        <v>871.8</v>
      </c>
      <c r="P105" s="21">
        <v>1341</v>
      </c>
      <c r="Q105" s="21">
        <v>7.17</v>
      </c>
      <c r="R105" s="22">
        <v>174</v>
      </c>
      <c r="S105" s="23">
        <f t="shared" si="16"/>
        <v>602.06892924978331</v>
      </c>
      <c r="T105" s="24">
        <f t="shared" si="17"/>
        <v>8855762.625</v>
      </c>
    </row>
    <row r="106" spans="1:20" x14ac:dyDescent="0.25">
      <c r="A106" s="19" t="s">
        <v>132</v>
      </c>
      <c r="B106" s="19">
        <v>212</v>
      </c>
      <c r="C106" s="20">
        <v>600</v>
      </c>
      <c r="D106" s="21">
        <v>300</v>
      </c>
      <c r="E106" s="21">
        <v>15.5</v>
      </c>
      <c r="F106" s="21">
        <v>30</v>
      </c>
      <c r="G106" s="22">
        <v>27</v>
      </c>
      <c r="H106" s="19">
        <v>270</v>
      </c>
      <c r="I106" s="20">
        <v>171000</v>
      </c>
      <c r="J106" s="21">
        <v>5701</v>
      </c>
      <c r="K106" s="21">
        <v>6425</v>
      </c>
      <c r="L106" s="21">
        <v>25.17</v>
      </c>
      <c r="M106" s="22">
        <v>110.8</v>
      </c>
      <c r="N106" s="20">
        <v>13530</v>
      </c>
      <c r="O106" s="21">
        <v>902</v>
      </c>
      <c r="P106" s="21">
        <v>1391</v>
      </c>
      <c r="Q106" s="21">
        <v>7.08</v>
      </c>
      <c r="R106" s="22">
        <v>180</v>
      </c>
      <c r="S106" s="23">
        <f t="shared" si="16"/>
        <v>669.03465223363435</v>
      </c>
      <c r="T106" s="24">
        <f t="shared" si="17"/>
        <v>10965375</v>
      </c>
    </row>
    <row r="107" spans="1:20" x14ac:dyDescent="0.25">
      <c r="A107" s="19" t="s">
        <v>133</v>
      </c>
      <c r="B107" s="19">
        <v>225</v>
      </c>
      <c r="C107" s="20">
        <v>650</v>
      </c>
      <c r="D107" s="21">
        <v>300</v>
      </c>
      <c r="E107" s="21">
        <v>16</v>
      </c>
      <c r="F107" s="21">
        <v>31</v>
      </c>
      <c r="G107" s="22">
        <v>27</v>
      </c>
      <c r="H107" s="19">
        <v>286.3</v>
      </c>
      <c r="I107" s="20">
        <v>210600</v>
      </c>
      <c r="J107" s="21">
        <v>6480</v>
      </c>
      <c r="K107" s="21">
        <v>7320</v>
      </c>
      <c r="L107" s="21">
        <v>27.12</v>
      </c>
      <c r="M107" s="22">
        <v>122</v>
      </c>
      <c r="N107" s="20">
        <v>13980</v>
      </c>
      <c r="O107" s="21">
        <v>932.3</v>
      </c>
      <c r="P107" s="21">
        <v>1441</v>
      </c>
      <c r="Q107" s="21">
        <v>6.99</v>
      </c>
      <c r="R107" s="22">
        <v>186</v>
      </c>
      <c r="S107" s="23">
        <f t="shared" si="16"/>
        <v>741.1859083368721</v>
      </c>
      <c r="T107" s="24">
        <f t="shared" si="17"/>
        <v>13362739.875</v>
      </c>
    </row>
    <row r="108" spans="1:20" x14ac:dyDescent="0.25">
      <c r="A108" s="19" t="s">
        <v>134</v>
      </c>
      <c r="B108" s="19">
        <v>241</v>
      </c>
      <c r="C108" s="20">
        <v>700</v>
      </c>
      <c r="D108" s="21">
        <v>300</v>
      </c>
      <c r="E108" s="21">
        <v>17</v>
      </c>
      <c r="F108" s="21">
        <v>32</v>
      </c>
      <c r="G108" s="22">
        <v>27</v>
      </c>
      <c r="H108" s="19">
        <v>306.39999999999998</v>
      </c>
      <c r="I108" s="20">
        <v>256900</v>
      </c>
      <c r="J108" s="21">
        <v>7340</v>
      </c>
      <c r="K108" s="21">
        <v>8327</v>
      </c>
      <c r="L108" s="21">
        <v>28.96</v>
      </c>
      <c r="M108" s="22">
        <v>137.1</v>
      </c>
      <c r="N108" s="20">
        <v>14440</v>
      </c>
      <c r="O108" s="21">
        <v>962.7</v>
      </c>
      <c r="P108" s="21">
        <v>1495</v>
      </c>
      <c r="Q108" s="21">
        <v>6.87</v>
      </c>
      <c r="R108" s="22">
        <v>192</v>
      </c>
      <c r="S108" s="23">
        <f t="shared" si="16"/>
        <v>832.95087776076537</v>
      </c>
      <c r="T108" s="24">
        <f t="shared" si="17"/>
        <v>16064064</v>
      </c>
    </row>
    <row r="109" spans="1:20" x14ac:dyDescent="0.25">
      <c r="A109" s="19" t="s">
        <v>135</v>
      </c>
      <c r="B109" s="19">
        <v>262</v>
      </c>
      <c r="C109" s="20">
        <v>800</v>
      </c>
      <c r="D109" s="21">
        <v>300</v>
      </c>
      <c r="E109" s="21">
        <v>17.5</v>
      </c>
      <c r="F109" s="21">
        <v>33</v>
      </c>
      <c r="G109" s="22">
        <v>30</v>
      </c>
      <c r="H109" s="19">
        <v>334.2</v>
      </c>
      <c r="I109" s="20">
        <v>359100</v>
      </c>
      <c r="J109" s="21">
        <v>8977</v>
      </c>
      <c r="K109" s="21">
        <v>10230</v>
      </c>
      <c r="L109" s="21">
        <v>32.78</v>
      </c>
      <c r="M109" s="22">
        <v>161.80000000000001</v>
      </c>
      <c r="N109" s="20">
        <v>14900</v>
      </c>
      <c r="O109" s="21">
        <v>993.6</v>
      </c>
      <c r="P109" s="21">
        <v>1553</v>
      </c>
      <c r="Q109" s="21">
        <v>6.68</v>
      </c>
      <c r="R109" s="22">
        <v>198</v>
      </c>
      <c r="S109" s="23">
        <f t="shared" si="16"/>
        <v>948.05470181934595</v>
      </c>
      <c r="T109" s="24">
        <f t="shared" si="17"/>
        <v>21840229.125</v>
      </c>
    </row>
    <row r="110" spans="1:20" x14ac:dyDescent="0.25">
      <c r="A110" s="19" t="s">
        <v>136</v>
      </c>
      <c r="B110" s="19">
        <v>291</v>
      </c>
      <c r="C110" s="20">
        <v>900</v>
      </c>
      <c r="D110" s="21">
        <v>300</v>
      </c>
      <c r="E110" s="21">
        <v>18.5</v>
      </c>
      <c r="F110" s="21">
        <v>35</v>
      </c>
      <c r="G110" s="22">
        <v>30</v>
      </c>
      <c r="H110" s="19">
        <v>371.3</v>
      </c>
      <c r="I110" s="20">
        <v>494100</v>
      </c>
      <c r="J110" s="21">
        <v>10980</v>
      </c>
      <c r="K110" s="21">
        <v>12580</v>
      </c>
      <c r="L110" s="21">
        <v>36.479999999999997</v>
      </c>
      <c r="M110" s="22">
        <v>188.8</v>
      </c>
      <c r="N110" s="20">
        <v>15820</v>
      </c>
      <c r="O110" s="21">
        <v>1054</v>
      </c>
      <c r="P110" s="21">
        <v>1658</v>
      </c>
      <c r="Q110" s="21">
        <v>6.53</v>
      </c>
      <c r="R110" s="22">
        <v>210</v>
      </c>
      <c r="S110" s="23">
        <f t="shared" si="16"/>
        <v>1139.6901972885889</v>
      </c>
      <c r="T110" s="24">
        <f t="shared" si="17"/>
        <v>29461359.375</v>
      </c>
    </row>
    <row r="111" spans="1:20" ht="15.75" thickBot="1" x14ac:dyDescent="0.3">
      <c r="A111" s="25" t="s">
        <v>137</v>
      </c>
      <c r="B111" s="25">
        <v>314</v>
      </c>
      <c r="C111" s="26">
        <v>1000</v>
      </c>
      <c r="D111" s="27">
        <v>300</v>
      </c>
      <c r="E111" s="27">
        <v>19</v>
      </c>
      <c r="F111" s="27">
        <v>36</v>
      </c>
      <c r="G111" s="28">
        <v>30</v>
      </c>
      <c r="H111" s="25">
        <v>400</v>
      </c>
      <c r="I111" s="26">
        <v>644700</v>
      </c>
      <c r="J111" s="27">
        <v>12890</v>
      </c>
      <c r="K111" s="27">
        <v>14860</v>
      </c>
      <c r="L111" s="27">
        <v>40.15</v>
      </c>
      <c r="M111" s="28">
        <v>212.5</v>
      </c>
      <c r="N111" s="26">
        <v>16280</v>
      </c>
      <c r="O111" s="27">
        <v>1085</v>
      </c>
      <c r="P111" s="27">
        <v>1716</v>
      </c>
      <c r="Q111" s="27">
        <v>6.38</v>
      </c>
      <c r="R111" s="28">
        <v>216</v>
      </c>
      <c r="S111" s="23">
        <f t="shared" si="16"/>
        <v>1256.6117566176388</v>
      </c>
      <c r="T111" s="24">
        <f t="shared" si="17"/>
        <v>37636488</v>
      </c>
    </row>
    <row r="112" spans="1:20" ht="15.75" x14ac:dyDescent="0.25">
      <c r="A112" s="38"/>
      <c r="B112" s="39" t="s">
        <v>138</v>
      </c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2"/>
    </row>
    <row r="113" spans="1:20" x14ac:dyDescent="0.25">
      <c r="A113" s="19" t="s">
        <v>139</v>
      </c>
      <c r="B113" s="30">
        <f>7.85*H113*0.1</f>
        <v>41.790343664382092</v>
      </c>
      <c r="C113" s="20">
        <v>120</v>
      </c>
      <c r="D113" s="21">
        <v>106</v>
      </c>
      <c r="E113" s="21">
        <v>12</v>
      </c>
      <c r="F113" s="21">
        <v>20</v>
      </c>
      <c r="G113" s="22">
        <v>12</v>
      </c>
      <c r="H113" s="31">
        <f>((C113-2*F113)*E113+2*D113*F113+(2*G113)^2-PI()*G113^2)*0.01</f>
        <v>53.236106578830693</v>
      </c>
      <c r="I113" s="32">
        <f t="shared" ref="I113:I136" si="18">0.0001*(C113^3*E113/12+(D113-F113)*F113*(C113-F113)^2/2+F113^3*(D113-E113)/6+G113^2*(4-PI())*(0.5*C113-F113-G113*(1-2/(12-3*PI())))^2+4*G113^4*(1/3-PI()/16-1/(9*(4-PI()))))</f>
        <v>1062.6118072797451</v>
      </c>
      <c r="J113" s="33">
        <f t="shared" ref="J113:J136" si="19">I113/(C113*0.5*0.1)</f>
        <v>177.10196787995753</v>
      </c>
      <c r="K113" s="34">
        <f t="shared" ref="K113:K136" si="20">((E113*C113^2)/4+(D113-E113)*(C113-F113)*F113+((C113-2*F113)*(4-PI())*G113^2/2)+((3*PI()-10)*3)/3)*0.001</f>
        <v>236.14385109328356</v>
      </c>
      <c r="L113" s="34">
        <f t="shared" ref="L113:L136" si="21">SQRT(I113/H113)</f>
        <v>4.467701775421717</v>
      </c>
      <c r="M113" s="35">
        <f t="shared" ref="M113:M136" si="22">H113-(2*D113*F113-(E113+2*G113)*F113)*0.01</f>
        <v>18.03610657883069</v>
      </c>
      <c r="N113" s="36">
        <f t="shared" ref="N113:N136" si="23">0.0001*(C113*E113^3/12+(D113-F113)*F113*(D113+F113)^2/8+F113*(D113-E113)^3/24+G113^2*(4-PI())*(0.5*E113-G113*(1-2/(12-3*PI())))^2+4*G113^4*(1/3-PI()/16-1/(9*(4-PI()))))</f>
        <v>412.47613007009147</v>
      </c>
      <c r="O113" s="34">
        <f t="shared" ref="O113:O136" si="24">N113/(D113*0.5*0.1)</f>
        <v>77.825684918885173</v>
      </c>
      <c r="P113" s="34">
        <f t="shared" ref="P113:P136" si="25">0.001*(D113^2*F113/2+((C113-2*F113)*E113^2)/4+G113^3*(10/3-PI())+(2-PI()/2)*E113*G113^2)</f>
        <v>116.31299184189525</v>
      </c>
      <c r="Q113" s="34">
        <f t="shared" ref="Q113:Q136" si="26">SQRT(N113/H113)</f>
        <v>2.7835323153585443</v>
      </c>
      <c r="R113" s="35">
        <f t="shared" ref="R113:R136" si="27">0.01*2*D113*E113</f>
        <v>25.44</v>
      </c>
      <c r="S113" s="23">
        <f t="shared" ref="S113:S136" si="28">(0.67*(D113-0.63*F113)*F113^3+0.33*(C113-2*F113)*E113^3+2*(E113/F113)*(0.145+0.1*G113/F113)*(((G113+0.5*E113)^2+(G113+F113)^2-G113^2)/(2*G113+F113))^4)/10000</f>
        <v>68.416418459435832</v>
      </c>
      <c r="T113" s="24">
        <f t="shared" ref="T113:T136" si="29">(F113*D113^3*(C113-F113)^2)/24000000</f>
        <v>9925.1333333333332</v>
      </c>
    </row>
    <row r="114" spans="1:20" x14ac:dyDescent="0.25">
      <c r="A114" s="19" t="s">
        <v>140</v>
      </c>
      <c r="B114" s="30">
        <f t="shared" ref="B114:B136" si="30">7.85*H114*0.1</f>
        <v>52.128793664382101</v>
      </c>
      <c r="C114" s="20">
        <v>140</v>
      </c>
      <c r="D114" s="21">
        <v>126</v>
      </c>
      <c r="E114" s="21">
        <v>12.5</v>
      </c>
      <c r="F114" s="21">
        <v>21</v>
      </c>
      <c r="G114" s="22">
        <v>12</v>
      </c>
      <c r="H114" s="31">
        <f t="shared" ref="H114:H136" si="31">((C114-2*F114)*E114+2*D114*F114+(2*G114)^2-PI()*G114^2)*0.01</f>
        <v>66.406106578830702</v>
      </c>
      <c r="I114" s="32">
        <f t="shared" si="18"/>
        <v>1891.1856057659045</v>
      </c>
      <c r="J114" s="33">
        <f t="shared" si="19"/>
        <v>270.16937225227207</v>
      </c>
      <c r="K114" s="34">
        <f t="shared" si="20"/>
        <v>350.94284701423123</v>
      </c>
      <c r="L114" s="34">
        <f t="shared" si="21"/>
        <v>5.3365805349893423</v>
      </c>
      <c r="M114" s="35">
        <f t="shared" si="22"/>
        <v>21.151106578830699</v>
      </c>
      <c r="N114" s="36">
        <f t="shared" si="23"/>
        <v>726.03363975183822</v>
      </c>
      <c r="O114" s="34">
        <f t="shared" si="24"/>
        <v>115.24343488124416</v>
      </c>
      <c r="P114" s="34">
        <f t="shared" si="25"/>
        <v>171.63001950636601</v>
      </c>
      <c r="Q114" s="34">
        <f t="shared" si="26"/>
        <v>3.3065444304501104</v>
      </c>
      <c r="R114" s="35">
        <f t="shared" si="27"/>
        <v>31.5</v>
      </c>
      <c r="S114" s="23">
        <f t="shared" si="28"/>
        <v>91.946766307255231</v>
      </c>
      <c r="T114" s="24">
        <f t="shared" si="29"/>
        <v>24786.408969</v>
      </c>
    </row>
    <row r="115" spans="1:20" x14ac:dyDescent="0.25">
      <c r="A115" s="19" t="s">
        <v>141</v>
      </c>
      <c r="B115" s="30">
        <f t="shared" si="30"/>
        <v>63.23654366438209</v>
      </c>
      <c r="C115" s="20">
        <v>160</v>
      </c>
      <c r="D115" s="21">
        <v>146</v>
      </c>
      <c r="E115" s="21">
        <v>13</v>
      </c>
      <c r="F115" s="21">
        <v>22</v>
      </c>
      <c r="G115" s="22">
        <v>12</v>
      </c>
      <c r="H115" s="31">
        <f t="shared" si="31"/>
        <v>80.556106578830693</v>
      </c>
      <c r="I115" s="32">
        <f t="shared" si="18"/>
        <v>3102.8286135764365</v>
      </c>
      <c r="J115" s="33">
        <f t="shared" si="19"/>
        <v>387.85357669705456</v>
      </c>
      <c r="K115" s="34">
        <f t="shared" si="20"/>
        <v>494.15684293517882</v>
      </c>
      <c r="L115" s="34">
        <f t="shared" si="21"/>
        <v>6.206255632249027</v>
      </c>
      <c r="M115" s="35">
        <f t="shared" si="22"/>
        <v>24.456106578830692</v>
      </c>
      <c r="N115" s="36">
        <f t="shared" si="23"/>
        <v>1181.2690456084754</v>
      </c>
      <c r="O115" s="34">
        <f t="shared" si="24"/>
        <v>161.81767748061304</v>
      </c>
      <c r="P115" s="34">
        <f t="shared" si="25"/>
        <v>240.51179717083681</v>
      </c>
      <c r="Q115" s="34">
        <f t="shared" si="26"/>
        <v>3.8293510189297901</v>
      </c>
      <c r="R115" s="35">
        <f t="shared" si="27"/>
        <v>37.96</v>
      </c>
      <c r="S115" s="23">
        <f t="shared" si="28"/>
        <v>120.39653443024545</v>
      </c>
      <c r="T115" s="24">
        <f t="shared" si="29"/>
        <v>54328.558151999998</v>
      </c>
    </row>
    <row r="116" spans="1:20" x14ac:dyDescent="0.25">
      <c r="A116" s="19" t="s">
        <v>142</v>
      </c>
      <c r="B116" s="30">
        <f t="shared" si="30"/>
        <v>76.185361975597033</v>
      </c>
      <c r="C116" s="20">
        <v>180</v>
      </c>
      <c r="D116" s="21">
        <v>166</v>
      </c>
      <c r="E116" s="21">
        <v>14</v>
      </c>
      <c r="F116" s="21">
        <v>23</v>
      </c>
      <c r="G116" s="22">
        <v>15</v>
      </c>
      <c r="H116" s="31">
        <f t="shared" si="31"/>
        <v>97.051416529422966</v>
      </c>
      <c r="I116" s="32">
        <f t="shared" si="18"/>
        <v>4843.1505414200647</v>
      </c>
      <c r="J116" s="33">
        <f t="shared" si="19"/>
        <v>538.12783793556275</v>
      </c>
      <c r="K116" s="34">
        <f t="shared" si="20"/>
        <v>675.21191552509458</v>
      </c>
      <c r="L116" s="34">
        <f t="shared" si="21"/>
        <v>7.0642009534123931</v>
      </c>
      <c r="M116" s="35">
        <f t="shared" si="22"/>
        <v>30.811416529422971</v>
      </c>
      <c r="N116" s="36">
        <f t="shared" si="23"/>
        <v>1809.6539075432984</v>
      </c>
      <c r="O116" s="34">
        <f t="shared" si="24"/>
        <v>218.03059127027689</v>
      </c>
      <c r="P116" s="34">
        <f t="shared" si="25"/>
        <v>325.45911636473051</v>
      </c>
      <c r="Q116" s="34">
        <f t="shared" si="26"/>
        <v>4.3181410392124073</v>
      </c>
      <c r="R116" s="35">
        <f t="shared" si="27"/>
        <v>46.480000000000004</v>
      </c>
      <c r="S116" s="23">
        <f t="shared" si="28"/>
        <v>162.92385548569453</v>
      </c>
      <c r="T116" s="24">
        <f t="shared" si="29"/>
        <v>108053.82951633334</v>
      </c>
    </row>
    <row r="117" spans="1:20" x14ac:dyDescent="0.25">
      <c r="A117" s="19" t="s">
        <v>143</v>
      </c>
      <c r="B117" s="30">
        <f t="shared" si="30"/>
        <v>88.902361975597032</v>
      </c>
      <c r="C117" s="20">
        <v>200</v>
      </c>
      <c r="D117" s="21">
        <v>186</v>
      </c>
      <c r="E117" s="21">
        <v>14.5</v>
      </c>
      <c r="F117" s="21">
        <v>24</v>
      </c>
      <c r="G117" s="22">
        <v>15</v>
      </c>
      <c r="H117" s="31">
        <f t="shared" si="31"/>
        <v>113.25141652942297</v>
      </c>
      <c r="I117" s="32">
        <f t="shared" si="18"/>
        <v>7130.006597524296</v>
      </c>
      <c r="J117" s="33">
        <f t="shared" si="19"/>
        <v>713.00065975242956</v>
      </c>
      <c r="K117" s="34">
        <f t="shared" si="20"/>
        <v>884.09419040157536</v>
      </c>
      <c r="L117" s="34">
        <f t="shared" si="21"/>
        <v>7.9345654059970077</v>
      </c>
      <c r="M117" s="35">
        <f t="shared" si="22"/>
        <v>34.65141652942296</v>
      </c>
      <c r="N117" s="36">
        <f t="shared" si="23"/>
        <v>2653.207608017452</v>
      </c>
      <c r="O117" s="34">
        <f t="shared" si="24"/>
        <v>285.29114064703782</v>
      </c>
      <c r="P117" s="34">
        <f t="shared" si="25"/>
        <v>425.18890177796612</v>
      </c>
      <c r="Q117" s="34">
        <f t="shared" si="26"/>
        <v>4.840205441563926</v>
      </c>
      <c r="R117" s="35">
        <f t="shared" si="27"/>
        <v>53.940000000000005</v>
      </c>
      <c r="S117" s="23">
        <f t="shared" si="28"/>
        <v>203.90632271240474</v>
      </c>
      <c r="T117" s="24">
        <f t="shared" si="29"/>
        <v>199326.099456</v>
      </c>
    </row>
    <row r="118" spans="1:20" x14ac:dyDescent="0.25">
      <c r="A118" s="19" t="s">
        <v>144</v>
      </c>
      <c r="B118" s="30">
        <f t="shared" si="30"/>
        <v>103.05577324485972</v>
      </c>
      <c r="C118" s="20">
        <v>220</v>
      </c>
      <c r="D118" s="21">
        <v>206</v>
      </c>
      <c r="E118" s="21">
        <v>15</v>
      </c>
      <c r="F118" s="21">
        <v>25</v>
      </c>
      <c r="G118" s="22">
        <v>18</v>
      </c>
      <c r="H118" s="31">
        <f t="shared" si="31"/>
        <v>131.28123980236907</v>
      </c>
      <c r="I118" s="32">
        <f t="shared" si="18"/>
        <v>10166.596892301601</v>
      </c>
      <c r="J118" s="33">
        <f t="shared" si="19"/>
        <v>924.23608111832732</v>
      </c>
      <c r="K118" s="34">
        <f t="shared" si="20"/>
        <v>1136.2649630980982</v>
      </c>
      <c r="L118" s="34">
        <f t="shared" si="21"/>
        <v>8.8000768999777534</v>
      </c>
      <c r="M118" s="35">
        <f t="shared" si="22"/>
        <v>41.031239802369072</v>
      </c>
      <c r="N118" s="36">
        <f t="shared" si="23"/>
        <v>3750.8924794553641</v>
      </c>
      <c r="O118" s="34">
        <f t="shared" si="24"/>
        <v>364.16431839372467</v>
      </c>
      <c r="P118" s="34">
        <f t="shared" si="25"/>
        <v>543.21666149604107</v>
      </c>
      <c r="Q118" s="34">
        <f t="shared" si="26"/>
        <v>5.3452247767384424</v>
      </c>
      <c r="R118" s="35">
        <f t="shared" si="27"/>
        <v>61.800000000000004</v>
      </c>
      <c r="S118" s="23">
        <f t="shared" si="28"/>
        <v>260.20911130767081</v>
      </c>
      <c r="T118" s="24">
        <f t="shared" si="29"/>
        <v>346257.86812499998</v>
      </c>
    </row>
    <row r="119" spans="1:20" x14ac:dyDescent="0.25">
      <c r="A119" s="19" t="s">
        <v>145</v>
      </c>
      <c r="B119" s="30">
        <f t="shared" si="30"/>
        <v>117.31137324485972</v>
      </c>
      <c r="C119" s="20">
        <v>240</v>
      </c>
      <c r="D119" s="21">
        <v>226</v>
      </c>
      <c r="E119" s="21">
        <v>15.5</v>
      </c>
      <c r="F119" s="21">
        <v>26</v>
      </c>
      <c r="G119" s="22">
        <v>18</v>
      </c>
      <c r="H119" s="31">
        <f t="shared" si="31"/>
        <v>149.44123980236907</v>
      </c>
      <c r="I119" s="32">
        <f t="shared" si="18"/>
        <v>13979.716481891421</v>
      </c>
      <c r="J119" s="33">
        <f t="shared" si="19"/>
        <v>1164.9763734909518</v>
      </c>
      <c r="K119" s="34">
        <f t="shared" si="20"/>
        <v>1420.56507892023</v>
      </c>
      <c r="L119" s="34">
        <f t="shared" si="21"/>
        <v>9.6719479547391014</v>
      </c>
      <c r="M119" s="35">
        <f t="shared" si="22"/>
        <v>45.311239802369073</v>
      </c>
      <c r="N119" s="36">
        <f t="shared" si="23"/>
        <v>5146.3697203489492</v>
      </c>
      <c r="O119" s="34">
        <f t="shared" si="24"/>
        <v>455.4309487034468</v>
      </c>
      <c r="P119" s="34">
        <f t="shared" si="25"/>
        <v>678.55344249110033</v>
      </c>
      <c r="Q119" s="34">
        <f t="shared" si="26"/>
        <v>5.8683398993469478</v>
      </c>
      <c r="R119" s="35">
        <f t="shared" si="27"/>
        <v>70.06</v>
      </c>
      <c r="S119" s="23">
        <f t="shared" si="28"/>
        <v>316.25996689343202</v>
      </c>
      <c r="T119" s="24">
        <f t="shared" si="29"/>
        <v>572683.89543733338</v>
      </c>
    </row>
    <row r="120" spans="1:20" x14ac:dyDescent="0.25">
      <c r="A120" s="19" t="s">
        <v>146</v>
      </c>
      <c r="B120" s="30">
        <f t="shared" si="30"/>
        <v>156.67467747217017</v>
      </c>
      <c r="C120" s="20">
        <v>270</v>
      </c>
      <c r="D120" s="21">
        <v>248</v>
      </c>
      <c r="E120" s="21">
        <v>18</v>
      </c>
      <c r="F120" s="21">
        <v>32</v>
      </c>
      <c r="G120" s="22">
        <v>21</v>
      </c>
      <c r="H120" s="31">
        <f t="shared" si="31"/>
        <v>199.58557639766903</v>
      </c>
      <c r="I120" s="32">
        <f t="shared" si="18"/>
        <v>23020.679121624362</v>
      </c>
      <c r="J120" s="33">
        <f t="shared" si="19"/>
        <v>1705.2354904906936</v>
      </c>
      <c r="K120" s="34">
        <f t="shared" si="20"/>
        <v>2118.7208616739517</v>
      </c>
      <c r="L120" s="34">
        <f t="shared" si="21"/>
        <v>10.739757849686985</v>
      </c>
      <c r="M120" s="35">
        <f t="shared" si="22"/>
        <v>60.06557639766902</v>
      </c>
      <c r="N120" s="36">
        <f t="shared" si="23"/>
        <v>8410.4385946577404</v>
      </c>
      <c r="O120" s="34">
        <f t="shared" si="24"/>
        <v>678.26117698852738</v>
      </c>
      <c r="P120" s="34">
        <f t="shared" si="25"/>
        <v>1005.932729193007</v>
      </c>
      <c r="Q120" s="34">
        <f t="shared" si="26"/>
        <v>6.4914952832965378</v>
      </c>
      <c r="R120" s="35">
        <f t="shared" si="27"/>
        <v>89.28</v>
      </c>
      <c r="S120" s="23">
        <f t="shared" si="28"/>
        <v>629.98746515643893</v>
      </c>
      <c r="T120" s="24">
        <f t="shared" si="29"/>
        <v>1151987.3051306666</v>
      </c>
    </row>
    <row r="121" spans="1:20" x14ac:dyDescent="0.25">
      <c r="A121" s="19" t="s">
        <v>147</v>
      </c>
      <c r="B121" s="30">
        <f t="shared" si="30"/>
        <v>172.4208746575284</v>
      </c>
      <c r="C121" s="20">
        <v>290</v>
      </c>
      <c r="D121" s="21">
        <v>268</v>
      </c>
      <c r="E121" s="21">
        <v>18</v>
      </c>
      <c r="F121" s="21">
        <v>32.5</v>
      </c>
      <c r="G121" s="22">
        <v>24</v>
      </c>
      <c r="H121" s="31">
        <f t="shared" si="31"/>
        <v>219.64442631532279</v>
      </c>
      <c r="I121" s="32">
        <f t="shared" si="18"/>
        <v>29744.519105017604</v>
      </c>
      <c r="J121" s="33">
        <f t="shared" si="19"/>
        <v>2051.346145173628</v>
      </c>
      <c r="K121" s="33">
        <f t="shared" si="20"/>
        <v>2526.2617208253423</v>
      </c>
      <c r="L121" s="34">
        <f t="shared" si="21"/>
        <v>11.637062916688997</v>
      </c>
      <c r="M121" s="43">
        <f t="shared" si="22"/>
        <v>66.894426315322789</v>
      </c>
      <c r="N121" s="32">
        <f t="shared" si="23"/>
        <v>10770.829780238959</v>
      </c>
      <c r="O121" s="33">
        <f t="shared" si="24"/>
        <v>803.79326718201185</v>
      </c>
      <c r="P121" s="33">
        <f t="shared" si="25"/>
        <v>1192.4656068405654</v>
      </c>
      <c r="Q121" s="34">
        <f t="shared" si="26"/>
        <v>7.0026833334434304</v>
      </c>
      <c r="R121" s="43">
        <f t="shared" si="27"/>
        <v>96.48</v>
      </c>
      <c r="S121" s="23">
        <f t="shared" si="28"/>
        <v>721.41016697183875</v>
      </c>
      <c r="T121" s="24">
        <f t="shared" si="29"/>
        <v>1728347.1112916667</v>
      </c>
    </row>
    <row r="122" spans="1:20" x14ac:dyDescent="0.25">
      <c r="A122" s="19" t="s">
        <v>148</v>
      </c>
      <c r="B122" s="30">
        <f t="shared" si="30"/>
        <v>188.52907465752838</v>
      </c>
      <c r="C122" s="20">
        <v>310</v>
      </c>
      <c r="D122" s="21">
        <v>288</v>
      </c>
      <c r="E122" s="21">
        <v>18.5</v>
      </c>
      <c r="F122" s="21">
        <v>33</v>
      </c>
      <c r="G122" s="22">
        <v>24</v>
      </c>
      <c r="H122" s="31">
        <f t="shared" si="31"/>
        <v>240.16442631532277</v>
      </c>
      <c r="I122" s="32">
        <f t="shared" si="18"/>
        <v>37711.598418884336</v>
      </c>
      <c r="J122" s="33">
        <f t="shared" si="19"/>
        <v>2433.0063496054408</v>
      </c>
      <c r="K122" s="33">
        <f t="shared" si="20"/>
        <v>2968.283425824899</v>
      </c>
      <c r="L122" s="34">
        <f t="shared" si="21"/>
        <v>12.530925000402076</v>
      </c>
      <c r="M122" s="43">
        <f t="shared" si="22"/>
        <v>72.02942631532278</v>
      </c>
      <c r="N122" s="32">
        <f t="shared" si="23"/>
        <v>13548.135778375507</v>
      </c>
      <c r="O122" s="33">
        <f t="shared" si="24"/>
        <v>940.84276238718792</v>
      </c>
      <c r="P122" s="33">
        <f t="shared" si="25"/>
        <v>1396.6774674984486</v>
      </c>
      <c r="Q122" s="34">
        <f t="shared" si="26"/>
        <v>7.5107867360489307</v>
      </c>
      <c r="R122" s="43">
        <f t="shared" si="27"/>
        <v>106.56</v>
      </c>
      <c r="S122" s="23">
        <f t="shared" si="28"/>
        <v>809.96730605110679</v>
      </c>
      <c r="T122" s="24">
        <f t="shared" si="29"/>
        <v>2520227.229696</v>
      </c>
    </row>
    <row r="123" spans="1:20" x14ac:dyDescent="0.25">
      <c r="A123" s="19" t="s">
        <v>149</v>
      </c>
      <c r="B123" s="30">
        <f t="shared" si="30"/>
        <v>237.91606480093438</v>
      </c>
      <c r="C123" s="20">
        <v>340</v>
      </c>
      <c r="D123" s="21">
        <v>310</v>
      </c>
      <c r="E123" s="21">
        <v>21</v>
      </c>
      <c r="F123" s="21">
        <v>39</v>
      </c>
      <c r="G123" s="22">
        <v>27</v>
      </c>
      <c r="H123" s="31">
        <f t="shared" si="31"/>
        <v>303.07778955533041</v>
      </c>
      <c r="I123" s="32">
        <f t="shared" si="18"/>
        <v>56020.917939769126</v>
      </c>
      <c r="J123" s="33">
        <f t="shared" si="19"/>
        <v>3295.3481141040661</v>
      </c>
      <c r="K123" s="33">
        <f t="shared" si="20"/>
        <v>4081.4474679527893</v>
      </c>
      <c r="L123" s="34">
        <f t="shared" si="21"/>
        <v>13.595589863650845</v>
      </c>
      <c r="M123" s="43">
        <f t="shared" si="22"/>
        <v>90.527789555330401</v>
      </c>
      <c r="N123" s="32">
        <f t="shared" si="23"/>
        <v>20042.882828528978</v>
      </c>
      <c r="O123" s="33">
        <f t="shared" si="24"/>
        <v>1293.0892147438051</v>
      </c>
      <c r="P123" s="33">
        <f t="shared" si="25"/>
        <v>1913.1802108324889</v>
      </c>
      <c r="Q123" s="34">
        <f t="shared" si="26"/>
        <v>8.1321061366063123</v>
      </c>
      <c r="R123" s="43">
        <f t="shared" si="27"/>
        <v>130.20000000000002</v>
      </c>
      <c r="S123" s="23">
        <f t="shared" si="28"/>
        <v>1412.413694236428</v>
      </c>
      <c r="T123" s="24">
        <f t="shared" si="29"/>
        <v>4386028.3853749996</v>
      </c>
    </row>
    <row r="124" spans="1:20" x14ac:dyDescent="0.25">
      <c r="A124" s="19" t="s">
        <v>150</v>
      </c>
      <c r="B124" s="30">
        <f t="shared" si="30"/>
        <v>244.9575148009344</v>
      </c>
      <c r="C124" s="20">
        <v>359</v>
      </c>
      <c r="D124" s="21">
        <v>309</v>
      </c>
      <c r="E124" s="21">
        <v>21</v>
      </c>
      <c r="F124" s="21">
        <v>40</v>
      </c>
      <c r="G124" s="22">
        <v>27</v>
      </c>
      <c r="H124" s="31">
        <f t="shared" si="31"/>
        <v>312.04778955533044</v>
      </c>
      <c r="I124" s="32">
        <f t="shared" si="18"/>
        <v>64267.932837061097</v>
      </c>
      <c r="J124" s="33">
        <f t="shared" si="19"/>
        <v>3580.3862304769414</v>
      </c>
      <c r="K124" s="33">
        <f t="shared" si="20"/>
        <v>4438.8008390748191</v>
      </c>
      <c r="L124" s="34">
        <f t="shared" si="21"/>
        <v>14.351146912001337</v>
      </c>
      <c r="M124" s="43">
        <f t="shared" si="22"/>
        <v>94.847789555330422</v>
      </c>
      <c r="N124" s="32">
        <f t="shared" si="23"/>
        <v>20394.106078528977</v>
      </c>
      <c r="O124" s="33">
        <f t="shared" si="24"/>
        <v>1320.0068659242056</v>
      </c>
      <c r="P124" s="33">
        <f t="shared" si="25"/>
        <v>1950.7244608324891</v>
      </c>
      <c r="Q124" s="34">
        <f t="shared" si="26"/>
        <v>8.0842880928386815</v>
      </c>
      <c r="R124" s="43">
        <f t="shared" si="27"/>
        <v>129.78</v>
      </c>
      <c r="S124" s="23">
        <f t="shared" si="28"/>
        <v>1505.7820124414372</v>
      </c>
      <c r="T124" s="24">
        <f t="shared" si="29"/>
        <v>5003864.6511150002</v>
      </c>
    </row>
    <row r="125" spans="1:20" x14ac:dyDescent="0.25">
      <c r="A125" s="19" t="s">
        <v>151</v>
      </c>
      <c r="B125" s="30">
        <f t="shared" si="30"/>
        <v>247.9248148009344</v>
      </c>
      <c r="C125" s="20">
        <v>377</v>
      </c>
      <c r="D125" s="21">
        <v>309</v>
      </c>
      <c r="E125" s="21">
        <v>21</v>
      </c>
      <c r="F125" s="21">
        <v>40</v>
      </c>
      <c r="G125" s="22">
        <v>27</v>
      </c>
      <c r="H125" s="31">
        <f t="shared" si="31"/>
        <v>315.82778955533041</v>
      </c>
      <c r="I125" s="32">
        <f t="shared" si="18"/>
        <v>72056.057435096358</v>
      </c>
      <c r="J125" s="33">
        <f t="shared" si="19"/>
        <v>3822.602516450735</v>
      </c>
      <c r="K125" s="33">
        <f t="shared" si="20"/>
        <v>4721.3448496746169</v>
      </c>
      <c r="L125" s="34">
        <f t="shared" si="21"/>
        <v>15.104629521190422</v>
      </c>
      <c r="M125" s="43">
        <f t="shared" si="22"/>
        <v>98.627789555330395</v>
      </c>
      <c r="N125" s="32">
        <f t="shared" si="23"/>
        <v>20395.495228528976</v>
      </c>
      <c r="O125" s="33">
        <f t="shared" si="24"/>
        <v>1320.0967785455648</v>
      </c>
      <c r="P125" s="33">
        <f t="shared" si="25"/>
        <v>1952.7089608324891</v>
      </c>
      <c r="Q125" s="34">
        <f t="shared" si="26"/>
        <v>8.0360375448257368</v>
      </c>
      <c r="R125" s="43">
        <f t="shared" si="27"/>
        <v>129.78</v>
      </c>
      <c r="S125" s="23">
        <f t="shared" si="28"/>
        <v>1511.2830464414371</v>
      </c>
      <c r="T125" s="24">
        <f t="shared" si="29"/>
        <v>5584496.0698349997</v>
      </c>
    </row>
    <row r="126" spans="1:20" x14ac:dyDescent="0.25">
      <c r="A126" s="19" t="s">
        <v>152</v>
      </c>
      <c r="B126" s="30">
        <f t="shared" si="30"/>
        <v>250.26411480093441</v>
      </c>
      <c r="C126" s="20">
        <v>395</v>
      </c>
      <c r="D126" s="21">
        <v>308</v>
      </c>
      <c r="E126" s="21">
        <v>21</v>
      </c>
      <c r="F126" s="21">
        <v>40</v>
      </c>
      <c r="G126" s="22">
        <v>27</v>
      </c>
      <c r="H126" s="31">
        <f t="shared" si="31"/>
        <v>318.80778955533043</v>
      </c>
      <c r="I126" s="32">
        <f t="shared" si="18"/>
        <v>80078.082385544578</v>
      </c>
      <c r="J126" s="33">
        <f t="shared" si="19"/>
        <v>4054.5864499009913</v>
      </c>
      <c r="K126" s="33">
        <f t="shared" si="20"/>
        <v>4993.0908602744148</v>
      </c>
      <c r="L126" s="34">
        <f t="shared" si="21"/>
        <v>15.848653490459704</v>
      </c>
      <c r="M126" s="43">
        <f t="shared" si="22"/>
        <v>102.40778955533042</v>
      </c>
      <c r="N126" s="32">
        <f t="shared" si="23"/>
        <v>20201.257711862312</v>
      </c>
      <c r="O126" s="33">
        <f t="shared" si="24"/>
        <v>1311.7699812897606</v>
      </c>
      <c r="P126" s="33">
        <f t="shared" si="25"/>
        <v>1942.353460832489</v>
      </c>
      <c r="Q126" s="34">
        <f t="shared" si="26"/>
        <v>7.9602139839802959</v>
      </c>
      <c r="R126" s="43">
        <f t="shared" si="27"/>
        <v>129.36000000000001</v>
      </c>
      <c r="S126" s="23">
        <f t="shared" si="28"/>
        <v>1512.496080441437</v>
      </c>
      <c r="T126" s="24">
        <f t="shared" si="29"/>
        <v>6137020.941333333</v>
      </c>
    </row>
    <row r="127" spans="1:20" x14ac:dyDescent="0.25">
      <c r="A127" s="19" t="s">
        <v>153</v>
      </c>
      <c r="B127" s="30">
        <f t="shared" si="30"/>
        <v>255.73556480093436</v>
      </c>
      <c r="C127" s="20">
        <v>432</v>
      </c>
      <c r="D127" s="21">
        <v>307</v>
      </c>
      <c r="E127" s="21">
        <v>21</v>
      </c>
      <c r="F127" s="21">
        <v>40</v>
      </c>
      <c r="G127" s="22">
        <v>27</v>
      </c>
      <c r="H127" s="31">
        <f t="shared" si="31"/>
        <v>325.7777895553304</v>
      </c>
      <c r="I127" s="32">
        <f t="shared" si="18"/>
        <v>98279.864047310155</v>
      </c>
      <c r="J127" s="33">
        <f t="shared" si="19"/>
        <v>4549.9937058939886</v>
      </c>
      <c r="K127" s="33">
        <f t="shared" si="20"/>
        <v>5574.3925209517756</v>
      </c>
      <c r="L127" s="34">
        <f t="shared" si="21"/>
        <v>17.368868910989196</v>
      </c>
      <c r="M127" s="43">
        <f t="shared" si="22"/>
        <v>110.17778955533041</v>
      </c>
      <c r="N127" s="32">
        <f t="shared" si="23"/>
        <v>20009.737520195642</v>
      </c>
      <c r="O127" s="33">
        <f t="shared" si="24"/>
        <v>1303.565962227729</v>
      </c>
      <c r="P127" s="33">
        <f t="shared" si="25"/>
        <v>1934.132710832489</v>
      </c>
      <c r="Q127" s="34">
        <f t="shared" si="26"/>
        <v>7.8371824948843702</v>
      </c>
      <c r="R127" s="43">
        <f t="shared" si="27"/>
        <v>128.94</v>
      </c>
      <c r="S127" s="23">
        <f t="shared" si="28"/>
        <v>1519.515761441437</v>
      </c>
      <c r="T127" s="24">
        <f t="shared" si="29"/>
        <v>7410303.7485866668</v>
      </c>
    </row>
    <row r="128" spans="1:20" x14ac:dyDescent="0.25">
      <c r="A128" s="19" t="s">
        <v>154</v>
      </c>
      <c r="B128" s="30">
        <f t="shared" si="30"/>
        <v>263.3186648009343</v>
      </c>
      <c r="C128" s="20">
        <v>478</v>
      </c>
      <c r="D128" s="21">
        <v>307</v>
      </c>
      <c r="E128" s="21">
        <v>21</v>
      </c>
      <c r="F128" s="21">
        <v>40</v>
      </c>
      <c r="G128" s="22">
        <v>27</v>
      </c>
      <c r="H128" s="31">
        <f t="shared" si="31"/>
        <v>335.43778955533037</v>
      </c>
      <c r="I128" s="32">
        <f t="shared" si="18"/>
        <v>124194.2700501802</v>
      </c>
      <c r="J128" s="33">
        <f t="shared" si="19"/>
        <v>5196.4129728108865</v>
      </c>
      <c r="K128" s="33">
        <f t="shared" si="20"/>
        <v>6334.7904369290363</v>
      </c>
      <c r="L128" s="34">
        <f t="shared" si="21"/>
        <v>19.24175966433981</v>
      </c>
      <c r="M128" s="43">
        <f t="shared" si="22"/>
        <v>119.83778955533037</v>
      </c>
      <c r="N128" s="32">
        <f t="shared" si="23"/>
        <v>20013.287570195644</v>
      </c>
      <c r="O128" s="33">
        <f t="shared" si="24"/>
        <v>1303.7972358433642</v>
      </c>
      <c r="P128" s="33">
        <f t="shared" si="25"/>
        <v>1939.204210832489</v>
      </c>
      <c r="Q128" s="34">
        <f t="shared" si="26"/>
        <v>7.7241949104856342</v>
      </c>
      <c r="R128" s="43">
        <f t="shared" si="27"/>
        <v>128.94</v>
      </c>
      <c r="S128" s="23">
        <f t="shared" si="28"/>
        <v>1533.573959441437</v>
      </c>
      <c r="T128" s="24">
        <f t="shared" si="29"/>
        <v>9251498.8048199993</v>
      </c>
    </row>
    <row r="129" spans="1:20" x14ac:dyDescent="0.25">
      <c r="A129" s="19" t="s">
        <v>155</v>
      </c>
      <c r="B129" s="30">
        <f t="shared" si="30"/>
        <v>270.27376480093437</v>
      </c>
      <c r="C129" s="20">
        <v>524</v>
      </c>
      <c r="D129" s="21">
        <v>306</v>
      </c>
      <c r="E129" s="21">
        <v>21</v>
      </c>
      <c r="F129" s="21">
        <v>40</v>
      </c>
      <c r="G129" s="22">
        <v>27</v>
      </c>
      <c r="H129" s="31">
        <f t="shared" si="31"/>
        <v>344.29778955533038</v>
      </c>
      <c r="I129" s="32">
        <f t="shared" si="18"/>
        <v>153027.21319987898</v>
      </c>
      <c r="J129" s="33">
        <f t="shared" si="19"/>
        <v>5840.7333282396548</v>
      </c>
      <c r="K129" s="33">
        <f t="shared" si="20"/>
        <v>7098.0463529062954</v>
      </c>
      <c r="L129" s="34">
        <f t="shared" si="21"/>
        <v>21.082262543502939</v>
      </c>
      <c r="M129" s="43">
        <f t="shared" si="22"/>
        <v>129.49778955533037</v>
      </c>
      <c r="N129" s="32">
        <f t="shared" si="23"/>
        <v>19823.708953528978</v>
      </c>
      <c r="O129" s="33">
        <f t="shared" si="24"/>
        <v>1295.667251864639</v>
      </c>
      <c r="P129" s="33">
        <f t="shared" si="25"/>
        <v>1932.015710832489</v>
      </c>
      <c r="Q129" s="34">
        <f t="shared" si="26"/>
        <v>7.5879653528276689</v>
      </c>
      <c r="R129" s="43">
        <f t="shared" si="27"/>
        <v>128.52000000000001</v>
      </c>
      <c r="S129" s="23">
        <f t="shared" si="28"/>
        <v>1543.3441574414373</v>
      </c>
      <c r="T129" s="24">
        <f t="shared" si="29"/>
        <v>11186745.35616</v>
      </c>
    </row>
    <row r="130" spans="1:20" x14ac:dyDescent="0.25">
      <c r="A130" s="19" t="s">
        <v>156</v>
      </c>
      <c r="B130" s="30">
        <f t="shared" si="30"/>
        <v>278.18656480093432</v>
      </c>
      <c r="C130" s="20">
        <v>572</v>
      </c>
      <c r="D130" s="21">
        <v>306</v>
      </c>
      <c r="E130" s="21">
        <v>21</v>
      </c>
      <c r="F130" s="21">
        <v>40</v>
      </c>
      <c r="G130" s="22">
        <v>27</v>
      </c>
      <c r="H130" s="31">
        <f t="shared" si="31"/>
        <v>354.37778955533037</v>
      </c>
      <c r="I130" s="32">
        <f t="shared" si="18"/>
        <v>187229.04797009661</v>
      </c>
      <c r="J130" s="33">
        <f t="shared" si="19"/>
        <v>6546.4702087446367</v>
      </c>
      <c r="K130" s="33">
        <f t="shared" si="20"/>
        <v>7936.4570478390888</v>
      </c>
      <c r="L130" s="34">
        <f t="shared" si="21"/>
        <v>22.985468864762289</v>
      </c>
      <c r="M130" s="43">
        <f t="shared" si="22"/>
        <v>139.57778955533036</v>
      </c>
      <c r="N130" s="32">
        <f t="shared" si="23"/>
        <v>19827.413353528977</v>
      </c>
      <c r="O130" s="33">
        <f t="shared" si="24"/>
        <v>1295.9093695116978</v>
      </c>
      <c r="P130" s="33">
        <f t="shared" si="25"/>
        <v>1937.307710832489</v>
      </c>
      <c r="Q130" s="34">
        <f t="shared" si="26"/>
        <v>7.479968740203276</v>
      </c>
      <c r="R130" s="43">
        <f t="shared" si="27"/>
        <v>128.52000000000001</v>
      </c>
      <c r="S130" s="23">
        <f t="shared" si="28"/>
        <v>1558.0135814414373</v>
      </c>
      <c r="T130" s="24">
        <f t="shared" si="29"/>
        <v>13515629.98464</v>
      </c>
    </row>
    <row r="131" spans="1:20" x14ac:dyDescent="0.25">
      <c r="A131" s="19" t="s">
        <v>157</v>
      </c>
      <c r="B131" s="30">
        <f t="shared" si="30"/>
        <v>285.4713648009344</v>
      </c>
      <c r="C131" s="20">
        <v>620</v>
      </c>
      <c r="D131" s="21">
        <v>305</v>
      </c>
      <c r="E131" s="21">
        <v>21</v>
      </c>
      <c r="F131" s="21">
        <v>40</v>
      </c>
      <c r="G131" s="22">
        <v>27</v>
      </c>
      <c r="H131" s="31">
        <f t="shared" si="31"/>
        <v>363.6577895553304</v>
      </c>
      <c r="I131" s="32">
        <f t="shared" si="18"/>
        <v>224664.34420932501</v>
      </c>
      <c r="J131" s="33">
        <f t="shared" si="19"/>
        <v>7247.2369099782263</v>
      </c>
      <c r="K131" s="33">
        <f t="shared" si="20"/>
        <v>8775.8597427718814</v>
      </c>
      <c r="L131" s="34">
        <f t="shared" si="21"/>
        <v>24.855392685847519</v>
      </c>
      <c r="M131" s="43">
        <f t="shared" si="22"/>
        <v>149.6577895553304</v>
      </c>
      <c r="N131" s="32">
        <f t="shared" si="23"/>
        <v>19639.23208686231</v>
      </c>
      <c r="O131" s="33">
        <f t="shared" si="24"/>
        <v>1287.818497499168</v>
      </c>
      <c r="P131" s="33">
        <f t="shared" si="25"/>
        <v>1930.3797108324891</v>
      </c>
      <c r="Q131" s="34">
        <f t="shared" si="26"/>
        <v>7.3487894385816181</v>
      </c>
      <c r="R131" s="43">
        <f t="shared" si="27"/>
        <v>128.10000000000002</v>
      </c>
      <c r="S131" s="23">
        <f t="shared" si="28"/>
        <v>1568.395005441437</v>
      </c>
      <c r="T131" s="24">
        <f t="shared" si="29"/>
        <v>15907585.083333334</v>
      </c>
    </row>
    <row r="132" spans="1:20" x14ac:dyDescent="0.25">
      <c r="A132" s="19" t="s">
        <v>158</v>
      </c>
      <c r="B132" s="30">
        <f t="shared" si="30"/>
        <v>293.38416480093434</v>
      </c>
      <c r="C132" s="20">
        <v>668</v>
      </c>
      <c r="D132" s="21">
        <v>305</v>
      </c>
      <c r="E132" s="21">
        <v>21</v>
      </c>
      <c r="F132" s="21">
        <v>40</v>
      </c>
      <c r="G132" s="22">
        <v>27</v>
      </c>
      <c r="H132" s="31">
        <f t="shared" si="31"/>
        <v>373.73778955533038</v>
      </c>
      <c r="I132" s="32">
        <f t="shared" si="18"/>
        <v>266680.98885089741</v>
      </c>
      <c r="J132" s="33">
        <f t="shared" si="19"/>
        <v>7984.4607440388454</v>
      </c>
      <c r="K132" s="33">
        <f t="shared" si="20"/>
        <v>9660.7344377046757</v>
      </c>
      <c r="L132" s="34">
        <f t="shared" si="21"/>
        <v>26.712376179233491</v>
      </c>
      <c r="M132" s="43">
        <f t="shared" si="22"/>
        <v>159.73778955533038</v>
      </c>
      <c r="N132" s="32">
        <f t="shared" si="23"/>
        <v>19642.936486862312</v>
      </c>
      <c r="O132" s="33">
        <f t="shared" si="24"/>
        <v>1288.0614089745779</v>
      </c>
      <c r="P132" s="33">
        <f t="shared" si="25"/>
        <v>1935.671710832489</v>
      </c>
      <c r="Q132" s="34">
        <f t="shared" si="26"/>
        <v>7.249694399141803</v>
      </c>
      <c r="R132" s="43">
        <f t="shared" si="27"/>
        <v>128.10000000000002</v>
      </c>
      <c r="S132" s="23">
        <f t="shared" si="28"/>
        <v>1583.0644294414369</v>
      </c>
      <c r="T132" s="24">
        <f t="shared" si="29"/>
        <v>18649515.563333333</v>
      </c>
    </row>
    <row r="133" spans="1:20" x14ac:dyDescent="0.25">
      <c r="A133" s="19" t="s">
        <v>159</v>
      </c>
      <c r="B133" s="30">
        <f t="shared" si="30"/>
        <v>300.66896480093436</v>
      </c>
      <c r="C133" s="20">
        <v>716</v>
      </c>
      <c r="D133" s="21">
        <v>304</v>
      </c>
      <c r="E133" s="21">
        <v>21</v>
      </c>
      <c r="F133" s="21">
        <v>40</v>
      </c>
      <c r="G133" s="22">
        <v>27</v>
      </c>
      <c r="H133" s="31">
        <f t="shared" si="31"/>
        <v>383.01778955533041</v>
      </c>
      <c r="I133" s="32">
        <f t="shared" si="18"/>
        <v>311912.9701614806</v>
      </c>
      <c r="J133" s="33">
        <f t="shared" si="19"/>
        <v>8712.6527978067188</v>
      </c>
      <c r="K133" s="33">
        <f t="shared" si="20"/>
        <v>10542.761132637468</v>
      </c>
      <c r="L133" s="34">
        <f t="shared" si="21"/>
        <v>28.53692963169647</v>
      </c>
      <c r="M133" s="43">
        <f t="shared" si="22"/>
        <v>169.81778955533039</v>
      </c>
      <c r="N133" s="32">
        <f t="shared" si="23"/>
        <v>19455.994220195644</v>
      </c>
      <c r="O133" s="33">
        <f t="shared" si="24"/>
        <v>1279.9996197497132</v>
      </c>
      <c r="P133" s="33">
        <f t="shared" si="25"/>
        <v>1928.7837108324891</v>
      </c>
      <c r="Q133" s="34">
        <f t="shared" si="26"/>
        <v>7.1271720287156137</v>
      </c>
      <c r="R133" s="43">
        <f t="shared" si="27"/>
        <v>127.68</v>
      </c>
      <c r="S133" s="23">
        <f t="shared" si="28"/>
        <v>1593.4458534414371</v>
      </c>
      <c r="T133" s="24">
        <f t="shared" si="29"/>
        <v>21397492.968106668</v>
      </c>
    </row>
    <row r="134" spans="1:20" x14ac:dyDescent="0.25">
      <c r="A134" s="19" t="s">
        <v>160</v>
      </c>
      <c r="B134" s="30">
        <f t="shared" si="30"/>
        <v>317.34854790238813</v>
      </c>
      <c r="C134" s="20">
        <v>814</v>
      </c>
      <c r="D134" s="21">
        <v>303</v>
      </c>
      <c r="E134" s="21">
        <v>21</v>
      </c>
      <c r="F134" s="21">
        <v>40</v>
      </c>
      <c r="G134" s="22">
        <v>30</v>
      </c>
      <c r="H134" s="31">
        <f t="shared" si="31"/>
        <v>404.26566611769186</v>
      </c>
      <c r="I134" s="32">
        <f t="shared" si="18"/>
        <v>419833.12070196628</v>
      </c>
      <c r="J134" s="33">
        <f t="shared" si="19"/>
        <v>10315.310090957402</v>
      </c>
      <c r="K134" s="33">
        <f t="shared" si="20"/>
        <v>12492.880371297251</v>
      </c>
      <c r="L134" s="34">
        <f t="shared" si="21"/>
        <v>32.22588991767801</v>
      </c>
      <c r="M134" s="43">
        <f t="shared" si="22"/>
        <v>194.26566611769186</v>
      </c>
      <c r="N134" s="32">
        <f t="shared" si="23"/>
        <v>19274.851544177331</v>
      </c>
      <c r="O134" s="33">
        <f t="shared" si="24"/>
        <v>1272.2674286585695</v>
      </c>
      <c r="P134" s="33">
        <f t="shared" si="25"/>
        <v>1930.3924477766523</v>
      </c>
      <c r="Q134" s="34">
        <f t="shared" si="26"/>
        <v>6.9049746982169378</v>
      </c>
      <c r="R134" s="43">
        <f t="shared" si="27"/>
        <v>127.26</v>
      </c>
      <c r="S134" s="23">
        <f t="shared" si="28"/>
        <v>1649.3052882238119</v>
      </c>
      <c r="T134" s="24">
        <f t="shared" si="29"/>
        <v>27775287.084419999</v>
      </c>
    </row>
    <row r="135" spans="1:20" x14ac:dyDescent="0.25">
      <c r="A135" s="19" t="s">
        <v>161</v>
      </c>
      <c r="B135" s="30">
        <f t="shared" si="30"/>
        <v>332.54614790238816</v>
      </c>
      <c r="C135" s="20">
        <v>910</v>
      </c>
      <c r="D135" s="21">
        <v>302</v>
      </c>
      <c r="E135" s="21">
        <v>21</v>
      </c>
      <c r="F135" s="21">
        <v>40</v>
      </c>
      <c r="G135" s="22">
        <v>30</v>
      </c>
      <c r="H135" s="31">
        <f t="shared" si="31"/>
        <v>423.62566611769188</v>
      </c>
      <c r="I135" s="32">
        <f t="shared" si="18"/>
        <v>541672.00968504685</v>
      </c>
      <c r="J135" s="33">
        <f t="shared" si="19"/>
        <v>11904.879333737294</v>
      </c>
      <c r="K135" s="33">
        <f t="shared" si="20"/>
        <v>14446.939568662172</v>
      </c>
      <c r="L135" s="34">
        <f t="shared" si="21"/>
        <v>35.758316567957138</v>
      </c>
      <c r="M135" s="43">
        <f t="shared" si="22"/>
        <v>214.42566611769186</v>
      </c>
      <c r="N135" s="32">
        <f t="shared" si="23"/>
        <v>19094.079677510665</v>
      </c>
      <c r="O135" s="33">
        <f t="shared" si="24"/>
        <v>1264.5085879146134</v>
      </c>
      <c r="P135" s="33">
        <f t="shared" si="25"/>
        <v>1928.8764477766522</v>
      </c>
      <c r="Q135" s="34">
        <f t="shared" si="26"/>
        <v>6.7136428313907164</v>
      </c>
      <c r="R135" s="43">
        <f t="shared" si="27"/>
        <v>126.84</v>
      </c>
      <c r="S135" s="23">
        <f t="shared" si="28"/>
        <v>1674.3561362238124</v>
      </c>
      <c r="T135" s="24">
        <f t="shared" si="29"/>
        <v>34746261.491999999</v>
      </c>
    </row>
    <row r="136" spans="1:20" ht="15.75" thickBot="1" x14ac:dyDescent="0.3">
      <c r="A136" s="19" t="s">
        <v>162</v>
      </c>
      <c r="B136" s="30">
        <f t="shared" si="30"/>
        <v>348.70144790238811</v>
      </c>
      <c r="C136" s="26">
        <v>1008</v>
      </c>
      <c r="D136" s="27">
        <v>302</v>
      </c>
      <c r="E136" s="27">
        <v>21</v>
      </c>
      <c r="F136" s="27">
        <v>40</v>
      </c>
      <c r="G136" s="28">
        <v>30</v>
      </c>
      <c r="H136" s="31">
        <f t="shared" si="31"/>
        <v>444.20566611769186</v>
      </c>
      <c r="I136" s="32">
        <f t="shared" si="18"/>
        <v>686692.53735473775</v>
      </c>
      <c r="J136" s="33">
        <f t="shared" si="19"/>
        <v>13624.85193164162</v>
      </c>
      <c r="K136" s="33">
        <f t="shared" si="20"/>
        <v>16573.126332638865</v>
      </c>
      <c r="L136" s="34">
        <f t="shared" si="21"/>
        <v>39.317791643008462</v>
      </c>
      <c r="M136" s="43">
        <f t="shared" si="22"/>
        <v>235.00566611769185</v>
      </c>
      <c r="N136" s="32">
        <f t="shared" si="23"/>
        <v>19101.642827510666</v>
      </c>
      <c r="O136" s="33">
        <f t="shared" si="24"/>
        <v>1265.0094587755407</v>
      </c>
      <c r="P136" s="33">
        <f t="shared" si="25"/>
        <v>1939.6809477766521</v>
      </c>
      <c r="Q136" s="34">
        <f t="shared" si="26"/>
        <v>6.5575757053653589</v>
      </c>
      <c r="R136" s="43">
        <f t="shared" si="27"/>
        <v>126.84</v>
      </c>
      <c r="S136" s="23">
        <f t="shared" si="28"/>
        <v>1704.3062102238123</v>
      </c>
      <c r="T136" s="24">
        <f t="shared" si="29"/>
        <v>43015036.23765333</v>
      </c>
    </row>
    <row r="137" spans="1:20" ht="15.75" x14ac:dyDescent="0.25">
      <c r="A137" s="38"/>
      <c r="B137" s="39" t="s">
        <v>163</v>
      </c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2"/>
    </row>
    <row r="138" spans="1:20" x14ac:dyDescent="0.25">
      <c r="A138" s="19" t="s">
        <v>164</v>
      </c>
      <c r="B138" s="19">
        <v>8.65</v>
      </c>
      <c r="C138" s="20">
        <v>80</v>
      </c>
      <c r="D138" s="21">
        <v>45</v>
      </c>
      <c r="E138" s="21">
        <v>6</v>
      </c>
      <c r="F138" s="21">
        <v>8</v>
      </c>
      <c r="G138" s="22">
        <v>8</v>
      </c>
      <c r="H138" s="19">
        <v>11</v>
      </c>
      <c r="I138" s="20">
        <v>106</v>
      </c>
      <c r="J138" s="21">
        <v>26.5</v>
      </c>
      <c r="K138" s="21">
        <v>31.8</v>
      </c>
      <c r="L138" s="21">
        <v>3.1</v>
      </c>
      <c r="M138" s="22">
        <v>5.0999999999999996</v>
      </c>
      <c r="N138" s="20">
        <v>19.399999999999999</v>
      </c>
      <c r="O138" s="21">
        <v>6.36</v>
      </c>
      <c r="P138" s="21">
        <v>12.1</v>
      </c>
      <c r="Q138" s="21">
        <v>1.33</v>
      </c>
      <c r="R138" s="22">
        <v>7.2</v>
      </c>
      <c r="S138" s="44">
        <v>2.16</v>
      </c>
      <c r="T138" s="24">
        <v>170</v>
      </c>
    </row>
    <row r="139" spans="1:20" x14ac:dyDescent="0.25">
      <c r="A139" s="19" t="s">
        <v>165</v>
      </c>
      <c r="B139" s="19">
        <v>10.6</v>
      </c>
      <c r="C139" s="20">
        <v>100</v>
      </c>
      <c r="D139" s="21">
        <v>45</v>
      </c>
      <c r="E139" s="21">
        <v>6</v>
      </c>
      <c r="F139" s="21">
        <v>8</v>
      </c>
      <c r="G139" s="22">
        <v>8</v>
      </c>
      <c r="H139" s="19">
        <v>13.5</v>
      </c>
      <c r="I139" s="20">
        <v>206</v>
      </c>
      <c r="J139" s="21">
        <v>41.2</v>
      </c>
      <c r="K139" s="21">
        <v>49</v>
      </c>
      <c r="L139" s="21">
        <v>3.91</v>
      </c>
      <c r="M139" s="22">
        <v>6.46</v>
      </c>
      <c r="N139" s="20">
        <v>29.3</v>
      </c>
      <c r="O139" s="21">
        <v>8.4600000000000009</v>
      </c>
      <c r="P139" s="21">
        <v>16.2</v>
      </c>
      <c r="Q139" s="21">
        <v>1.47</v>
      </c>
      <c r="R139" s="22">
        <v>7.2</v>
      </c>
      <c r="S139" s="44">
        <v>2.81</v>
      </c>
      <c r="T139" s="24">
        <v>410</v>
      </c>
    </row>
    <row r="140" spans="1:20" x14ac:dyDescent="0.25">
      <c r="A140" s="19" t="s">
        <v>166</v>
      </c>
      <c r="B140" s="19">
        <v>13.4</v>
      </c>
      <c r="C140" s="20">
        <v>120</v>
      </c>
      <c r="D140" s="21">
        <v>55</v>
      </c>
      <c r="E140" s="21">
        <v>7</v>
      </c>
      <c r="F140" s="21">
        <v>9</v>
      </c>
      <c r="G140" s="22">
        <v>9</v>
      </c>
      <c r="H140" s="19">
        <v>17</v>
      </c>
      <c r="I140" s="20">
        <v>364</v>
      </c>
      <c r="J140" s="21">
        <v>60.7</v>
      </c>
      <c r="K140" s="21">
        <v>72.599999999999994</v>
      </c>
      <c r="L140" s="21">
        <v>4.62</v>
      </c>
      <c r="M140" s="22">
        <v>8.8000000000000007</v>
      </c>
      <c r="N140" s="20">
        <v>43.2</v>
      </c>
      <c r="O140" s="21">
        <v>11.1</v>
      </c>
      <c r="P140" s="21">
        <v>21.2</v>
      </c>
      <c r="Q140" s="21">
        <v>1.59</v>
      </c>
      <c r="R140" s="22">
        <v>9.9</v>
      </c>
      <c r="S140" s="44">
        <v>4.1500000000000004</v>
      </c>
      <c r="T140" s="24">
        <v>900</v>
      </c>
    </row>
    <row r="141" spans="1:20" x14ac:dyDescent="0.25">
      <c r="A141" s="19" t="s">
        <v>167</v>
      </c>
      <c r="B141" s="19">
        <v>16</v>
      </c>
      <c r="C141" s="20">
        <v>140</v>
      </c>
      <c r="D141" s="21">
        <v>60</v>
      </c>
      <c r="E141" s="21">
        <v>7</v>
      </c>
      <c r="F141" s="21">
        <v>10</v>
      </c>
      <c r="G141" s="22">
        <v>10</v>
      </c>
      <c r="H141" s="19">
        <v>20.399999999999999</v>
      </c>
      <c r="I141" s="20">
        <v>605</v>
      </c>
      <c r="J141" s="21">
        <v>86.4</v>
      </c>
      <c r="K141" s="21">
        <v>103</v>
      </c>
      <c r="L141" s="21">
        <v>5.45</v>
      </c>
      <c r="M141" s="22">
        <v>10.41</v>
      </c>
      <c r="N141" s="20">
        <v>62.7</v>
      </c>
      <c r="O141" s="21">
        <v>14.8</v>
      </c>
      <c r="P141" s="21">
        <v>28.3</v>
      </c>
      <c r="Q141" s="21">
        <v>1.75</v>
      </c>
      <c r="R141" s="22">
        <v>12</v>
      </c>
      <c r="S141" s="44">
        <v>5.68</v>
      </c>
      <c r="T141" s="24">
        <v>1800</v>
      </c>
    </row>
    <row r="142" spans="1:20" x14ac:dyDescent="0.25">
      <c r="A142" s="19" t="s">
        <v>168</v>
      </c>
      <c r="B142" s="19">
        <v>18.8</v>
      </c>
      <c r="C142" s="20">
        <v>160</v>
      </c>
      <c r="D142" s="21">
        <v>65</v>
      </c>
      <c r="E142" s="21">
        <v>7.5</v>
      </c>
      <c r="F142" s="21">
        <v>10.5</v>
      </c>
      <c r="G142" s="22">
        <v>10.5</v>
      </c>
      <c r="H142" s="19">
        <v>24</v>
      </c>
      <c r="I142" s="20">
        <v>925</v>
      </c>
      <c r="J142" s="21">
        <v>116</v>
      </c>
      <c r="K142" s="21">
        <v>138</v>
      </c>
      <c r="L142" s="21">
        <v>6.21</v>
      </c>
      <c r="M142" s="22">
        <v>12.6</v>
      </c>
      <c r="N142" s="20">
        <v>85.3</v>
      </c>
      <c r="O142" s="21">
        <v>18.3</v>
      </c>
      <c r="P142" s="21">
        <v>35.200000000000003</v>
      </c>
      <c r="Q142" s="21">
        <v>1.89</v>
      </c>
      <c r="R142" s="22">
        <v>13.65</v>
      </c>
      <c r="S142" s="44">
        <v>7.39</v>
      </c>
      <c r="T142" s="24">
        <v>3260</v>
      </c>
    </row>
    <row r="143" spans="1:20" x14ac:dyDescent="0.25">
      <c r="A143" s="19" t="s">
        <v>169</v>
      </c>
      <c r="B143" s="19">
        <v>22</v>
      </c>
      <c r="C143" s="20">
        <v>180</v>
      </c>
      <c r="D143" s="21">
        <v>70</v>
      </c>
      <c r="E143" s="21">
        <v>8</v>
      </c>
      <c r="F143" s="21">
        <v>11</v>
      </c>
      <c r="G143" s="22">
        <v>11</v>
      </c>
      <c r="H143" s="19">
        <v>28</v>
      </c>
      <c r="I143" s="20">
        <v>1350</v>
      </c>
      <c r="J143" s="21">
        <v>150</v>
      </c>
      <c r="K143" s="21">
        <v>179</v>
      </c>
      <c r="L143" s="21">
        <v>6.95</v>
      </c>
      <c r="M143" s="22">
        <v>15.09</v>
      </c>
      <c r="N143" s="20">
        <v>114</v>
      </c>
      <c r="O143" s="21">
        <v>22.4</v>
      </c>
      <c r="P143" s="21">
        <v>42.9</v>
      </c>
      <c r="Q143" s="21">
        <v>2.02</v>
      </c>
      <c r="R143" s="22">
        <v>15.4</v>
      </c>
      <c r="S143" s="44">
        <v>9.5500000000000007</v>
      </c>
      <c r="T143" s="24">
        <v>5570</v>
      </c>
    </row>
    <row r="144" spans="1:20" x14ac:dyDescent="0.25">
      <c r="A144" s="19" t="s">
        <v>170</v>
      </c>
      <c r="B144" s="19">
        <v>25.3</v>
      </c>
      <c r="C144" s="20">
        <v>200</v>
      </c>
      <c r="D144" s="21">
        <v>75</v>
      </c>
      <c r="E144" s="21">
        <v>8.5</v>
      </c>
      <c r="F144" s="21">
        <v>11.5</v>
      </c>
      <c r="G144" s="22">
        <v>11.5</v>
      </c>
      <c r="H144" s="19">
        <v>32.200000000000003</v>
      </c>
      <c r="I144" s="20">
        <v>1910</v>
      </c>
      <c r="J144" s="21">
        <v>191</v>
      </c>
      <c r="K144" s="21">
        <v>228</v>
      </c>
      <c r="L144" s="21">
        <v>7.7</v>
      </c>
      <c r="M144" s="22">
        <v>17.71</v>
      </c>
      <c r="N144" s="20">
        <v>148</v>
      </c>
      <c r="O144" s="21">
        <v>27</v>
      </c>
      <c r="P144" s="21">
        <v>51.8</v>
      </c>
      <c r="Q144" s="21">
        <v>2.14</v>
      </c>
      <c r="R144" s="22">
        <v>17.25</v>
      </c>
      <c r="S144" s="44">
        <v>11.9</v>
      </c>
      <c r="T144" s="24">
        <v>9070</v>
      </c>
    </row>
    <row r="145" spans="1:20" x14ac:dyDescent="0.25">
      <c r="A145" s="19" t="s">
        <v>171</v>
      </c>
      <c r="B145" s="19">
        <v>29.4</v>
      </c>
      <c r="C145" s="20">
        <v>220</v>
      </c>
      <c r="D145" s="21">
        <v>80</v>
      </c>
      <c r="E145" s="21">
        <v>9</v>
      </c>
      <c r="F145" s="21">
        <v>12.5</v>
      </c>
      <c r="G145" s="22">
        <v>12.5</v>
      </c>
      <c r="H145" s="19">
        <v>37.4</v>
      </c>
      <c r="I145" s="20">
        <v>2690</v>
      </c>
      <c r="J145" s="21">
        <v>245</v>
      </c>
      <c r="K145" s="21">
        <v>292</v>
      </c>
      <c r="L145" s="21">
        <v>8.48</v>
      </c>
      <c r="M145" s="22">
        <v>20.62</v>
      </c>
      <c r="N145" s="20">
        <v>197</v>
      </c>
      <c r="O145" s="21">
        <v>33.6</v>
      </c>
      <c r="P145" s="21">
        <v>64.099999999999994</v>
      </c>
      <c r="Q145" s="21">
        <v>2.2999999999999998</v>
      </c>
      <c r="R145" s="22">
        <v>20</v>
      </c>
      <c r="S145" s="44">
        <v>16</v>
      </c>
      <c r="T145" s="24">
        <v>14600</v>
      </c>
    </row>
    <row r="146" spans="1:20" x14ac:dyDescent="0.25">
      <c r="A146" s="19" t="s">
        <v>172</v>
      </c>
      <c r="B146" s="19">
        <v>33.200000000000003</v>
      </c>
      <c r="C146" s="20">
        <v>240</v>
      </c>
      <c r="D146" s="21">
        <v>85</v>
      </c>
      <c r="E146" s="21">
        <v>9.5</v>
      </c>
      <c r="F146" s="21">
        <v>13</v>
      </c>
      <c r="G146" s="22">
        <v>13</v>
      </c>
      <c r="H146" s="19">
        <v>42.3</v>
      </c>
      <c r="I146" s="20">
        <v>3600</v>
      </c>
      <c r="J146" s="21">
        <v>300</v>
      </c>
      <c r="K146" s="21">
        <v>358</v>
      </c>
      <c r="L146" s="21">
        <v>9.2200000000000006</v>
      </c>
      <c r="M146" s="22">
        <v>23.71</v>
      </c>
      <c r="N146" s="20">
        <v>248</v>
      </c>
      <c r="O146" s="21">
        <v>39.6</v>
      </c>
      <c r="P146" s="21">
        <v>75.7</v>
      </c>
      <c r="Q146" s="21">
        <v>2.42</v>
      </c>
      <c r="R146" s="22">
        <v>22.1</v>
      </c>
      <c r="S146" s="44">
        <v>19.7</v>
      </c>
      <c r="T146" s="24">
        <v>22100</v>
      </c>
    </row>
    <row r="147" spans="1:20" x14ac:dyDescent="0.25">
      <c r="A147" s="19" t="s">
        <v>173</v>
      </c>
      <c r="B147" s="19">
        <v>37.9</v>
      </c>
      <c r="C147" s="20">
        <v>260</v>
      </c>
      <c r="D147" s="21">
        <v>90</v>
      </c>
      <c r="E147" s="21">
        <v>10</v>
      </c>
      <c r="F147" s="21">
        <v>14</v>
      </c>
      <c r="G147" s="22">
        <v>14</v>
      </c>
      <c r="H147" s="19">
        <v>48.3</v>
      </c>
      <c r="I147" s="20">
        <v>4820</v>
      </c>
      <c r="J147" s="21">
        <v>371</v>
      </c>
      <c r="K147" s="21">
        <v>442</v>
      </c>
      <c r="L147" s="21">
        <v>9.99</v>
      </c>
      <c r="M147" s="22">
        <v>27.12</v>
      </c>
      <c r="N147" s="20">
        <v>317</v>
      </c>
      <c r="O147" s="21">
        <v>47.7</v>
      </c>
      <c r="P147" s="21">
        <v>91.6</v>
      </c>
      <c r="Q147" s="21">
        <v>2.56</v>
      </c>
      <c r="R147" s="22">
        <v>25.2</v>
      </c>
      <c r="S147" s="44">
        <v>25.5</v>
      </c>
      <c r="T147" s="24">
        <v>33300</v>
      </c>
    </row>
    <row r="148" spans="1:20" x14ac:dyDescent="0.25">
      <c r="A148" s="19" t="s">
        <v>174</v>
      </c>
      <c r="B148" s="19">
        <v>41.8</v>
      </c>
      <c r="C148" s="20">
        <v>280</v>
      </c>
      <c r="D148" s="21">
        <v>95</v>
      </c>
      <c r="E148" s="21">
        <v>10</v>
      </c>
      <c r="F148" s="21">
        <v>15</v>
      </c>
      <c r="G148" s="22">
        <v>15</v>
      </c>
      <c r="H148" s="19">
        <v>53.3</v>
      </c>
      <c r="I148" s="20">
        <v>6280</v>
      </c>
      <c r="J148" s="21">
        <v>448</v>
      </c>
      <c r="K148" s="21">
        <v>532</v>
      </c>
      <c r="L148" s="21">
        <v>10.9</v>
      </c>
      <c r="M148" s="22">
        <v>29.28</v>
      </c>
      <c r="N148" s="20">
        <v>399</v>
      </c>
      <c r="O148" s="21">
        <v>57.2</v>
      </c>
      <c r="P148" s="21">
        <v>109</v>
      </c>
      <c r="Q148" s="21">
        <v>2.74</v>
      </c>
      <c r="R148" s="22">
        <v>28.5</v>
      </c>
      <c r="S148" s="44">
        <v>31</v>
      </c>
      <c r="T148" s="24">
        <v>48500</v>
      </c>
    </row>
    <row r="149" spans="1:20" x14ac:dyDescent="0.25">
      <c r="A149" s="19" t="s">
        <v>175</v>
      </c>
      <c r="B149" s="19">
        <v>46.2</v>
      </c>
      <c r="C149" s="20">
        <v>300</v>
      </c>
      <c r="D149" s="21">
        <v>100</v>
      </c>
      <c r="E149" s="21">
        <v>10</v>
      </c>
      <c r="F149" s="21">
        <v>16</v>
      </c>
      <c r="G149" s="22">
        <v>16</v>
      </c>
      <c r="H149" s="19">
        <v>58.8</v>
      </c>
      <c r="I149" s="20">
        <v>8030</v>
      </c>
      <c r="J149" s="21">
        <v>535</v>
      </c>
      <c r="K149" s="21">
        <v>632</v>
      </c>
      <c r="L149" s="21">
        <v>11.7</v>
      </c>
      <c r="M149" s="22">
        <v>31.77</v>
      </c>
      <c r="N149" s="20">
        <v>495</v>
      </c>
      <c r="O149" s="21">
        <v>67.8</v>
      </c>
      <c r="P149" s="21">
        <v>130</v>
      </c>
      <c r="Q149" s="21">
        <v>2.9</v>
      </c>
      <c r="R149" s="22">
        <v>32</v>
      </c>
      <c r="S149" s="44">
        <v>37.4</v>
      </c>
      <c r="T149" s="24">
        <v>69100</v>
      </c>
    </row>
    <row r="150" spans="1:20" x14ac:dyDescent="0.25">
      <c r="A150" s="19" t="s">
        <v>176</v>
      </c>
      <c r="B150" s="19">
        <v>59.5</v>
      </c>
      <c r="C150" s="20">
        <v>320</v>
      </c>
      <c r="D150" s="21">
        <v>100</v>
      </c>
      <c r="E150" s="21">
        <v>14</v>
      </c>
      <c r="F150" s="21">
        <v>17.5</v>
      </c>
      <c r="G150" s="22">
        <v>17.5</v>
      </c>
      <c r="H150" s="19">
        <v>75.8</v>
      </c>
      <c r="I150" s="20">
        <v>10870</v>
      </c>
      <c r="J150" s="21">
        <v>679</v>
      </c>
      <c r="K150" s="21">
        <v>826</v>
      </c>
      <c r="L150" s="21">
        <v>12.1</v>
      </c>
      <c r="M150" s="22">
        <v>47.11</v>
      </c>
      <c r="N150" s="20">
        <v>597</v>
      </c>
      <c r="O150" s="21">
        <v>80.599999999999994</v>
      </c>
      <c r="P150" s="21">
        <v>152</v>
      </c>
      <c r="Q150" s="21">
        <v>2.81</v>
      </c>
      <c r="R150" s="22">
        <v>35</v>
      </c>
      <c r="S150" s="44">
        <v>66.7</v>
      </c>
      <c r="T150" s="24">
        <v>96100</v>
      </c>
    </row>
    <row r="151" spans="1:20" x14ac:dyDescent="0.25">
      <c r="A151" s="19" t="s">
        <v>177</v>
      </c>
      <c r="B151" s="19">
        <v>60.6</v>
      </c>
      <c r="C151" s="20">
        <v>350</v>
      </c>
      <c r="D151" s="21">
        <v>100</v>
      </c>
      <c r="E151" s="21">
        <v>14</v>
      </c>
      <c r="F151" s="21">
        <v>16</v>
      </c>
      <c r="G151" s="22">
        <v>16</v>
      </c>
      <c r="H151" s="19">
        <v>77.3</v>
      </c>
      <c r="I151" s="20">
        <v>12840</v>
      </c>
      <c r="J151" s="21">
        <v>734</v>
      </c>
      <c r="K151" s="21">
        <v>918</v>
      </c>
      <c r="L151" s="21">
        <v>12.9</v>
      </c>
      <c r="M151" s="22">
        <v>50.84</v>
      </c>
      <c r="N151" s="20">
        <v>570</v>
      </c>
      <c r="O151" s="21">
        <v>75</v>
      </c>
      <c r="P151" s="21">
        <v>143</v>
      </c>
      <c r="Q151" s="21">
        <v>2.72</v>
      </c>
      <c r="R151" s="22">
        <v>32</v>
      </c>
      <c r="S151" s="44">
        <v>61.2</v>
      </c>
      <c r="T151" s="24">
        <v>114000</v>
      </c>
    </row>
    <row r="152" spans="1:20" x14ac:dyDescent="0.25">
      <c r="A152" s="19" t="s">
        <v>178</v>
      </c>
      <c r="B152" s="19">
        <v>63.1</v>
      </c>
      <c r="C152" s="20">
        <v>380</v>
      </c>
      <c r="D152" s="21">
        <v>102</v>
      </c>
      <c r="E152" s="21">
        <v>13.5</v>
      </c>
      <c r="F152" s="21">
        <v>16</v>
      </c>
      <c r="G152" s="22">
        <v>16</v>
      </c>
      <c r="H152" s="19">
        <v>80.400000000000006</v>
      </c>
      <c r="I152" s="20">
        <v>15760</v>
      </c>
      <c r="J152" s="21">
        <v>829</v>
      </c>
      <c r="K152" s="21">
        <v>1014</v>
      </c>
      <c r="L152" s="21">
        <v>14</v>
      </c>
      <c r="M152" s="22">
        <v>53.23</v>
      </c>
      <c r="N152" s="20">
        <v>615</v>
      </c>
      <c r="O152" s="21">
        <v>78.7</v>
      </c>
      <c r="P152" s="21">
        <v>148</v>
      </c>
      <c r="Q152" s="21">
        <v>2.77</v>
      </c>
      <c r="R152" s="22">
        <v>32.64</v>
      </c>
      <c r="S152" s="44">
        <v>59.1</v>
      </c>
      <c r="T152" s="24">
        <v>146000</v>
      </c>
    </row>
    <row r="153" spans="1:20" ht="15.75" thickBot="1" x14ac:dyDescent="0.3">
      <c r="A153" s="25" t="s">
        <v>179</v>
      </c>
      <c r="B153" s="25">
        <v>71.8</v>
      </c>
      <c r="C153" s="26">
        <v>400</v>
      </c>
      <c r="D153" s="27">
        <v>110</v>
      </c>
      <c r="E153" s="27">
        <v>14</v>
      </c>
      <c r="F153" s="27">
        <v>18</v>
      </c>
      <c r="G153" s="28">
        <v>18</v>
      </c>
      <c r="H153" s="25">
        <v>91.5</v>
      </c>
      <c r="I153" s="26">
        <v>20350</v>
      </c>
      <c r="J153" s="27">
        <v>1020</v>
      </c>
      <c r="K153" s="27">
        <v>1240</v>
      </c>
      <c r="L153" s="27">
        <v>14.9</v>
      </c>
      <c r="M153" s="28">
        <v>58.55</v>
      </c>
      <c r="N153" s="26">
        <v>846</v>
      </c>
      <c r="O153" s="27">
        <v>102</v>
      </c>
      <c r="P153" s="27">
        <v>190</v>
      </c>
      <c r="Q153" s="27">
        <v>3.04</v>
      </c>
      <c r="R153" s="28">
        <v>39.6</v>
      </c>
      <c r="S153" s="45">
        <v>81.599999999999994</v>
      </c>
      <c r="T153" s="24">
        <v>221000</v>
      </c>
    </row>
    <row r="154" spans="1:20" ht="15.75" x14ac:dyDescent="0.25">
      <c r="A154" s="38"/>
      <c r="B154" s="39" t="s">
        <v>180</v>
      </c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1"/>
    </row>
    <row r="155" spans="1:20" x14ac:dyDescent="0.25">
      <c r="A155" s="19" t="s">
        <v>181</v>
      </c>
      <c r="B155" s="19">
        <v>8.3800000000000008</v>
      </c>
      <c r="C155" s="20">
        <v>80</v>
      </c>
      <c r="D155" s="21">
        <v>45</v>
      </c>
      <c r="E155" s="21">
        <v>5</v>
      </c>
      <c r="F155" s="21">
        <v>8</v>
      </c>
      <c r="G155" s="22">
        <v>8</v>
      </c>
      <c r="H155" s="19">
        <v>10.67</v>
      </c>
      <c r="I155" s="20">
        <v>107.1</v>
      </c>
      <c r="J155" s="21">
        <v>26.78</v>
      </c>
      <c r="K155" s="21">
        <v>31.87</v>
      </c>
      <c r="L155" s="21">
        <v>3.17</v>
      </c>
      <c r="M155" s="22">
        <v>4.51</v>
      </c>
      <c r="N155" s="20">
        <v>21.33</v>
      </c>
      <c r="O155" s="21">
        <v>7.38</v>
      </c>
      <c r="P155" s="21">
        <v>13.64</v>
      </c>
      <c r="Q155" s="21">
        <v>1.41</v>
      </c>
      <c r="R155" s="22">
        <v>7.2</v>
      </c>
      <c r="S155" s="44">
        <v>1.9</v>
      </c>
      <c r="T155" s="24">
        <v>180</v>
      </c>
    </row>
    <row r="156" spans="1:20" x14ac:dyDescent="0.25">
      <c r="A156" s="19" t="s">
        <v>182</v>
      </c>
      <c r="B156" s="19">
        <v>10.5</v>
      </c>
      <c r="C156" s="20">
        <v>100</v>
      </c>
      <c r="D156" s="21">
        <v>50</v>
      </c>
      <c r="E156" s="21">
        <v>5.5</v>
      </c>
      <c r="F156" s="21">
        <v>8.5</v>
      </c>
      <c r="G156" s="22">
        <v>8.5</v>
      </c>
      <c r="H156" s="19">
        <v>13.38</v>
      </c>
      <c r="I156" s="20">
        <v>209.5</v>
      </c>
      <c r="J156" s="21">
        <v>41.9</v>
      </c>
      <c r="K156" s="21">
        <v>49.59</v>
      </c>
      <c r="L156" s="21">
        <v>3.96</v>
      </c>
      <c r="M156" s="22">
        <v>6.07</v>
      </c>
      <c r="N156" s="20">
        <v>32.83</v>
      </c>
      <c r="O156" s="21">
        <v>9.9499999999999993</v>
      </c>
      <c r="P156" s="21">
        <v>18.47</v>
      </c>
      <c r="Q156" s="21">
        <v>1.57</v>
      </c>
      <c r="R156" s="22">
        <v>8.5</v>
      </c>
      <c r="S156" s="44">
        <v>2.65</v>
      </c>
      <c r="T156" s="24">
        <v>450</v>
      </c>
    </row>
    <row r="157" spans="1:20" x14ac:dyDescent="0.25">
      <c r="A157" s="19" t="s">
        <v>183</v>
      </c>
      <c r="B157" s="19">
        <v>13.7</v>
      </c>
      <c r="C157" s="20">
        <v>130</v>
      </c>
      <c r="D157" s="21">
        <v>55</v>
      </c>
      <c r="E157" s="21">
        <v>6</v>
      </c>
      <c r="F157" s="21">
        <v>9.5</v>
      </c>
      <c r="G157" s="22">
        <v>9.5</v>
      </c>
      <c r="H157" s="19">
        <v>17.5</v>
      </c>
      <c r="I157" s="20">
        <v>459.6</v>
      </c>
      <c r="J157" s="21">
        <v>70.7</v>
      </c>
      <c r="K157" s="21">
        <v>83.51</v>
      </c>
      <c r="L157" s="21">
        <v>5.12</v>
      </c>
      <c r="M157" s="22">
        <v>8.52</v>
      </c>
      <c r="N157" s="20">
        <v>51.34</v>
      </c>
      <c r="O157" s="21">
        <v>13.78</v>
      </c>
      <c r="P157" s="21">
        <v>25.55</v>
      </c>
      <c r="Q157" s="21">
        <v>1.71</v>
      </c>
      <c r="R157" s="22">
        <v>10.45</v>
      </c>
      <c r="S157" s="44">
        <v>4.1500000000000004</v>
      </c>
      <c r="T157" s="24">
        <v>1220</v>
      </c>
    </row>
    <row r="158" spans="1:20" x14ac:dyDescent="0.25">
      <c r="A158" s="19" t="s">
        <v>184</v>
      </c>
      <c r="B158" s="19">
        <v>17.899999999999999</v>
      </c>
      <c r="C158" s="20">
        <v>150</v>
      </c>
      <c r="D158" s="21">
        <v>65</v>
      </c>
      <c r="E158" s="21">
        <v>7</v>
      </c>
      <c r="F158" s="21">
        <v>10.25</v>
      </c>
      <c r="G158" s="22">
        <v>10.25</v>
      </c>
      <c r="H158" s="19">
        <v>22.84</v>
      </c>
      <c r="I158" s="20">
        <v>796.1</v>
      </c>
      <c r="J158" s="21">
        <v>106.1</v>
      </c>
      <c r="K158" s="21">
        <v>125.3</v>
      </c>
      <c r="L158" s="21">
        <v>5.9</v>
      </c>
      <c r="M158" s="22">
        <v>11.28</v>
      </c>
      <c r="N158" s="20">
        <v>93.25</v>
      </c>
      <c r="O158" s="21">
        <v>20.97</v>
      </c>
      <c r="P158" s="21">
        <v>38.78</v>
      </c>
      <c r="Q158" s="21">
        <v>2.02</v>
      </c>
      <c r="R158" s="22">
        <v>13.324999999999999</v>
      </c>
      <c r="S158" s="44">
        <v>6.51</v>
      </c>
      <c r="T158" s="24">
        <v>2990</v>
      </c>
    </row>
    <row r="159" spans="1:20" x14ac:dyDescent="0.25">
      <c r="A159" s="19" t="s">
        <v>185</v>
      </c>
      <c r="B159" s="19">
        <v>21.2</v>
      </c>
      <c r="C159" s="20">
        <v>175</v>
      </c>
      <c r="D159" s="21">
        <v>70</v>
      </c>
      <c r="E159" s="21">
        <v>7.5</v>
      </c>
      <c r="F159" s="21">
        <v>10.75</v>
      </c>
      <c r="G159" s="22">
        <v>10.75</v>
      </c>
      <c r="H159" s="19">
        <v>27.06</v>
      </c>
      <c r="I159" s="20">
        <v>1270</v>
      </c>
      <c r="J159" s="21">
        <v>145.1</v>
      </c>
      <c r="K159" s="21">
        <v>171.5</v>
      </c>
      <c r="L159" s="21">
        <v>6.85</v>
      </c>
      <c r="M159" s="22">
        <v>13.97</v>
      </c>
      <c r="N159" s="20">
        <v>126.4</v>
      </c>
      <c r="O159" s="21">
        <v>25.92</v>
      </c>
      <c r="P159" s="21">
        <v>47.47</v>
      </c>
      <c r="Q159" s="21">
        <v>2.16</v>
      </c>
      <c r="R159" s="22">
        <v>15.05</v>
      </c>
      <c r="S159" s="44">
        <v>8.43</v>
      </c>
      <c r="T159" s="24">
        <v>5620</v>
      </c>
    </row>
    <row r="160" spans="1:20" x14ac:dyDescent="0.25">
      <c r="A160" s="19" t="s">
        <v>186</v>
      </c>
      <c r="B160" s="19">
        <v>25.1</v>
      </c>
      <c r="C160" s="20">
        <v>200</v>
      </c>
      <c r="D160" s="21">
        <v>75</v>
      </c>
      <c r="E160" s="21">
        <v>8</v>
      </c>
      <c r="F160" s="21">
        <v>11.5</v>
      </c>
      <c r="G160" s="22">
        <v>11.5</v>
      </c>
      <c r="H160" s="19">
        <v>31.98</v>
      </c>
      <c r="I160" s="20">
        <v>1946</v>
      </c>
      <c r="J160" s="21">
        <v>194.6</v>
      </c>
      <c r="K160" s="21">
        <v>230.1</v>
      </c>
      <c r="L160" s="21">
        <v>7.8</v>
      </c>
      <c r="M160" s="22">
        <v>16.97</v>
      </c>
      <c r="N160" s="20">
        <v>169.7</v>
      </c>
      <c r="O160" s="21">
        <v>32.130000000000003</v>
      </c>
      <c r="P160" s="21">
        <v>58.29</v>
      </c>
      <c r="Q160" s="21">
        <v>2.2999999999999998</v>
      </c>
      <c r="R160" s="22">
        <v>17.25</v>
      </c>
      <c r="S160" s="44">
        <v>11.24</v>
      </c>
      <c r="T160" s="24">
        <v>9980</v>
      </c>
    </row>
    <row r="161" spans="1:20" x14ac:dyDescent="0.25">
      <c r="A161" s="19" t="s">
        <v>187</v>
      </c>
      <c r="B161" s="19">
        <v>28.5</v>
      </c>
      <c r="C161" s="20">
        <v>220</v>
      </c>
      <c r="D161" s="21">
        <v>80</v>
      </c>
      <c r="E161" s="21">
        <v>8</v>
      </c>
      <c r="F161" s="21">
        <v>12.5</v>
      </c>
      <c r="G161" s="22">
        <v>12.5</v>
      </c>
      <c r="H161" s="19">
        <v>36.270000000000003</v>
      </c>
      <c r="I161" s="20">
        <v>2710</v>
      </c>
      <c r="J161" s="21">
        <v>246.4</v>
      </c>
      <c r="K161" s="21">
        <v>289.89999999999998</v>
      </c>
      <c r="L161" s="21">
        <v>8.64</v>
      </c>
      <c r="M161" s="22">
        <v>18.829999999999998</v>
      </c>
      <c r="N161" s="20">
        <v>222.3</v>
      </c>
      <c r="O161" s="21">
        <v>39.68</v>
      </c>
      <c r="P161" s="21">
        <v>72.56</v>
      </c>
      <c r="Q161" s="21">
        <v>2.48</v>
      </c>
      <c r="R161" s="22">
        <v>20</v>
      </c>
      <c r="S161" s="44">
        <v>14.4</v>
      </c>
      <c r="T161" s="24">
        <v>15820</v>
      </c>
    </row>
    <row r="162" spans="1:20" x14ac:dyDescent="0.25">
      <c r="A162" s="19" t="s">
        <v>188</v>
      </c>
      <c r="B162" s="19">
        <v>34.4</v>
      </c>
      <c r="C162" s="20">
        <v>250</v>
      </c>
      <c r="D162" s="21">
        <v>85</v>
      </c>
      <c r="E162" s="21">
        <v>9</v>
      </c>
      <c r="F162" s="21">
        <v>13.5</v>
      </c>
      <c r="G162" s="22">
        <v>13.5</v>
      </c>
      <c r="H162" s="19">
        <v>43.8</v>
      </c>
      <c r="I162" s="20">
        <v>4136</v>
      </c>
      <c r="J162" s="21">
        <v>330.9</v>
      </c>
      <c r="K162" s="21">
        <v>391.8</v>
      </c>
      <c r="L162" s="21">
        <v>9.7200000000000006</v>
      </c>
      <c r="M162" s="22">
        <v>23.89</v>
      </c>
      <c r="N162" s="20">
        <v>295.39999999999998</v>
      </c>
      <c r="O162" s="21">
        <v>48.87</v>
      </c>
      <c r="P162" s="21">
        <v>87.65</v>
      </c>
      <c r="Q162" s="21">
        <v>2.6</v>
      </c>
      <c r="R162" s="22">
        <v>22.95</v>
      </c>
      <c r="S162" s="44">
        <v>20.38</v>
      </c>
      <c r="T162" s="24">
        <v>27430</v>
      </c>
    </row>
    <row r="163" spans="1:20" ht="15.75" thickBot="1" x14ac:dyDescent="0.3">
      <c r="A163" s="25" t="s">
        <v>189</v>
      </c>
      <c r="B163" s="25">
        <v>46</v>
      </c>
      <c r="C163" s="26">
        <v>300</v>
      </c>
      <c r="D163" s="27">
        <v>100</v>
      </c>
      <c r="E163" s="27">
        <v>9.5</v>
      </c>
      <c r="F163" s="27">
        <v>16</v>
      </c>
      <c r="G163" s="28">
        <v>16</v>
      </c>
      <c r="H163" s="25">
        <v>58.56</v>
      </c>
      <c r="I163" s="26">
        <v>8170</v>
      </c>
      <c r="J163" s="27">
        <v>544.70000000000005</v>
      </c>
      <c r="K163" s="27">
        <v>639.29999999999995</v>
      </c>
      <c r="L163" s="27">
        <v>11.81</v>
      </c>
      <c r="M163" s="28">
        <v>30.64</v>
      </c>
      <c r="N163" s="26">
        <v>562.1</v>
      </c>
      <c r="O163" s="27">
        <v>79.88</v>
      </c>
      <c r="P163" s="27">
        <v>145.80000000000001</v>
      </c>
      <c r="Q163" s="27">
        <v>3.1</v>
      </c>
      <c r="R163" s="28">
        <v>32</v>
      </c>
      <c r="S163" s="45">
        <v>36.299999999999997</v>
      </c>
      <c r="T163" s="24">
        <v>75040</v>
      </c>
    </row>
    <row r="164" spans="1:20" ht="15.75" x14ac:dyDescent="0.25">
      <c r="A164" s="38"/>
      <c r="B164" s="39" t="s">
        <v>190</v>
      </c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1"/>
    </row>
    <row r="165" spans="1:20" x14ac:dyDescent="0.25">
      <c r="A165" s="19" t="s">
        <v>191</v>
      </c>
      <c r="B165" s="19">
        <v>7.9</v>
      </c>
      <c r="C165" s="20">
        <v>80</v>
      </c>
      <c r="D165" s="21">
        <v>50</v>
      </c>
      <c r="E165" s="21">
        <v>4</v>
      </c>
      <c r="F165" s="21">
        <v>7</v>
      </c>
      <c r="G165" s="22">
        <v>10</v>
      </c>
      <c r="H165" s="19">
        <v>10.1</v>
      </c>
      <c r="I165" s="20">
        <v>107.2</v>
      </c>
      <c r="J165" s="21">
        <v>26.8</v>
      </c>
      <c r="K165" s="21">
        <v>31.23</v>
      </c>
      <c r="L165" s="21">
        <v>3.26</v>
      </c>
      <c r="M165" s="22">
        <v>4.05</v>
      </c>
      <c r="N165" s="20">
        <v>25.41</v>
      </c>
      <c r="O165" s="21">
        <v>7.98</v>
      </c>
      <c r="P165" s="21">
        <v>14.28</v>
      </c>
      <c r="Q165" s="21">
        <v>1.59</v>
      </c>
      <c r="R165" s="22">
        <v>7</v>
      </c>
      <c r="S165" s="44">
        <v>1.47</v>
      </c>
      <c r="T165" s="24">
        <v>220</v>
      </c>
    </row>
    <row r="166" spans="1:20" x14ac:dyDescent="0.25">
      <c r="A166" s="19" t="s">
        <v>192</v>
      </c>
      <c r="B166" s="19">
        <v>9.8000000000000007</v>
      </c>
      <c r="C166" s="20">
        <v>100</v>
      </c>
      <c r="D166" s="21">
        <v>55</v>
      </c>
      <c r="E166" s="21">
        <v>4.5</v>
      </c>
      <c r="F166" s="21">
        <v>7.5</v>
      </c>
      <c r="G166" s="22">
        <v>10</v>
      </c>
      <c r="H166" s="19">
        <v>12.5</v>
      </c>
      <c r="I166" s="20">
        <v>206.9</v>
      </c>
      <c r="J166" s="21">
        <v>41.37</v>
      </c>
      <c r="K166" s="21">
        <v>48.01</v>
      </c>
      <c r="L166" s="21">
        <v>4.07</v>
      </c>
      <c r="M166" s="22">
        <v>5.34</v>
      </c>
      <c r="N166" s="20">
        <v>38.21</v>
      </c>
      <c r="O166" s="21">
        <v>10.63</v>
      </c>
      <c r="P166" s="21">
        <v>19.34</v>
      </c>
      <c r="Q166" s="21">
        <v>1.75</v>
      </c>
      <c r="R166" s="22">
        <v>8.25</v>
      </c>
      <c r="S166" s="44">
        <v>2.0099999999999998</v>
      </c>
      <c r="T166" s="24">
        <v>530</v>
      </c>
    </row>
    <row r="167" spans="1:20" x14ac:dyDescent="0.25">
      <c r="A167" s="19" t="s">
        <v>193</v>
      </c>
      <c r="B167" s="19">
        <v>12.1</v>
      </c>
      <c r="C167" s="20">
        <v>120</v>
      </c>
      <c r="D167" s="21">
        <v>60</v>
      </c>
      <c r="E167" s="21">
        <v>5</v>
      </c>
      <c r="F167" s="21">
        <v>8</v>
      </c>
      <c r="G167" s="22">
        <v>12</v>
      </c>
      <c r="H167" s="19">
        <v>15.4</v>
      </c>
      <c r="I167" s="20">
        <v>363.5</v>
      </c>
      <c r="J167" s="21">
        <v>60.58</v>
      </c>
      <c r="K167" s="21">
        <v>70.33</v>
      </c>
      <c r="L167" s="21">
        <v>4.8600000000000003</v>
      </c>
      <c r="M167" s="22">
        <v>7.18</v>
      </c>
      <c r="N167" s="20">
        <v>55.4</v>
      </c>
      <c r="O167" s="21">
        <v>13.79</v>
      </c>
      <c r="P167" s="21">
        <v>25.28</v>
      </c>
      <c r="Q167" s="21">
        <v>1.9</v>
      </c>
      <c r="R167" s="22">
        <v>9.6</v>
      </c>
      <c r="S167" s="44">
        <v>2.9</v>
      </c>
      <c r="T167" s="24">
        <v>1120</v>
      </c>
    </row>
    <row r="168" spans="1:20" x14ac:dyDescent="0.25">
      <c r="A168" s="19" t="s">
        <v>194</v>
      </c>
      <c r="B168" s="19">
        <v>14.5</v>
      </c>
      <c r="C168" s="20">
        <v>140</v>
      </c>
      <c r="D168" s="21">
        <v>65</v>
      </c>
      <c r="E168" s="21">
        <v>5</v>
      </c>
      <c r="F168" s="21">
        <v>9</v>
      </c>
      <c r="G168" s="22">
        <v>12</v>
      </c>
      <c r="H168" s="19">
        <v>18.399999999999999</v>
      </c>
      <c r="I168" s="20">
        <v>599.5</v>
      </c>
      <c r="J168" s="21">
        <v>85.64</v>
      </c>
      <c r="K168" s="21">
        <v>98.84</v>
      </c>
      <c r="L168" s="21">
        <v>5.71</v>
      </c>
      <c r="M168" s="22">
        <v>8.25</v>
      </c>
      <c r="N168" s="20">
        <v>78.7</v>
      </c>
      <c r="O168" s="21">
        <v>18.190000000000001</v>
      </c>
      <c r="P168" s="21">
        <v>33.22</v>
      </c>
      <c r="Q168" s="21">
        <v>2.0699999999999998</v>
      </c>
      <c r="R168" s="22">
        <v>11.7</v>
      </c>
      <c r="S168" s="44">
        <v>4.05</v>
      </c>
      <c r="T168" s="24">
        <v>2200</v>
      </c>
    </row>
    <row r="169" spans="1:20" x14ac:dyDescent="0.25">
      <c r="A169" s="19" t="s">
        <v>195</v>
      </c>
      <c r="B169" s="19">
        <v>17</v>
      </c>
      <c r="C169" s="20">
        <v>160</v>
      </c>
      <c r="D169" s="21">
        <v>70</v>
      </c>
      <c r="E169" s="21">
        <v>5.5</v>
      </c>
      <c r="F169" s="21">
        <v>9.5</v>
      </c>
      <c r="G169" s="22">
        <v>12</v>
      </c>
      <c r="H169" s="19">
        <v>21.7</v>
      </c>
      <c r="I169" s="20">
        <v>911.1</v>
      </c>
      <c r="J169" s="21">
        <v>113.6</v>
      </c>
      <c r="K169" s="21">
        <v>131.6</v>
      </c>
      <c r="L169" s="21">
        <v>6.48</v>
      </c>
      <c r="M169" s="22">
        <v>10.039999999999999</v>
      </c>
      <c r="N169" s="20">
        <v>106.8</v>
      </c>
      <c r="O169" s="21">
        <v>22.58</v>
      </c>
      <c r="P169" s="21">
        <v>41.49</v>
      </c>
      <c r="Q169" s="21">
        <v>2.2200000000000002</v>
      </c>
      <c r="R169" s="22">
        <v>13.3</v>
      </c>
      <c r="S169" s="44">
        <v>5.2</v>
      </c>
      <c r="T169" s="24">
        <v>3960</v>
      </c>
    </row>
    <row r="170" spans="1:20" x14ac:dyDescent="0.25">
      <c r="A170" s="19" t="s">
        <v>196</v>
      </c>
      <c r="B170" s="19">
        <v>19.7</v>
      </c>
      <c r="C170" s="20">
        <v>180</v>
      </c>
      <c r="D170" s="21">
        <v>75</v>
      </c>
      <c r="E170" s="21">
        <v>5.5</v>
      </c>
      <c r="F170" s="21">
        <v>10.5</v>
      </c>
      <c r="G170" s="22">
        <v>12</v>
      </c>
      <c r="H170" s="19">
        <v>25.1</v>
      </c>
      <c r="I170" s="20">
        <v>1353</v>
      </c>
      <c r="J170" s="21">
        <v>150.4</v>
      </c>
      <c r="K170" s="21">
        <v>173</v>
      </c>
      <c r="L170" s="21">
        <v>7.34</v>
      </c>
      <c r="M170" s="22">
        <v>11.2</v>
      </c>
      <c r="N170" s="20">
        <v>143.69999999999999</v>
      </c>
      <c r="O170" s="21">
        <v>28.56</v>
      </c>
      <c r="P170" s="21">
        <v>52.3</v>
      </c>
      <c r="Q170" s="21">
        <v>2.39</v>
      </c>
      <c r="R170" s="22">
        <v>15.75</v>
      </c>
      <c r="S170" s="44">
        <v>6.99</v>
      </c>
      <c r="T170" s="24">
        <v>6810</v>
      </c>
    </row>
    <row r="171" spans="1:20" x14ac:dyDescent="0.25">
      <c r="A171" s="19" t="s">
        <v>197</v>
      </c>
      <c r="B171" s="19">
        <v>22.8</v>
      </c>
      <c r="C171" s="20">
        <v>200</v>
      </c>
      <c r="D171" s="21">
        <v>80</v>
      </c>
      <c r="E171" s="21">
        <v>6</v>
      </c>
      <c r="F171" s="21">
        <v>11</v>
      </c>
      <c r="G171" s="22">
        <v>13</v>
      </c>
      <c r="H171" s="19">
        <v>29</v>
      </c>
      <c r="I171" s="20">
        <v>1909</v>
      </c>
      <c r="J171" s="21">
        <v>190.9</v>
      </c>
      <c r="K171" s="21">
        <v>220.1</v>
      </c>
      <c r="L171" s="21">
        <v>8.11</v>
      </c>
      <c r="M171" s="22">
        <v>13.5</v>
      </c>
      <c r="N171" s="20">
        <v>187.3</v>
      </c>
      <c r="O171" s="21">
        <v>34.43</v>
      </c>
      <c r="P171" s="21">
        <v>63.28</v>
      </c>
      <c r="Q171" s="21">
        <v>2.54</v>
      </c>
      <c r="R171" s="22">
        <v>17.600000000000001</v>
      </c>
      <c r="S171" s="44">
        <v>8.89</v>
      </c>
      <c r="T171" s="24">
        <v>11000</v>
      </c>
    </row>
    <row r="172" spans="1:20" x14ac:dyDescent="0.25">
      <c r="A172" s="19" t="s">
        <v>198</v>
      </c>
      <c r="B172" s="19">
        <v>26.6</v>
      </c>
      <c r="C172" s="20">
        <v>220</v>
      </c>
      <c r="D172" s="21">
        <v>85</v>
      </c>
      <c r="E172" s="21">
        <v>6.5</v>
      </c>
      <c r="F172" s="21">
        <v>12</v>
      </c>
      <c r="G172" s="22">
        <v>13</v>
      </c>
      <c r="H172" s="19">
        <v>33.9</v>
      </c>
      <c r="I172" s="20">
        <v>2682</v>
      </c>
      <c r="J172" s="21">
        <v>243.9</v>
      </c>
      <c r="K172" s="21">
        <v>281.5</v>
      </c>
      <c r="L172" s="21">
        <v>8.9</v>
      </c>
      <c r="M172" s="22">
        <v>15.81</v>
      </c>
      <c r="N172" s="20">
        <v>246.4</v>
      </c>
      <c r="O172" s="21">
        <v>42.51</v>
      </c>
      <c r="P172" s="21">
        <v>78.25</v>
      </c>
      <c r="Q172" s="21">
        <v>2.7</v>
      </c>
      <c r="R172" s="22">
        <v>20.399999999999999</v>
      </c>
      <c r="S172" s="44">
        <v>12.05</v>
      </c>
      <c r="T172" s="24">
        <v>17610</v>
      </c>
    </row>
    <row r="173" spans="1:20" x14ac:dyDescent="0.25">
      <c r="A173" s="19" t="s">
        <v>199</v>
      </c>
      <c r="B173" s="19">
        <v>30.2</v>
      </c>
      <c r="C173" s="20">
        <v>240</v>
      </c>
      <c r="D173" s="21">
        <v>90</v>
      </c>
      <c r="E173" s="21">
        <v>7</v>
      </c>
      <c r="F173" s="21">
        <v>12.5</v>
      </c>
      <c r="G173" s="22">
        <v>15</v>
      </c>
      <c r="H173" s="19">
        <v>38.5</v>
      </c>
      <c r="I173" s="20">
        <v>3599</v>
      </c>
      <c r="J173" s="21">
        <v>299.89999999999998</v>
      </c>
      <c r="K173" s="21">
        <v>346.9</v>
      </c>
      <c r="L173" s="21">
        <v>9.67</v>
      </c>
      <c r="M173" s="22">
        <v>18.77</v>
      </c>
      <c r="N173" s="20">
        <v>310.89999999999998</v>
      </c>
      <c r="O173" s="21">
        <v>50.08</v>
      </c>
      <c r="P173" s="21">
        <v>92.18</v>
      </c>
      <c r="Q173" s="21">
        <v>2.84</v>
      </c>
      <c r="R173" s="22">
        <v>22.5</v>
      </c>
      <c r="S173" s="44">
        <v>15.14</v>
      </c>
      <c r="T173" s="24">
        <v>26420</v>
      </c>
    </row>
    <row r="174" spans="1:20" x14ac:dyDescent="0.25">
      <c r="A174" s="19" t="s">
        <v>200</v>
      </c>
      <c r="B174" s="19">
        <v>35.200000000000003</v>
      </c>
      <c r="C174" s="20">
        <v>270</v>
      </c>
      <c r="D174" s="21">
        <v>95</v>
      </c>
      <c r="E174" s="21">
        <v>7.5</v>
      </c>
      <c r="F174" s="21">
        <v>13.5</v>
      </c>
      <c r="G174" s="22">
        <v>15</v>
      </c>
      <c r="H174" s="19">
        <v>44.8</v>
      </c>
      <c r="I174" s="20">
        <v>5255</v>
      </c>
      <c r="J174" s="21">
        <v>389.2</v>
      </c>
      <c r="K174" s="21">
        <v>451.1</v>
      </c>
      <c r="L174" s="21">
        <v>10.83</v>
      </c>
      <c r="M174" s="22">
        <v>22.23</v>
      </c>
      <c r="N174" s="20">
        <v>401</v>
      </c>
      <c r="O174" s="21">
        <v>60.69</v>
      </c>
      <c r="P174" s="21">
        <v>111.6</v>
      </c>
      <c r="Q174" s="21">
        <v>2.99</v>
      </c>
      <c r="R174" s="22">
        <v>25.65</v>
      </c>
      <c r="S174" s="44">
        <v>19.91</v>
      </c>
      <c r="T174" s="24">
        <v>43550</v>
      </c>
    </row>
    <row r="175" spans="1:20" x14ac:dyDescent="0.25">
      <c r="A175" s="19" t="s">
        <v>201</v>
      </c>
      <c r="B175" s="19">
        <v>44.4</v>
      </c>
      <c r="C175" s="20">
        <v>300</v>
      </c>
      <c r="D175" s="21">
        <v>100</v>
      </c>
      <c r="E175" s="21">
        <v>9.5</v>
      </c>
      <c r="F175" s="21">
        <v>15</v>
      </c>
      <c r="G175" s="22">
        <v>15</v>
      </c>
      <c r="H175" s="19">
        <v>56.6</v>
      </c>
      <c r="I175" s="20">
        <v>7823</v>
      </c>
      <c r="J175" s="21">
        <v>521.5</v>
      </c>
      <c r="K175" s="21">
        <v>613.4</v>
      </c>
      <c r="L175" s="21">
        <v>11.76</v>
      </c>
      <c r="M175" s="22">
        <v>30.29</v>
      </c>
      <c r="N175" s="20">
        <v>537.70000000000005</v>
      </c>
      <c r="O175" s="21">
        <v>75.58</v>
      </c>
      <c r="P175" s="21">
        <v>136.6</v>
      </c>
      <c r="Q175" s="21">
        <v>3.08</v>
      </c>
      <c r="R175" s="22">
        <v>30</v>
      </c>
      <c r="S175" s="44">
        <v>31.52</v>
      </c>
      <c r="T175" s="24">
        <v>72660</v>
      </c>
    </row>
    <row r="176" spans="1:20" x14ac:dyDescent="0.25">
      <c r="A176" s="19" t="s">
        <v>202</v>
      </c>
      <c r="B176" s="19">
        <v>53.2</v>
      </c>
      <c r="C176" s="20">
        <v>330</v>
      </c>
      <c r="D176" s="21">
        <v>105</v>
      </c>
      <c r="E176" s="21">
        <v>11</v>
      </c>
      <c r="F176" s="21">
        <v>16</v>
      </c>
      <c r="G176" s="22">
        <v>18</v>
      </c>
      <c r="H176" s="19">
        <v>67.8</v>
      </c>
      <c r="I176" s="20">
        <v>11010</v>
      </c>
      <c r="J176" s="21">
        <v>667.1</v>
      </c>
      <c r="K176" s="21">
        <v>791.9</v>
      </c>
      <c r="L176" s="21">
        <v>12.74</v>
      </c>
      <c r="M176" s="22">
        <v>38.81</v>
      </c>
      <c r="N176" s="20">
        <v>681.5</v>
      </c>
      <c r="O176" s="21">
        <v>89.66</v>
      </c>
      <c r="P176" s="21">
        <v>156.19999999999999</v>
      </c>
      <c r="Q176" s="21">
        <v>3.17</v>
      </c>
      <c r="R176" s="22">
        <v>33.6</v>
      </c>
      <c r="S176" s="44">
        <v>45.18</v>
      </c>
      <c r="T176" s="24">
        <v>111800</v>
      </c>
    </row>
    <row r="177" spans="1:20" x14ac:dyDescent="0.25">
      <c r="A177" s="19" t="s">
        <v>203</v>
      </c>
      <c r="B177" s="19">
        <v>61.2</v>
      </c>
      <c r="C177" s="20">
        <v>360</v>
      </c>
      <c r="D177" s="21">
        <v>110</v>
      </c>
      <c r="E177" s="21">
        <v>12</v>
      </c>
      <c r="F177" s="21">
        <v>17</v>
      </c>
      <c r="G177" s="22">
        <v>18</v>
      </c>
      <c r="H177" s="19">
        <v>77.900000000000006</v>
      </c>
      <c r="I177" s="20">
        <v>14830</v>
      </c>
      <c r="J177" s="21">
        <v>823.6</v>
      </c>
      <c r="K177" s="21">
        <v>982.3</v>
      </c>
      <c r="L177" s="21">
        <v>13.79</v>
      </c>
      <c r="M177" s="22">
        <v>45.61</v>
      </c>
      <c r="N177" s="20">
        <v>843.7</v>
      </c>
      <c r="O177" s="21">
        <v>105.1</v>
      </c>
      <c r="P177" s="21">
        <v>177.8</v>
      </c>
      <c r="Q177" s="21">
        <v>3.29</v>
      </c>
      <c r="R177" s="22">
        <v>37.4</v>
      </c>
      <c r="S177" s="44">
        <v>58.49</v>
      </c>
      <c r="T177" s="24">
        <v>166400</v>
      </c>
    </row>
    <row r="178" spans="1:20" ht="15.75" thickBot="1" x14ac:dyDescent="0.3">
      <c r="A178" s="25" t="s">
        <v>204</v>
      </c>
      <c r="B178" s="25">
        <v>72.2</v>
      </c>
      <c r="C178" s="26">
        <v>400</v>
      </c>
      <c r="D178" s="27">
        <v>115</v>
      </c>
      <c r="E178" s="27">
        <v>13.5</v>
      </c>
      <c r="F178" s="27">
        <v>18</v>
      </c>
      <c r="G178" s="28">
        <v>18</v>
      </c>
      <c r="H178" s="25">
        <v>91.9</v>
      </c>
      <c r="I178" s="26">
        <v>20980</v>
      </c>
      <c r="J178" s="27">
        <v>1049</v>
      </c>
      <c r="K178" s="27">
        <v>1263</v>
      </c>
      <c r="L178" s="27">
        <v>15.11</v>
      </c>
      <c r="M178" s="28">
        <v>56.2</v>
      </c>
      <c r="N178" s="26">
        <v>1045</v>
      </c>
      <c r="O178" s="27">
        <v>122.6</v>
      </c>
      <c r="P178" s="27">
        <v>191.4</v>
      </c>
      <c r="Q178" s="27">
        <v>3.37</v>
      </c>
      <c r="R178" s="28">
        <v>41.4</v>
      </c>
      <c r="S178" s="45">
        <v>79.14</v>
      </c>
      <c r="T178" s="46">
        <v>259000</v>
      </c>
    </row>
    <row r="179" spans="1:20" ht="15.75" x14ac:dyDescent="0.25">
      <c r="A179" s="38"/>
      <c r="B179" s="39" t="s">
        <v>205</v>
      </c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2"/>
    </row>
    <row r="180" spans="1:20" x14ac:dyDescent="0.25">
      <c r="A180" s="47" t="str">
        <f>"PRS "&amp;C180-2*F180&amp;"*"&amp;E180&amp;" - "&amp;D180&amp;"*"&amp;F180</f>
        <v>PRS 580*6 - 300*15</v>
      </c>
      <c r="B180" s="300">
        <f>PRS!G13</f>
        <v>98.591999999999999</v>
      </c>
      <c r="C180" s="48">
        <f>PRS!C16+PRS!C14+PRS!C20</f>
        <v>610</v>
      </c>
      <c r="D180" s="49">
        <f>PRS!C13</f>
        <v>300</v>
      </c>
      <c r="E180" s="49">
        <f>PRS!C17</f>
        <v>6</v>
      </c>
      <c r="F180" s="49">
        <f>PRS!C14</f>
        <v>15</v>
      </c>
      <c r="G180" s="303">
        <v>0</v>
      </c>
      <c r="H180" s="300">
        <f>PRS!G11</f>
        <v>124.8</v>
      </c>
      <c r="I180" s="301">
        <f>PRS!G15</f>
        <v>89428.1</v>
      </c>
      <c r="J180" s="302">
        <f>PRS!G16</f>
        <v>2932.0688524590164</v>
      </c>
      <c r="K180" s="302">
        <f>PRS!G17</f>
        <v>3182.1</v>
      </c>
      <c r="L180" s="50">
        <f>PRS!G19</f>
        <v>26.768849697037119</v>
      </c>
      <c r="M180" s="299">
        <f>PRS!G18</f>
        <v>34.800000000000004</v>
      </c>
      <c r="N180" s="301">
        <f>PRS!G23</f>
        <v>6751.0440000000008</v>
      </c>
      <c r="O180" s="302">
        <f>PRS!G24</f>
        <v>450.06960000000004</v>
      </c>
      <c r="P180" s="302">
        <f>PRS!G25</f>
        <v>680.22</v>
      </c>
      <c r="Q180" s="50">
        <f>PRS!G27</f>
        <v>7.354923782484347</v>
      </c>
      <c r="R180" s="299">
        <f>PRS!G26</f>
        <v>90</v>
      </c>
      <c r="S180" s="51">
        <f>PRS!G29</f>
        <v>71.676000000000002</v>
      </c>
      <c r="T180" s="52">
        <f>PRS!G30</f>
        <v>5974171.8749999991</v>
      </c>
    </row>
    <row r="181" spans="1:20" x14ac:dyDescent="0.25">
      <c r="A181" s="19" t="str">
        <f>"PRS "&amp;C181-2*F181&amp;"*"&amp;E181&amp;" - "&amp;D181&amp;"*"&amp;F181</f>
        <v>PRS 620*6 - 260*15</v>
      </c>
      <c r="B181" s="30">
        <f>PRS!G38</f>
        <v>91.00800000000001</v>
      </c>
      <c r="C181" s="332">
        <f>PRS!C41+2*PRS!C39</f>
        <v>650</v>
      </c>
      <c r="D181" s="37">
        <f>PRS!C38</f>
        <v>260</v>
      </c>
      <c r="E181" s="37">
        <f>PRS!C42</f>
        <v>6</v>
      </c>
      <c r="F181" s="37">
        <f>PRS!C39</f>
        <v>15</v>
      </c>
      <c r="G181" s="333">
        <v>0</v>
      </c>
      <c r="H181" s="30">
        <f>PRS!G36</f>
        <v>115.2</v>
      </c>
      <c r="I181" s="32">
        <f>PRS!G40</f>
        <v>90559.9</v>
      </c>
      <c r="J181" s="33">
        <f>PRS!G41</f>
        <v>2786.4584615384615</v>
      </c>
      <c r="K181" s="33">
        <f>PRS!G42</f>
        <v>3053.1</v>
      </c>
      <c r="L181" s="34">
        <f>PRS!G44</f>
        <v>28.037657588599576</v>
      </c>
      <c r="M181" s="35">
        <f>PRS!G43</f>
        <v>37.200000000000003</v>
      </c>
      <c r="N181" s="32">
        <f>PRS!G48</f>
        <v>4395.116</v>
      </c>
      <c r="O181" s="33">
        <f>PRS!G49</f>
        <v>338.08584615384615</v>
      </c>
      <c r="P181" s="33">
        <f>PRS!G50</f>
        <v>512.58000000000004</v>
      </c>
      <c r="Q181" s="34">
        <f>PRS!G52</f>
        <v>6.1767344617614182</v>
      </c>
      <c r="R181" s="333">
        <f>PRS!G51</f>
        <v>78</v>
      </c>
      <c r="S181" s="23">
        <f>PRS!G54</f>
        <v>62.964000000000006</v>
      </c>
      <c r="T181" s="334">
        <f>PRS!G55</f>
        <v>4429426.625</v>
      </c>
    </row>
    <row r="182" spans="1:20" ht="15.75" thickBot="1" x14ac:dyDescent="0.3">
      <c r="A182" s="321" t="str">
        <f>"PRS "&amp;C182-2*F182&amp;"*"&amp;E182&amp;" - "&amp;D182&amp;"*"&amp;F182</f>
        <v>PRS 580*6 - 300*15</v>
      </c>
      <c r="B182" s="322">
        <f>PRS!G61</f>
        <v>98.591999999999999</v>
      </c>
      <c r="C182" s="323">
        <f>PRS!C64+2*PRS!C62</f>
        <v>610</v>
      </c>
      <c r="D182" s="324">
        <f>PRS!C61</f>
        <v>300</v>
      </c>
      <c r="E182" s="324">
        <f>PRS!C65</f>
        <v>6</v>
      </c>
      <c r="F182" s="324">
        <f>PRS!C62</f>
        <v>15</v>
      </c>
      <c r="G182" s="325">
        <v>0</v>
      </c>
      <c r="H182" s="322">
        <f>PRS!G59</f>
        <v>124.8</v>
      </c>
      <c r="I182" s="326">
        <f>PRS!G63</f>
        <v>89428.1</v>
      </c>
      <c r="J182" s="327">
        <f>PRS!G64</f>
        <v>2932.0688524590164</v>
      </c>
      <c r="K182" s="327">
        <f>PRS!G65</f>
        <v>3182.1</v>
      </c>
      <c r="L182" s="328">
        <f>PRS!G67</f>
        <v>27.861902129570726</v>
      </c>
      <c r="M182" s="329">
        <f>PRS!G66</f>
        <v>34.800000000000004</v>
      </c>
      <c r="N182" s="326">
        <f>PRS!G71</f>
        <v>6751.0440000000008</v>
      </c>
      <c r="O182" s="327">
        <f>PRS!G72</f>
        <v>450.06960000000004</v>
      </c>
      <c r="P182" s="327">
        <f>PRS!G73</f>
        <v>680.22</v>
      </c>
      <c r="Q182" s="328">
        <f>PRS!G75</f>
        <v>7.655247383331254</v>
      </c>
      <c r="R182" s="325">
        <f>PRS!G74</f>
        <v>90</v>
      </c>
      <c r="S182" s="330">
        <f>PRS!G77</f>
        <v>71.676000000000002</v>
      </c>
      <c r="T182" s="331">
        <f>PRS!G78</f>
        <v>5974171.8749999991</v>
      </c>
    </row>
    <row r="183" spans="1:20" x14ac:dyDescent="0.25">
      <c r="A183" s="53"/>
      <c r="B183" s="53" t="s">
        <v>10</v>
      </c>
      <c r="C183" s="54" t="s">
        <v>11</v>
      </c>
      <c r="D183" s="55" t="s">
        <v>12</v>
      </c>
      <c r="E183" s="55" t="s">
        <v>13</v>
      </c>
      <c r="F183" s="55" t="s">
        <v>14</v>
      </c>
      <c r="G183" s="56" t="s">
        <v>15</v>
      </c>
      <c r="H183" s="53" t="s">
        <v>16</v>
      </c>
      <c r="I183" s="54" t="s">
        <v>17</v>
      </c>
      <c r="J183" s="55" t="s">
        <v>18</v>
      </c>
      <c r="K183" s="55" t="s">
        <v>19</v>
      </c>
      <c r="L183" s="55" t="s">
        <v>20</v>
      </c>
      <c r="M183" s="56" t="s">
        <v>21</v>
      </c>
      <c r="N183" s="54" t="s">
        <v>22</v>
      </c>
      <c r="O183" s="55" t="s">
        <v>23</v>
      </c>
      <c r="P183" s="55" t="s">
        <v>24</v>
      </c>
      <c r="Q183" s="55" t="s">
        <v>25</v>
      </c>
      <c r="R183" s="56" t="s">
        <v>26</v>
      </c>
      <c r="S183" s="57" t="s">
        <v>27</v>
      </c>
      <c r="T183" s="56" t="s">
        <v>28</v>
      </c>
    </row>
    <row r="184" spans="1:20" ht="30.75" thickBot="1" x14ac:dyDescent="0.3">
      <c r="A184" s="58" t="s">
        <v>0</v>
      </c>
      <c r="B184" s="59" t="s">
        <v>1</v>
      </c>
      <c r="C184" s="483" t="s">
        <v>2</v>
      </c>
      <c r="D184" s="484"/>
      <c r="E184" s="484"/>
      <c r="F184" s="484"/>
      <c r="G184" s="485"/>
      <c r="H184" s="59" t="s">
        <v>3</v>
      </c>
      <c r="I184" s="304" t="s">
        <v>4</v>
      </c>
      <c r="J184" s="486" t="s">
        <v>5</v>
      </c>
      <c r="K184" s="487"/>
      <c r="L184" s="305" t="s">
        <v>6</v>
      </c>
      <c r="M184" s="60" t="s">
        <v>7</v>
      </c>
      <c r="N184" s="61" t="s">
        <v>4</v>
      </c>
      <c r="O184" s="488" t="s">
        <v>5</v>
      </c>
      <c r="P184" s="489"/>
      <c r="Q184" s="305" t="s">
        <v>6</v>
      </c>
      <c r="R184" s="62" t="s">
        <v>7</v>
      </c>
      <c r="S184" s="63" t="s">
        <v>8</v>
      </c>
      <c r="T184" s="62" t="s">
        <v>9</v>
      </c>
    </row>
  </sheetData>
  <sheetProtection algorithmName="SHA-512" hashValue="Ul+SNSbR/+ArCkliMRmltazw7Qyi734BmQBv+vKqZUN5IzkCG+4T1xPIPYUGdeCXTt8cSWlfMF6Am917LAN5YQ==" saltValue="+fldfQT3omOLpgrMb+qrag==" spinCount="100000" sheet="1" objects="1" scenarios="1"/>
  <mergeCells count="6">
    <mergeCell ref="C184:G184"/>
    <mergeCell ref="J184:K184"/>
    <mergeCell ref="O184:P184"/>
    <mergeCell ref="C1:G1"/>
    <mergeCell ref="J1:K1"/>
    <mergeCell ref="O1:P1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A43FF-CDA6-4615-BC75-75E562CF24D6}">
  <sheetPr codeName="Feuil3">
    <tabColor rgb="FFFF0000"/>
  </sheetPr>
  <dimension ref="A1:AK153"/>
  <sheetViews>
    <sheetView zoomScaleNormal="100" workbookViewId="0">
      <pane ySplit="3" topLeftCell="A4" activePane="bottomLeft" state="frozen"/>
      <selection pane="bottomLeft"/>
    </sheetView>
  </sheetViews>
  <sheetFormatPr baseColWidth="10" defaultRowHeight="12.75" x14ac:dyDescent="0.2"/>
  <cols>
    <col min="1" max="1" width="16.85546875" style="146" customWidth="1"/>
    <col min="2" max="2" width="7.28515625" style="69" customWidth="1"/>
    <col min="3" max="4" width="5.140625" style="69" customWidth="1"/>
    <col min="5" max="5" width="6.140625" style="69" bestFit="1" customWidth="1"/>
    <col min="6" max="6" width="5.28515625" style="69" customWidth="1"/>
    <col min="7" max="7" width="4.28515625" style="69" customWidth="1"/>
    <col min="8" max="9" width="7.42578125" style="69" customWidth="1"/>
    <col min="10" max="10" width="10.28515625" style="69" customWidth="1"/>
    <col min="11" max="11" width="10.28515625" style="69" hidden="1" customWidth="1"/>
    <col min="12" max="12" width="10.140625" style="69" customWidth="1"/>
    <col min="13" max="13" width="10.140625" style="69" hidden="1" customWidth="1"/>
    <col min="14" max="14" width="7.7109375" style="69" customWidth="1"/>
    <col min="15" max="15" width="10.28515625" style="69" customWidth="1"/>
    <col min="16" max="16" width="10.28515625" style="69" hidden="1" customWidth="1"/>
    <col min="17" max="17" width="10.140625" style="69" customWidth="1"/>
    <col min="18" max="18" width="10.140625" style="69" hidden="1" customWidth="1"/>
    <col min="19" max="19" width="7.5703125" style="69" customWidth="1"/>
    <col min="20" max="20" width="7.140625" style="69" customWidth="1"/>
    <col min="21" max="21" width="7.42578125" style="69" customWidth="1"/>
    <col min="22" max="22" width="5.7109375" style="69" customWidth="1"/>
    <col min="23" max="23" width="7.5703125" style="69" customWidth="1"/>
    <col min="24" max="24" width="7.85546875" style="69" customWidth="1"/>
    <col min="25" max="25" width="8" style="69" customWidth="1"/>
    <col min="26" max="26" width="5.85546875" style="69" customWidth="1"/>
    <col min="27" max="27" width="0" style="69" hidden="1" customWidth="1"/>
    <col min="28" max="28" width="12.42578125" style="69" hidden="1" customWidth="1"/>
    <col min="29" max="30" width="0" style="69" hidden="1" customWidth="1"/>
    <col min="31" max="31" width="5.42578125" style="69" customWidth="1"/>
    <col min="32" max="33" width="5.140625" style="69" customWidth="1"/>
    <col min="34" max="34" width="4.5703125" style="69" customWidth="1"/>
    <col min="35" max="35" width="6.140625" style="69" customWidth="1"/>
    <col min="36" max="36" width="5.42578125" style="69" customWidth="1"/>
    <col min="37" max="250" width="11.42578125" style="69"/>
    <col min="251" max="251" width="8" style="69" customWidth="1"/>
    <col min="252" max="252" width="16.85546875" style="69" customWidth="1"/>
    <col min="253" max="254" width="5.140625" style="69" customWidth="1"/>
    <col min="255" max="255" width="6.140625" style="69" bestFit="1" customWidth="1"/>
    <col min="256" max="256" width="5.28515625" style="69" customWidth="1"/>
    <col min="257" max="257" width="4.28515625" style="69" customWidth="1"/>
    <col min="258" max="258" width="7.28515625" style="69" customWidth="1"/>
    <col min="259" max="259" width="7.42578125" style="69" customWidth="1"/>
    <col min="260" max="260" width="5.42578125" style="69" customWidth="1"/>
    <col min="261" max="262" width="5.140625" style="69" customWidth="1"/>
    <col min="263" max="263" width="4.5703125" style="69" customWidth="1"/>
    <col min="264" max="264" width="8" style="69" customWidth="1"/>
    <col min="265" max="265" width="7.42578125" style="69" customWidth="1"/>
    <col min="266" max="266" width="6.140625" style="69" customWidth="1"/>
    <col min="267" max="267" width="5.42578125" style="69" customWidth="1"/>
    <col min="268" max="268" width="11.42578125" style="69"/>
    <col min="269" max="269" width="7.42578125" style="69" customWidth="1"/>
    <col min="270" max="270" width="7.28515625" style="69" customWidth="1"/>
    <col min="271" max="271" width="5.42578125" style="69" customWidth="1"/>
    <col min="272" max="272" width="7.7109375" style="69" customWidth="1"/>
    <col min="273" max="273" width="7.140625" style="69" customWidth="1"/>
    <col min="274" max="274" width="6" style="69" customWidth="1"/>
    <col min="275" max="275" width="7.5703125" style="69" customWidth="1"/>
    <col min="276" max="276" width="7.140625" style="69" customWidth="1"/>
    <col min="277" max="277" width="7.42578125" style="69" customWidth="1"/>
    <col min="278" max="278" width="5.7109375" style="69" customWidth="1"/>
    <col min="279" max="279" width="7.5703125" style="69" customWidth="1"/>
    <col min="280" max="280" width="7.85546875" style="69" customWidth="1"/>
    <col min="281" max="281" width="8" style="69" customWidth="1"/>
    <col min="282" max="282" width="5.85546875" style="69" customWidth="1"/>
    <col min="283" max="283" width="11.42578125" style="69"/>
    <col min="284" max="284" width="12.42578125" style="69" bestFit="1" customWidth="1"/>
    <col min="285" max="506" width="11.42578125" style="69"/>
    <col min="507" max="507" width="8" style="69" customWidth="1"/>
    <col min="508" max="508" width="16.85546875" style="69" customWidth="1"/>
    <col min="509" max="510" width="5.140625" style="69" customWidth="1"/>
    <col min="511" max="511" width="6.140625" style="69" bestFit="1" customWidth="1"/>
    <col min="512" max="512" width="5.28515625" style="69" customWidth="1"/>
    <col min="513" max="513" width="4.28515625" style="69" customWidth="1"/>
    <col min="514" max="514" width="7.28515625" style="69" customWidth="1"/>
    <col min="515" max="515" width="7.42578125" style="69" customWidth="1"/>
    <col min="516" max="516" width="5.42578125" style="69" customWidth="1"/>
    <col min="517" max="518" width="5.140625" style="69" customWidth="1"/>
    <col min="519" max="519" width="4.5703125" style="69" customWidth="1"/>
    <col min="520" max="520" width="8" style="69" customWidth="1"/>
    <col min="521" max="521" width="7.42578125" style="69" customWidth="1"/>
    <col min="522" max="522" width="6.140625" style="69" customWidth="1"/>
    <col min="523" max="523" width="5.42578125" style="69" customWidth="1"/>
    <col min="524" max="524" width="11.42578125" style="69"/>
    <col min="525" max="525" width="7.42578125" style="69" customWidth="1"/>
    <col min="526" max="526" width="7.28515625" style="69" customWidth="1"/>
    <col min="527" max="527" width="5.42578125" style="69" customWidth="1"/>
    <col min="528" max="528" width="7.7109375" style="69" customWidth="1"/>
    <col min="529" max="529" width="7.140625" style="69" customWidth="1"/>
    <col min="530" max="530" width="6" style="69" customWidth="1"/>
    <col min="531" max="531" width="7.5703125" style="69" customWidth="1"/>
    <col min="532" max="532" width="7.140625" style="69" customWidth="1"/>
    <col min="533" max="533" width="7.42578125" style="69" customWidth="1"/>
    <col min="534" max="534" width="5.7109375" style="69" customWidth="1"/>
    <col min="535" max="535" width="7.5703125" style="69" customWidth="1"/>
    <col min="536" max="536" width="7.85546875" style="69" customWidth="1"/>
    <col min="537" max="537" width="8" style="69" customWidth="1"/>
    <col min="538" max="538" width="5.85546875" style="69" customWidth="1"/>
    <col min="539" max="539" width="11.42578125" style="69"/>
    <col min="540" max="540" width="12.42578125" style="69" bestFit="1" customWidth="1"/>
    <col min="541" max="762" width="11.42578125" style="69"/>
    <col min="763" max="763" width="8" style="69" customWidth="1"/>
    <col min="764" max="764" width="16.85546875" style="69" customWidth="1"/>
    <col min="765" max="766" width="5.140625" style="69" customWidth="1"/>
    <col min="767" max="767" width="6.140625" style="69" bestFit="1" customWidth="1"/>
    <col min="768" max="768" width="5.28515625" style="69" customWidth="1"/>
    <col min="769" max="769" width="4.28515625" style="69" customWidth="1"/>
    <col min="770" max="770" width="7.28515625" style="69" customWidth="1"/>
    <col min="771" max="771" width="7.42578125" style="69" customWidth="1"/>
    <col min="772" max="772" width="5.42578125" style="69" customWidth="1"/>
    <col min="773" max="774" width="5.140625" style="69" customWidth="1"/>
    <col min="775" max="775" width="4.5703125" style="69" customWidth="1"/>
    <col min="776" max="776" width="8" style="69" customWidth="1"/>
    <col min="777" max="777" width="7.42578125" style="69" customWidth="1"/>
    <col min="778" max="778" width="6.140625" style="69" customWidth="1"/>
    <col min="779" max="779" width="5.42578125" style="69" customWidth="1"/>
    <col min="780" max="780" width="11.42578125" style="69"/>
    <col min="781" max="781" width="7.42578125" style="69" customWidth="1"/>
    <col min="782" max="782" width="7.28515625" style="69" customWidth="1"/>
    <col min="783" max="783" width="5.42578125" style="69" customWidth="1"/>
    <col min="784" max="784" width="7.7109375" style="69" customWidth="1"/>
    <col min="785" max="785" width="7.140625" style="69" customWidth="1"/>
    <col min="786" max="786" width="6" style="69" customWidth="1"/>
    <col min="787" max="787" width="7.5703125" style="69" customWidth="1"/>
    <col min="788" max="788" width="7.140625" style="69" customWidth="1"/>
    <col min="789" max="789" width="7.42578125" style="69" customWidth="1"/>
    <col min="790" max="790" width="5.7109375" style="69" customWidth="1"/>
    <col min="791" max="791" width="7.5703125" style="69" customWidth="1"/>
    <col min="792" max="792" width="7.85546875" style="69" customWidth="1"/>
    <col min="793" max="793" width="8" style="69" customWidth="1"/>
    <col min="794" max="794" width="5.85546875" style="69" customWidth="1"/>
    <col min="795" max="795" width="11.42578125" style="69"/>
    <col min="796" max="796" width="12.42578125" style="69" bestFit="1" customWidth="1"/>
    <col min="797" max="1018" width="11.42578125" style="69"/>
    <col min="1019" max="1019" width="8" style="69" customWidth="1"/>
    <col min="1020" max="1020" width="16.85546875" style="69" customWidth="1"/>
    <col min="1021" max="1022" width="5.140625" style="69" customWidth="1"/>
    <col min="1023" max="1023" width="6.140625" style="69" bestFit="1" customWidth="1"/>
    <col min="1024" max="1024" width="5.28515625" style="69" customWidth="1"/>
    <col min="1025" max="1025" width="4.28515625" style="69" customWidth="1"/>
    <col min="1026" max="1026" width="7.28515625" style="69" customWidth="1"/>
    <col min="1027" max="1027" width="7.42578125" style="69" customWidth="1"/>
    <col min="1028" max="1028" width="5.42578125" style="69" customWidth="1"/>
    <col min="1029" max="1030" width="5.140625" style="69" customWidth="1"/>
    <col min="1031" max="1031" width="4.5703125" style="69" customWidth="1"/>
    <col min="1032" max="1032" width="8" style="69" customWidth="1"/>
    <col min="1033" max="1033" width="7.42578125" style="69" customWidth="1"/>
    <col min="1034" max="1034" width="6.140625" style="69" customWidth="1"/>
    <col min="1035" max="1035" width="5.42578125" style="69" customWidth="1"/>
    <col min="1036" max="1036" width="11.42578125" style="69"/>
    <col min="1037" max="1037" width="7.42578125" style="69" customWidth="1"/>
    <col min="1038" max="1038" width="7.28515625" style="69" customWidth="1"/>
    <col min="1039" max="1039" width="5.42578125" style="69" customWidth="1"/>
    <col min="1040" max="1040" width="7.7109375" style="69" customWidth="1"/>
    <col min="1041" max="1041" width="7.140625" style="69" customWidth="1"/>
    <col min="1042" max="1042" width="6" style="69" customWidth="1"/>
    <col min="1043" max="1043" width="7.5703125" style="69" customWidth="1"/>
    <col min="1044" max="1044" width="7.140625" style="69" customWidth="1"/>
    <col min="1045" max="1045" width="7.42578125" style="69" customWidth="1"/>
    <col min="1046" max="1046" width="5.7109375" style="69" customWidth="1"/>
    <col min="1047" max="1047" width="7.5703125" style="69" customWidth="1"/>
    <col min="1048" max="1048" width="7.85546875" style="69" customWidth="1"/>
    <col min="1049" max="1049" width="8" style="69" customWidth="1"/>
    <col min="1050" max="1050" width="5.85546875" style="69" customWidth="1"/>
    <col min="1051" max="1051" width="11.42578125" style="69"/>
    <col min="1052" max="1052" width="12.42578125" style="69" bestFit="1" customWidth="1"/>
    <col min="1053" max="1274" width="11.42578125" style="69"/>
    <col min="1275" max="1275" width="8" style="69" customWidth="1"/>
    <col min="1276" max="1276" width="16.85546875" style="69" customWidth="1"/>
    <col min="1277" max="1278" width="5.140625" style="69" customWidth="1"/>
    <col min="1279" max="1279" width="6.140625" style="69" bestFit="1" customWidth="1"/>
    <col min="1280" max="1280" width="5.28515625" style="69" customWidth="1"/>
    <col min="1281" max="1281" width="4.28515625" style="69" customWidth="1"/>
    <col min="1282" max="1282" width="7.28515625" style="69" customWidth="1"/>
    <col min="1283" max="1283" width="7.42578125" style="69" customWidth="1"/>
    <col min="1284" max="1284" width="5.42578125" style="69" customWidth="1"/>
    <col min="1285" max="1286" width="5.140625" style="69" customWidth="1"/>
    <col min="1287" max="1287" width="4.5703125" style="69" customWidth="1"/>
    <col min="1288" max="1288" width="8" style="69" customWidth="1"/>
    <col min="1289" max="1289" width="7.42578125" style="69" customWidth="1"/>
    <col min="1290" max="1290" width="6.140625" style="69" customWidth="1"/>
    <col min="1291" max="1291" width="5.42578125" style="69" customWidth="1"/>
    <col min="1292" max="1292" width="11.42578125" style="69"/>
    <col min="1293" max="1293" width="7.42578125" style="69" customWidth="1"/>
    <col min="1294" max="1294" width="7.28515625" style="69" customWidth="1"/>
    <col min="1295" max="1295" width="5.42578125" style="69" customWidth="1"/>
    <col min="1296" max="1296" width="7.7109375" style="69" customWidth="1"/>
    <col min="1297" max="1297" width="7.140625" style="69" customWidth="1"/>
    <col min="1298" max="1298" width="6" style="69" customWidth="1"/>
    <col min="1299" max="1299" width="7.5703125" style="69" customWidth="1"/>
    <col min="1300" max="1300" width="7.140625" style="69" customWidth="1"/>
    <col min="1301" max="1301" width="7.42578125" style="69" customWidth="1"/>
    <col min="1302" max="1302" width="5.7109375" style="69" customWidth="1"/>
    <col min="1303" max="1303" width="7.5703125" style="69" customWidth="1"/>
    <col min="1304" max="1304" width="7.85546875" style="69" customWidth="1"/>
    <col min="1305" max="1305" width="8" style="69" customWidth="1"/>
    <col min="1306" max="1306" width="5.85546875" style="69" customWidth="1"/>
    <col min="1307" max="1307" width="11.42578125" style="69"/>
    <col min="1308" max="1308" width="12.42578125" style="69" bestFit="1" customWidth="1"/>
    <col min="1309" max="1530" width="11.42578125" style="69"/>
    <col min="1531" max="1531" width="8" style="69" customWidth="1"/>
    <col min="1532" max="1532" width="16.85546875" style="69" customWidth="1"/>
    <col min="1533" max="1534" width="5.140625" style="69" customWidth="1"/>
    <col min="1535" max="1535" width="6.140625" style="69" bestFit="1" customWidth="1"/>
    <col min="1536" max="1536" width="5.28515625" style="69" customWidth="1"/>
    <col min="1537" max="1537" width="4.28515625" style="69" customWidth="1"/>
    <col min="1538" max="1538" width="7.28515625" style="69" customWidth="1"/>
    <col min="1539" max="1539" width="7.42578125" style="69" customWidth="1"/>
    <col min="1540" max="1540" width="5.42578125" style="69" customWidth="1"/>
    <col min="1541" max="1542" width="5.140625" style="69" customWidth="1"/>
    <col min="1543" max="1543" width="4.5703125" style="69" customWidth="1"/>
    <col min="1544" max="1544" width="8" style="69" customWidth="1"/>
    <col min="1545" max="1545" width="7.42578125" style="69" customWidth="1"/>
    <col min="1546" max="1546" width="6.140625" style="69" customWidth="1"/>
    <col min="1547" max="1547" width="5.42578125" style="69" customWidth="1"/>
    <col min="1548" max="1548" width="11.42578125" style="69"/>
    <col min="1549" max="1549" width="7.42578125" style="69" customWidth="1"/>
    <col min="1550" max="1550" width="7.28515625" style="69" customWidth="1"/>
    <col min="1551" max="1551" width="5.42578125" style="69" customWidth="1"/>
    <col min="1552" max="1552" width="7.7109375" style="69" customWidth="1"/>
    <col min="1553" max="1553" width="7.140625" style="69" customWidth="1"/>
    <col min="1554" max="1554" width="6" style="69" customWidth="1"/>
    <col min="1555" max="1555" width="7.5703125" style="69" customWidth="1"/>
    <col min="1556" max="1556" width="7.140625" style="69" customWidth="1"/>
    <col min="1557" max="1557" width="7.42578125" style="69" customWidth="1"/>
    <col min="1558" max="1558" width="5.7109375" style="69" customWidth="1"/>
    <col min="1559" max="1559" width="7.5703125" style="69" customWidth="1"/>
    <col min="1560" max="1560" width="7.85546875" style="69" customWidth="1"/>
    <col min="1561" max="1561" width="8" style="69" customWidth="1"/>
    <col min="1562" max="1562" width="5.85546875" style="69" customWidth="1"/>
    <col min="1563" max="1563" width="11.42578125" style="69"/>
    <col min="1564" max="1564" width="12.42578125" style="69" bestFit="1" customWidth="1"/>
    <col min="1565" max="1786" width="11.42578125" style="69"/>
    <col min="1787" max="1787" width="8" style="69" customWidth="1"/>
    <col min="1788" max="1788" width="16.85546875" style="69" customWidth="1"/>
    <col min="1789" max="1790" width="5.140625" style="69" customWidth="1"/>
    <col min="1791" max="1791" width="6.140625" style="69" bestFit="1" customWidth="1"/>
    <col min="1792" max="1792" width="5.28515625" style="69" customWidth="1"/>
    <col min="1793" max="1793" width="4.28515625" style="69" customWidth="1"/>
    <col min="1794" max="1794" width="7.28515625" style="69" customWidth="1"/>
    <col min="1795" max="1795" width="7.42578125" style="69" customWidth="1"/>
    <col min="1796" max="1796" width="5.42578125" style="69" customWidth="1"/>
    <col min="1797" max="1798" width="5.140625" style="69" customWidth="1"/>
    <col min="1799" max="1799" width="4.5703125" style="69" customWidth="1"/>
    <col min="1800" max="1800" width="8" style="69" customWidth="1"/>
    <col min="1801" max="1801" width="7.42578125" style="69" customWidth="1"/>
    <col min="1802" max="1802" width="6.140625" style="69" customWidth="1"/>
    <col min="1803" max="1803" width="5.42578125" style="69" customWidth="1"/>
    <col min="1804" max="1804" width="11.42578125" style="69"/>
    <col min="1805" max="1805" width="7.42578125" style="69" customWidth="1"/>
    <col min="1806" max="1806" width="7.28515625" style="69" customWidth="1"/>
    <col min="1807" max="1807" width="5.42578125" style="69" customWidth="1"/>
    <col min="1808" max="1808" width="7.7109375" style="69" customWidth="1"/>
    <col min="1809" max="1809" width="7.140625" style="69" customWidth="1"/>
    <col min="1810" max="1810" width="6" style="69" customWidth="1"/>
    <col min="1811" max="1811" width="7.5703125" style="69" customWidth="1"/>
    <col min="1812" max="1812" width="7.140625" style="69" customWidth="1"/>
    <col min="1813" max="1813" width="7.42578125" style="69" customWidth="1"/>
    <col min="1814" max="1814" width="5.7109375" style="69" customWidth="1"/>
    <col min="1815" max="1815" width="7.5703125" style="69" customWidth="1"/>
    <col min="1816" max="1816" width="7.85546875" style="69" customWidth="1"/>
    <col min="1817" max="1817" width="8" style="69" customWidth="1"/>
    <col min="1818" max="1818" width="5.85546875" style="69" customWidth="1"/>
    <col min="1819" max="1819" width="11.42578125" style="69"/>
    <col min="1820" max="1820" width="12.42578125" style="69" bestFit="1" customWidth="1"/>
    <col min="1821" max="2042" width="11.42578125" style="69"/>
    <col min="2043" max="2043" width="8" style="69" customWidth="1"/>
    <col min="2044" max="2044" width="16.85546875" style="69" customWidth="1"/>
    <col min="2045" max="2046" width="5.140625" style="69" customWidth="1"/>
    <col min="2047" max="2047" width="6.140625" style="69" bestFit="1" customWidth="1"/>
    <col min="2048" max="2048" width="5.28515625" style="69" customWidth="1"/>
    <col min="2049" max="2049" width="4.28515625" style="69" customWidth="1"/>
    <col min="2050" max="2050" width="7.28515625" style="69" customWidth="1"/>
    <col min="2051" max="2051" width="7.42578125" style="69" customWidth="1"/>
    <col min="2052" max="2052" width="5.42578125" style="69" customWidth="1"/>
    <col min="2053" max="2054" width="5.140625" style="69" customWidth="1"/>
    <col min="2055" max="2055" width="4.5703125" style="69" customWidth="1"/>
    <col min="2056" max="2056" width="8" style="69" customWidth="1"/>
    <col min="2057" max="2057" width="7.42578125" style="69" customWidth="1"/>
    <col min="2058" max="2058" width="6.140625" style="69" customWidth="1"/>
    <col min="2059" max="2059" width="5.42578125" style="69" customWidth="1"/>
    <col min="2060" max="2060" width="11.42578125" style="69"/>
    <col min="2061" max="2061" width="7.42578125" style="69" customWidth="1"/>
    <col min="2062" max="2062" width="7.28515625" style="69" customWidth="1"/>
    <col min="2063" max="2063" width="5.42578125" style="69" customWidth="1"/>
    <col min="2064" max="2064" width="7.7109375" style="69" customWidth="1"/>
    <col min="2065" max="2065" width="7.140625" style="69" customWidth="1"/>
    <col min="2066" max="2066" width="6" style="69" customWidth="1"/>
    <col min="2067" max="2067" width="7.5703125" style="69" customWidth="1"/>
    <col min="2068" max="2068" width="7.140625" style="69" customWidth="1"/>
    <col min="2069" max="2069" width="7.42578125" style="69" customWidth="1"/>
    <col min="2070" max="2070" width="5.7109375" style="69" customWidth="1"/>
    <col min="2071" max="2071" width="7.5703125" style="69" customWidth="1"/>
    <col min="2072" max="2072" width="7.85546875" style="69" customWidth="1"/>
    <col min="2073" max="2073" width="8" style="69" customWidth="1"/>
    <col min="2074" max="2074" width="5.85546875" style="69" customWidth="1"/>
    <col min="2075" max="2075" width="11.42578125" style="69"/>
    <col min="2076" max="2076" width="12.42578125" style="69" bestFit="1" customWidth="1"/>
    <col min="2077" max="2298" width="11.42578125" style="69"/>
    <col min="2299" max="2299" width="8" style="69" customWidth="1"/>
    <col min="2300" max="2300" width="16.85546875" style="69" customWidth="1"/>
    <col min="2301" max="2302" width="5.140625" style="69" customWidth="1"/>
    <col min="2303" max="2303" width="6.140625" style="69" bestFit="1" customWidth="1"/>
    <col min="2304" max="2304" width="5.28515625" style="69" customWidth="1"/>
    <col min="2305" max="2305" width="4.28515625" style="69" customWidth="1"/>
    <col min="2306" max="2306" width="7.28515625" style="69" customWidth="1"/>
    <col min="2307" max="2307" width="7.42578125" style="69" customWidth="1"/>
    <col min="2308" max="2308" width="5.42578125" style="69" customWidth="1"/>
    <col min="2309" max="2310" width="5.140625" style="69" customWidth="1"/>
    <col min="2311" max="2311" width="4.5703125" style="69" customWidth="1"/>
    <col min="2312" max="2312" width="8" style="69" customWidth="1"/>
    <col min="2313" max="2313" width="7.42578125" style="69" customWidth="1"/>
    <col min="2314" max="2314" width="6.140625" style="69" customWidth="1"/>
    <col min="2315" max="2315" width="5.42578125" style="69" customWidth="1"/>
    <col min="2316" max="2316" width="11.42578125" style="69"/>
    <col min="2317" max="2317" width="7.42578125" style="69" customWidth="1"/>
    <col min="2318" max="2318" width="7.28515625" style="69" customWidth="1"/>
    <col min="2319" max="2319" width="5.42578125" style="69" customWidth="1"/>
    <col min="2320" max="2320" width="7.7109375" style="69" customWidth="1"/>
    <col min="2321" max="2321" width="7.140625" style="69" customWidth="1"/>
    <col min="2322" max="2322" width="6" style="69" customWidth="1"/>
    <col min="2323" max="2323" width="7.5703125" style="69" customWidth="1"/>
    <col min="2324" max="2324" width="7.140625" style="69" customWidth="1"/>
    <col min="2325" max="2325" width="7.42578125" style="69" customWidth="1"/>
    <col min="2326" max="2326" width="5.7109375" style="69" customWidth="1"/>
    <col min="2327" max="2327" width="7.5703125" style="69" customWidth="1"/>
    <col min="2328" max="2328" width="7.85546875" style="69" customWidth="1"/>
    <col min="2329" max="2329" width="8" style="69" customWidth="1"/>
    <col min="2330" max="2330" width="5.85546875" style="69" customWidth="1"/>
    <col min="2331" max="2331" width="11.42578125" style="69"/>
    <col min="2332" max="2332" width="12.42578125" style="69" bestFit="1" customWidth="1"/>
    <col min="2333" max="2554" width="11.42578125" style="69"/>
    <col min="2555" max="2555" width="8" style="69" customWidth="1"/>
    <col min="2556" max="2556" width="16.85546875" style="69" customWidth="1"/>
    <col min="2557" max="2558" width="5.140625" style="69" customWidth="1"/>
    <col min="2559" max="2559" width="6.140625" style="69" bestFit="1" customWidth="1"/>
    <col min="2560" max="2560" width="5.28515625" style="69" customWidth="1"/>
    <col min="2561" max="2561" width="4.28515625" style="69" customWidth="1"/>
    <col min="2562" max="2562" width="7.28515625" style="69" customWidth="1"/>
    <col min="2563" max="2563" width="7.42578125" style="69" customWidth="1"/>
    <col min="2564" max="2564" width="5.42578125" style="69" customWidth="1"/>
    <col min="2565" max="2566" width="5.140625" style="69" customWidth="1"/>
    <col min="2567" max="2567" width="4.5703125" style="69" customWidth="1"/>
    <col min="2568" max="2568" width="8" style="69" customWidth="1"/>
    <col min="2569" max="2569" width="7.42578125" style="69" customWidth="1"/>
    <col min="2570" max="2570" width="6.140625" style="69" customWidth="1"/>
    <col min="2571" max="2571" width="5.42578125" style="69" customWidth="1"/>
    <col min="2572" max="2572" width="11.42578125" style="69"/>
    <col min="2573" max="2573" width="7.42578125" style="69" customWidth="1"/>
    <col min="2574" max="2574" width="7.28515625" style="69" customWidth="1"/>
    <col min="2575" max="2575" width="5.42578125" style="69" customWidth="1"/>
    <col min="2576" max="2576" width="7.7109375" style="69" customWidth="1"/>
    <col min="2577" max="2577" width="7.140625" style="69" customWidth="1"/>
    <col min="2578" max="2578" width="6" style="69" customWidth="1"/>
    <col min="2579" max="2579" width="7.5703125" style="69" customWidth="1"/>
    <col min="2580" max="2580" width="7.140625" style="69" customWidth="1"/>
    <col min="2581" max="2581" width="7.42578125" style="69" customWidth="1"/>
    <col min="2582" max="2582" width="5.7109375" style="69" customWidth="1"/>
    <col min="2583" max="2583" width="7.5703125" style="69" customWidth="1"/>
    <col min="2584" max="2584" width="7.85546875" style="69" customWidth="1"/>
    <col min="2585" max="2585" width="8" style="69" customWidth="1"/>
    <col min="2586" max="2586" width="5.85546875" style="69" customWidth="1"/>
    <col min="2587" max="2587" width="11.42578125" style="69"/>
    <col min="2588" max="2588" width="12.42578125" style="69" bestFit="1" customWidth="1"/>
    <col min="2589" max="2810" width="11.42578125" style="69"/>
    <col min="2811" max="2811" width="8" style="69" customWidth="1"/>
    <col min="2812" max="2812" width="16.85546875" style="69" customWidth="1"/>
    <col min="2813" max="2814" width="5.140625" style="69" customWidth="1"/>
    <col min="2815" max="2815" width="6.140625" style="69" bestFit="1" customWidth="1"/>
    <col min="2816" max="2816" width="5.28515625" style="69" customWidth="1"/>
    <col min="2817" max="2817" width="4.28515625" style="69" customWidth="1"/>
    <col min="2818" max="2818" width="7.28515625" style="69" customWidth="1"/>
    <col min="2819" max="2819" width="7.42578125" style="69" customWidth="1"/>
    <col min="2820" max="2820" width="5.42578125" style="69" customWidth="1"/>
    <col min="2821" max="2822" width="5.140625" style="69" customWidth="1"/>
    <col min="2823" max="2823" width="4.5703125" style="69" customWidth="1"/>
    <col min="2824" max="2824" width="8" style="69" customWidth="1"/>
    <col min="2825" max="2825" width="7.42578125" style="69" customWidth="1"/>
    <col min="2826" max="2826" width="6.140625" style="69" customWidth="1"/>
    <col min="2827" max="2827" width="5.42578125" style="69" customWidth="1"/>
    <col min="2828" max="2828" width="11.42578125" style="69"/>
    <col min="2829" max="2829" width="7.42578125" style="69" customWidth="1"/>
    <col min="2830" max="2830" width="7.28515625" style="69" customWidth="1"/>
    <col min="2831" max="2831" width="5.42578125" style="69" customWidth="1"/>
    <col min="2832" max="2832" width="7.7109375" style="69" customWidth="1"/>
    <col min="2833" max="2833" width="7.140625" style="69" customWidth="1"/>
    <col min="2834" max="2834" width="6" style="69" customWidth="1"/>
    <col min="2835" max="2835" width="7.5703125" style="69" customWidth="1"/>
    <col min="2836" max="2836" width="7.140625" style="69" customWidth="1"/>
    <col min="2837" max="2837" width="7.42578125" style="69" customWidth="1"/>
    <col min="2838" max="2838" width="5.7109375" style="69" customWidth="1"/>
    <col min="2839" max="2839" width="7.5703125" style="69" customWidth="1"/>
    <col min="2840" max="2840" width="7.85546875" style="69" customWidth="1"/>
    <col min="2841" max="2841" width="8" style="69" customWidth="1"/>
    <col min="2842" max="2842" width="5.85546875" style="69" customWidth="1"/>
    <col min="2843" max="2843" width="11.42578125" style="69"/>
    <col min="2844" max="2844" width="12.42578125" style="69" bestFit="1" customWidth="1"/>
    <col min="2845" max="3066" width="11.42578125" style="69"/>
    <col min="3067" max="3067" width="8" style="69" customWidth="1"/>
    <col min="3068" max="3068" width="16.85546875" style="69" customWidth="1"/>
    <col min="3069" max="3070" width="5.140625" style="69" customWidth="1"/>
    <col min="3071" max="3071" width="6.140625" style="69" bestFit="1" customWidth="1"/>
    <col min="3072" max="3072" width="5.28515625" style="69" customWidth="1"/>
    <col min="3073" max="3073" width="4.28515625" style="69" customWidth="1"/>
    <col min="3074" max="3074" width="7.28515625" style="69" customWidth="1"/>
    <col min="3075" max="3075" width="7.42578125" style="69" customWidth="1"/>
    <col min="3076" max="3076" width="5.42578125" style="69" customWidth="1"/>
    <col min="3077" max="3078" width="5.140625" style="69" customWidth="1"/>
    <col min="3079" max="3079" width="4.5703125" style="69" customWidth="1"/>
    <col min="3080" max="3080" width="8" style="69" customWidth="1"/>
    <col min="3081" max="3081" width="7.42578125" style="69" customWidth="1"/>
    <col min="3082" max="3082" width="6.140625" style="69" customWidth="1"/>
    <col min="3083" max="3083" width="5.42578125" style="69" customWidth="1"/>
    <col min="3084" max="3084" width="11.42578125" style="69"/>
    <col min="3085" max="3085" width="7.42578125" style="69" customWidth="1"/>
    <col min="3086" max="3086" width="7.28515625" style="69" customWidth="1"/>
    <col min="3087" max="3087" width="5.42578125" style="69" customWidth="1"/>
    <col min="3088" max="3088" width="7.7109375" style="69" customWidth="1"/>
    <col min="3089" max="3089" width="7.140625" style="69" customWidth="1"/>
    <col min="3090" max="3090" width="6" style="69" customWidth="1"/>
    <col min="3091" max="3091" width="7.5703125" style="69" customWidth="1"/>
    <col min="3092" max="3092" width="7.140625" style="69" customWidth="1"/>
    <col min="3093" max="3093" width="7.42578125" style="69" customWidth="1"/>
    <col min="3094" max="3094" width="5.7109375" style="69" customWidth="1"/>
    <col min="3095" max="3095" width="7.5703125" style="69" customWidth="1"/>
    <col min="3096" max="3096" width="7.85546875" style="69" customWidth="1"/>
    <col min="3097" max="3097" width="8" style="69" customWidth="1"/>
    <col min="3098" max="3098" width="5.85546875" style="69" customWidth="1"/>
    <col min="3099" max="3099" width="11.42578125" style="69"/>
    <col min="3100" max="3100" width="12.42578125" style="69" bestFit="1" customWidth="1"/>
    <col min="3101" max="3322" width="11.42578125" style="69"/>
    <col min="3323" max="3323" width="8" style="69" customWidth="1"/>
    <col min="3324" max="3324" width="16.85546875" style="69" customWidth="1"/>
    <col min="3325" max="3326" width="5.140625" style="69" customWidth="1"/>
    <col min="3327" max="3327" width="6.140625" style="69" bestFit="1" customWidth="1"/>
    <col min="3328" max="3328" width="5.28515625" style="69" customWidth="1"/>
    <col min="3329" max="3329" width="4.28515625" style="69" customWidth="1"/>
    <col min="3330" max="3330" width="7.28515625" style="69" customWidth="1"/>
    <col min="3331" max="3331" width="7.42578125" style="69" customWidth="1"/>
    <col min="3332" max="3332" width="5.42578125" style="69" customWidth="1"/>
    <col min="3333" max="3334" width="5.140625" style="69" customWidth="1"/>
    <col min="3335" max="3335" width="4.5703125" style="69" customWidth="1"/>
    <col min="3336" max="3336" width="8" style="69" customWidth="1"/>
    <col min="3337" max="3337" width="7.42578125" style="69" customWidth="1"/>
    <col min="3338" max="3338" width="6.140625" style="69" customWidth="1"/>
    <col min="3339" max="3339" width="5.42578125" style="69" customWidth="1"/>
    <col min="3340" max="3340" width="11.42578125" style="69"/>
    <col min="3341" max="3341" width="7.42578125" style="69" customWidth="1"/>
    <col min="3342" max="3342" width="7.28515625" style="69" customWidth="1"/>
    <col min="3343" max="3343" width="5.42578125" style="69" customWidth="1"/>
    <col min="3344" max="3344" width="7.7109375" style="69" customWidth="1"/>
    <col min="3345" max="3345" width="7.140625" style="69" customWidth="1"/>
    <col min="3346" max="3346" width="6" style="69" customWidth="1"/>
    <col min="3347" max="3347" width="7.5703125" style="69" customWidth="1"/>
    <col min="3348" max="3348" width="7.140625" style="69" customWidth="1"/>
    <col min="3349" max="3349" width="7.42578125" style="69" customWidth="1"/>
    <col min="3350" max="3350" width="5.7109375" style="69" customWidth="1"/>
    <col min="3351" max="3351" width="7.5703125" style="69" customWidth="1"/>
    <col min="3352" max="3352" width="7.85546875" style="69" customWidth="1"/>
    <col min="3353" max="3353" width="8" style="69" customWidth="1"/>
    <col min="3354" max="3354" width="5.85546875" style="69" customWidth="1"/>
    <col min="3355" max="3355" width="11.42578125" style="69"/>
    <col min="3356" max="3356" width="12.42578125" style="69" bestFit="1" customWidth="1"/>
    <col min="3357" max="3578" width="11.42578125" style="69"/>
    <col min="3579" max="3579" width="8" style="69" customWidth="1"/>
    <col min="3580" max="3580" width="16.85546875" style="69" customWidth="1"/>
    <col min="3581" max="3582" width="5.140625" style="69" customWidth="1"/>
    <col min="3583" max="3583" width="6.140625" style="69" bestFit="1" customWidth="1"/>
    <col min="3584" max="3584" width="5.28515625" style="69" customWidth="1"/>
    <col min="3585" max="3585" width="4.28515625" style="69" customWidth="1"/>
    <col min="3586" max="3586" width="7.28515625" style="69" customWidth="1"/>
    <col min="3587" max="3587" width="7.42578125" style="69" customWidth="1"/>
    <col min="3588" max="3588" width="5.42578125" style="69" customWidth="1"/>
    <col min="3589" max="3590" width="5.140625" style="69" customWidth="1"/>
    <col min="3591" max="3591" width="4.5703125" style="69" customWidth="1"/>
    <col min="3592" max="3592" width="8" style="69" customWidth="1"/>
    <col min="3593" max="3593" width="7.42578125" style="69" customWidth="1"/>
    <col min="3594" max="3594" width="6.140625" style="69" customWidth="1"/>
    <col min="3595" max="3595" width="5.42578125" style="69" customWidth="1"/>
    <col min="3596" max="3596" width="11.42578125" style="69"/>
    <col min="3597" max="3597" width="7.42578125" style="69" customWidth="1"/>
    <col min="3598" max="3598" width="7.28515625" style="69" customWidth="1"/>
    <col min="3599" max="3599" width="5.42578125" style="69" customWidth="1"/>
    <col min="3600" max="3600" width="7.7109375" style="69" customWidth="1"/>
    <col min="3601" max="3601" width="7.140625" style="69" customWidth="1"/>
    <col min="3602" max="3602" width="6" style="69" customWidth="1"/>
    <col min="3603" max="3603" width="7.5703125" style="69" customWidth="1"/>
    <col min="3604" max="3604" width="7.140625" style="69" customWidth="1"/>
    <col min="3605" max="3605" width="7.42578125" style="69" customWidth="1"/>
    <col min="3606" max="3606" width="5.7109375" style="69" customWidth="1"/>
    <col min="3607" max="3607" width="7.5703125" style="69" customWidth="1"/>
    <col min="3608" max="3608" width="7.85546875" style="69" customWidth="1"/>
    <col min="3609" max="3609" width="8" style="69" customWidth="1"/>
    <col min="3610" max="3610" width="5.85546875" style="69" customWidth="1"/>
    <col min="3611" max="3611" width="11.42578125" style="69"/>
    <col min="3612" max="3612" width="12.42578125" style="69" bestFit="1" customWidth="1"/>
    <col min="3613" max="3834" width="11.42578125" style="69"/>
    <col min="3835" max="3835" width="8" style="69" customWidth="1"/>
    <col min="3836" max="3836" width="16.85546875" style="69" customWidth="1"/>
    <col min="3837" max="3838" width="5.140625" style="69" customWidth="1"/>
    <col min="3839" max="3839" width="6.140625" style="69" bestFit="1" customWidth="1"/>
    <col min="3840" max="3840" width="5.28515625" style="69" customWidth="1"/>
    <col min="3841" max="3841" width="4.28515625" style="69" customWidth="1"/>
    <col min="3842" max="3842" width="7.28515625" style="69" customWidth="1"/>
    <col min="3843" max="3843" width="7.42578125" style="69" customWidth="1"/>
    <col min="3844" max="3844" width="5.42578125" style="69" customWidth="1"/>
    <col min="3845" max="3846" width="5.140625" style="69" customWidth="1"/>
    <col min="3847" max="3847" width="4.5703125" style="69" customWidth="1"/>
    <col min="3848" max="3848" width="8" style="69" customWidth="1"/>
    <col min="3849" max="3849" width="7.42578125" style="69" customWidth="1"/>
    <col min="3850" max="3850" width="6.140625" style="69" customWidth="1"/>
    <col min="3851" max="3851" width="5.42578125" style="69" customWidth="1"/>
    <col min="3852" max="3852" width="11.42578125" style="69"/>
    <col min="3853" max="3853" width="7.42578125" style="69" customWidth="1"/>
    <col min="3854" max="3854" width="7.28515625" style="69" customWidth="1"/>
    <col min="3855" max="3855" width="5.42578125" style="69" customWidth="1"/>
    <col min="3856" max="3856" width="7.7109375" style="69" customWidth="1"/>
    <col min="3857" max="3857" width="7.140625" style="69" customWidth="1"/>
    <col min="3858" max="3858" width="6" style="69" customWidth="1"/>
    <col min="3859" max="3859" width="7.5703125" style="69" customWidth="1"/>
    <col min="3860" max="3860" width="7.140625" style="69" customWidth="1"/>
    <col min="3861" max="3861" width="7.42578125" style="69" customWidth="1"/>
    <col min="3862" max="3862" width="5.7109375" style="69" customWidth="1"/>
    <col min="3863" max="3863" width="7.5703125" style="69" customWidth="1"/>
    <col min="3864" max="3864" width="7.85546875" style="69" customWidth="1"/>
    <col min="3865" max="3865" width="8" style="69" customWidth="1"/>
    <col min="3866" max="3866" width="5.85546875" style="69" customWidth="1"/>
    <col min="3867" max="3867" width="11.42578125" style="69"/>
    <col min="3868" max="3868" width="12.42578125" style="69" bestFit="1" customWidth="1"/>
    <col min="3869" max="4090" width="11.42578125" style="69"/>
    <col min="4091" max="4091" width="8" style="69" customWidth="1"/>
    <col min="4092" max="4092" width="16.85546875" style="69" customWidth="1"/>
    <col min="4093" max="4094" width="5.140625" style="69" customWidth="1"/>
    <col min="4095" max="4095" width="6.140625" style="69" bestFit="1" customWidth="1"/>
    <col min="4096" max="4096" width="5.28515625" style="69" customWidth="1"/>
    <col min="4097" max="4097" width="4.28515625" style="69" customWidth="1"/>
    <col min="4098" max="4098" width="7.28515625" style="69" customWidth="1"/>
    <col min="4099" max="4099" width="7.42578125" style="69" customWidth="1"/>
    <col min="4100" max="4100" width="5.42578125" style="69" customWidth="1"/>
    <col min="4101" max="4102" width="5.140625" style="69" customWidth="1"/>
    <col min="4103" max="4103" width="4.5703125" style="69" customWidth="1"/>
    <col min="4104" max="4104" width="8" style="69" customWidth="1"/>
    <col min="4105" max="4105" width="7.42578125" style="69" customWidth="1"/>
    <col min="4106" max="4106" width="6.140625" style="69" customWidth="1"/>
    <col min="4107" max="4107" width="5.42578125" style="69" customWidth="1"/>
    <col min="4108" max="4108" width="11.42578125" style="69"/>
    <col min="4109" max="4109" width="7.42578125" style="69" customWidth="1"/>
    <col min="4110" max="4110" width="7.28515625" style="69" customWidth="1"/>
    <col min="4111" max="4111" width="5.42578125" style="69" customWidth="1"/>
    <col min="4112" max="4112" width="7.7109375" style="69" customWidth="1"/>
    <col min="4113" max="4113" width="7.140625" style="69" customWidth="1"/>
    <col min="4114" max="4114" width="6" style="69" customWidth="1"/>
    <col min="4115" max="4115" width="7.5703125" style="69" customWidth="1"/>
    <col min="4116" max="4116" width="7.140625" style="69" customWidth="1"/>
    <col min="4117" max="4117" width="7.42578125" style="69" customWidth="1"/>
    <col min="4118" max="4118" width="5.7109375" style="69" customWidth="1"/>
    <col min="4119" max="4119" width="7.5703125" style="69" customWidth="1"/>
    <col min="4120" max="4120" width="7.85546875" style="69" customWidth="1"/>
    <col min="4121" max="4121" width="8" style="69" customWidth="1"/>
    <col min="4122" max="4122" width="5.85546875" style="69" customWidth="1"/>
    <col min="4123" max="4123" width="11.42578125" style="69"/>
    <col min="4124" max="4124" width="12.42578125" style="69" bestFit="1" customWidth="1"/>
    <col min="4125" max="4346" width="11.42578125" style="69"/>
    <col min="4347" max="4347" width="8" style="69" customWidth="1"/>
    <col min="4348" max="4348" width="16.85546875" style="69" customWidth="1"/>
    <col min="4349" max="4350" width="5.140625" style="69" customWidth="1"/>
    <col min="4351" max="4351" width="6.140625" style="69" bestFit="1" customWidth="1"/>
    <col min="4352" max="4352" width="5.28515625" style="69" customWidth="1"/>
    <col min="4353" max="4353" width="4.28515625" style="69" customWidth="1"/>
    <col min="4354" max="4354" width="7.28515625" style="69" customWidth="1"/>
    <col min="4355" max="4355" width="7.42578125" style="69" customWidth="1"/>
    <col min="4356" max="4356" width="5.42578125" style="69" customWidth="1"/>
    <col min="4357" max="4358" width="5.140625" style="69" customWidth="1"/>
    <col min="4359" max="4359" width="4.5703125" style="69" customWidth="1"/>
    <col min="4360" max="4360" width="8" style="69" customWidth="1"/>
    <col min="4361" max="4361" width="7.42578125" style="69" customWidth="1"/>
    <col min="4362" max="4362" width="6.140625" style="69" customWidth="1"/>
    <col min="4363" max="4363" width="5.42578125" style="69" customWidth="1"/>
    <col min="4364" max="4364" width="11.42578125" style="69"/>
    <col min="4365" max="4365" width="7.42578125" style="69" customWidth="1"/>
    <col min="4366" max="4366" width="7.28515625" style="69" customWidth="1"/>
    <col min="4367" max="4367" width="5.42578125" style="69" customWidth="1"/>
    <col min="4368" max="4368" width="7.7109375" style="69" customWidth="1"/>
    <col min="4369" max="4369" width="7.140625" style="69" customWidth="1"/>
    <col min="4370" max="4370" width="6" style="69" customWidth="1"/>
    <col min="4371" max="4371" width="7.5703125" style="69" customWidth="1"/>
    <col min="4372" max="4372" width="7.140625" style="69" customWidth="1"/>
    <col min="4373" max="4373" width="7.42578125" style="69" customWidth="1"/>
    <col min="4374" max="4374" width="5.7109375" style="69" customWidth="1"/>
    <col min="4375" max="4375" width="7.5703125" style="69" customWidth="1"/>
    <col min="4376" max="4376" width="7.85546875" style="69" customWidth="1"/>
    <col min="4377" max="4377" width="8" style="69" customWidth="1"/>
    <col min="4378" max="4378" width="5.85546875" style="69" customWidth="1"/>
    <col min="4379" max="4379" width="11.42578125" style="69"/>
    <col min="4380" max="4380" width="12.42578125" style="69" bestFit="1" customWidth="1"/>
    <col min="4381" max="4602" width="11.42578125" style="69"/>
    <col min="4603" max="4603" width="8" style="69" customWidth="1"/>
    <col min="4604" max="4604" width="16.85546875" style="69" customWidth="1"/>
    <col min="4605" max="4606" width="5.140625" style="69" customWidth="1"/>
    <col min="4607" max="4607" width="6.140625" style="69" bestFit="1" customWidth="1"/>
    <col min="4608" max="4608" width="5.28515625" style="69" customWidth="1"/>
    <col min="4609" max="4609" width="4.28515625" style="69" customWidth="1"/>
    <col min="4610" max="4610" width="7.28515625" style="69" customWidth="1"/>
    <col min="4611" max="4611" width="7.42578125" style="69" customWidth="1"/>
    <col min="4612" max="4612" width="5.42578125" style="69" customWidth="1"/>
    <col min="4613" max="4614" width="5.140625" style="69" customWidth="1"/>
    <col min="4615" max="4615" width="4.5703125" style="69" customWidth="1"/>
    <col min="4616" max="4616" width="8" style="69" customWidth="1"/>
    <col min="4617" max="4617" width="7.42578125" style="69" customWidth="1"/>
    <col min="4618" max="4618" width="6.140625" style="69" customWidth="1"/>
    <col min="4619" max="4619" width="5.42578125" style="69" customWidth="1"/>
    <col min="4620" max="4620" width="11.42578125" style="69"/>
    <col min="4621" max="4621" width="7.42578125" style="69" customWidth="1"/>
    <col min="4622" max="4622" width="7.28515625" style="69" customWidth="1"/>
    <col min="4623" max="4623" width="5.42578125" style="69" customWidth="1"/>
    <col min="4624" max="4624" width="7.7109375" style="69" customWidth="1"/>
    <col min="4625" max="4625" width="7.140625" style="69" customWidth="1"/>
    <col min="4626" max="4626" width="6" style="69" customWidth="1"/>
    <col min="4627" max="4627" width="7.5703125" style="69" customWidth="1"/>
    <col min="4628" max="4628" width="7.140625" style="69" customWidth="1"/>
    <col min="4629" max="4629" width="7.42578125" style="69" customWidth="1"/>
    <col min="4630" max="4630" width="5.7109375" style="69" customWidth="1"/>
    <col min="4631" max="4631" width="7.5703125" style="69" customWidth="1"/>
    <col min="4632" max="4632" width="7.85546875" style="69" customWidth="1"/>
    <col min="4633" max="4633" width="8" style="69" customWidth="1"/>
    <col min="4634" max="4634" width="5.85546875" style="69" customWidth="1"/>
    <col min="4635" max="4635" width="11.42578125" style="69"/>
    <col min="4636" max="4636" width="12.42578125" style="69" bestFit="1" customWidth="1"/>
    <col min="4637" max="4858" width="11.42578125" style="69"/>
    <col min="4859" max="4859" width="8" style="69" customWidth="1"/>
    <col min="4860" max="4860" width="16.85546875" style="69" customWidth="1"/>
    <col min="4861" max="4862" width="5.140625" style="69" customWidth="1"/>
    <col min="4863" max="4863" width="6.140625" style="69" bestFit="1" customWidth="1"/>
    <col min="4864" max="4864" width="5.28515625" style="69" customWidth="1"/>
    <col min="4865" max="4865" width="4.28515625" style="69" customWidth="1"/>
    <col min="4866" max="4866" width="7.28515625" style="69" customWidth="1"/>
    <col min="4867" max="4867" width="7.42578125" style="69" customWidth="1"/>
    <col min="4868" max="4868" width="5.42578125" style="69" customWidth="1"/>
    <col min="4869" max="4870" width="5.140625" style="69" customWidth="1"/>
    <col min="4871" max="4871" width="4.5703125" style="69" customWidth="1"/>
    <col min="4872" max="4872" width="8" style="69" customWidth="1"/>
    <col min="4873" max="4873" width="7.42578125" style="69" customWidth="1"/>
    <col min="4874" max="4874" width="6.140625" style="69" customWidth="1"/>
    <col min="4875" max="4875" width="5.42578125" style="69" customWidth="1"/>
    <col min="4876" max="4876" width="11.42578125" style="69"/>
    <col min="4877" max="4877" width="7.42578125" style="69" customWidth="1"/>
    <col min="4878" max="4878" width="7.28515625" style="69" customWidth="1"/>
    <col min="4879" max="4879" width="5.42578125" style="69" customWidth="1"/>
    <col min="4880" max="4880" width="7.7109375" style="69" customWidth="1"/>
    <col min="4881" max="4881" width="7.140625" style="69" customWidth="1"/>
    <col min="4882" max="4882" width="6" style="69" customWidth="1"/>
    <col min="4883" max="4883" width="7.5703125" style="69" customWidth="1"/>
    <col min="4884" max="4884" width="7.140625" style="69" customWidth="1"/>
    <col min="4885" max="4885" width="7.42578125" style="69" customWidth="1"/>
    <col min="4886" max="4886" width="5.7109375" style="69" customWidth="1"/>
    <col min="4887" max="4887" width="7.5703125" style="69" customWidth="1"/>
    <col min="4888" max="4888" width="7.85546875" style="69" customWidth="1"/>
    <col min="4889" max="4889" width="8" style="69" customWidth="1"/>
    <col min="4890" max="4890" width="5.85546875" style="69" customWidth="1"/>
    <col min="4891" max="4891" width="11.42578125" style="69"/>
    <col min="4892" max="4892" width="12.42578125" style="69" bestFit="1" customWidth="1"/>
    <col min="4893" max="5114" width="11.42578125" style="69"/>
    <col min="5115" max="5115" width="8" style="69" customWidth="1"/>
    <col min="5116" max="5116" width="16.85546875" style="69" customWidth="1"/>
    <col min="5117" max="5118" width="5.140625" style="69" customWidth="1"/>
    <col min="5119" max="5119" width="6.140625" style="69" bestFit="1" customWidth="1"/>
    <col min="5120" max="5120" width="5.28515625" style="69" customWidth="1"/>
    <col min="5121" max="5121" width="4.28515625" style="69" customWidth="1"/>
    <col min="5122" max="5122" width="7.28515625" style="69" customWidth="1"/>
    <col min="5123" max="5123" width="7.42578125" style="69" customWidth="1"/>
    <col min="5124" max="5124" width="5.42578125" style="69" customWidth="1"/>
    <col min="5125" max="5126" width="5.140625" style="69" customWidth="1"/>
    <col min="5127" max="5127" width="4.5703125" style="69" customWidth="1"/>
    <col min="5128" max="5128" width="8" style="69" customWidth="1"/>
    <col min="5129" max="5129" width="7.42578125" style="69" customWidth="1"/>
    <col min="5130" max="5130" width="6.140625" style="69" customWidth="1"/>
    <col min="5131" max="5131" width="5.42578125" style="69" customWidth="1"/>
    <col min="5132" max="5132" width="11.42578125" style="69"/>
    <col min="5133" max="5133" width="7.42578125" style="69" customWidth="1"/>
    <col min="5134" max="5134" width="7.28515625" style="69" customWidth="1"/>
    <col min="5135" max="5135" width="5.42578125" style="69" customWidth="1"/>
    <col min="5136" max="5136" width="7.7109375" style="69" customWidth="1"/>
    <col min="5137" max="5137" width="7.140625" style="69" customWidth="1"/>
    <col min="5138" max="5138" width="6" style="69" customWidth="1"/>
    <col min="5139" max="5139" width="7.5703125" style="69" customWidth="1"/>
    <col min="5140" max="5140" width="7.140625" style="69" customWidth="1"/>
    <col min="5141" max="5141" width="7.42578125" style="69" customWidth="1"/>
    <col min="5142" max="5142" width="5.7109375" style="69" customWidth="1"/>
    <col min="5143" max="5143" width="7.5703125" style="69" customWidth="1"/>
    <col min="5144" max="5144" width="7.85546875" style="69" customWidth="1"/>
    <col min="5145" max="5145" width="8" style="69" customWidth="1"/>
    <col min="5146" max="5146" width="5.85546875" style="69" customWidth="1"/>
    <col min="5147" max="5147" width="11.42578125" style="69"/>
    <col min="5148" max="5148" width="12.42578125" style="69" bestFit="1" customWidth="1"/>
    <col min="5149" max="5370" width="11.42578125" style="69"/>
    <col min="5371" max="5371" width="8" style="69" customWidth="1"/>
    <col min="5372" max="5372" width="16.85546875" style="69" customWidth="1"/>
    <col min="5373" max="5374" width="5.140625" style="69" customWidth="1"/>
    <col min="5375" max="5375" width="6.140625" style="69" bestFit="1" customWidth="1"/>
    <col min="5376" max="5376" width="5.28515625" style="69" customWidth="1"/>
    <col min="5377" max="5377" width="4.28515625" style="69" customWidth="1"/>
    <col min="5378" max="5378" width="7.28515625" style="69" customWidth="1"/>
    <col min="5379" max="5379" width="7.42578125" style="69" customWidth="1"/>
    <col min="5380" max="5380" width="5.42578125" style="69" customWidth="1"/>
    <col min="5381" max="5382" width="5.140625" style="69" customWidth="1"/>
    <col min="5383" max="5383" width="4.5703125" style="69" customWidth="1"/>
    <col min="5384" max="5384" width="8" style="69" customWidth="1"/>
    <col min="5385" max="5385" width="7.42578125" style="69" customWidth="1"/>
    <col min="5386" max="5386" width="6.140625" style="69" customWidth="1"/>
    <col min="5387" max="5387" width="5.42578125" style="69" customWidth="1"/>
    <col min="5388" max="5388" width="11.42578125" style="69"/>
    <col min="5389" max="5389" width="7.42578125" style="69" customWidth="1"/>
    <col min="5390" max="5390" width="7.28515625" style="69" customWidth="1"/>
    <col min="5391" max="5391" width="5.42578125" style="69" customWidth="1"/>
    <col min="5392" max="5392" width="7.7109375" style="69" customWidth="1"/>
    <col min="5393" max="5393" width="7.140625" style="69" customWidth="1"/>
    <col min="5394" max="5394" width="6" style="69" customWidth="1"/>
    <col min="5395" max="5395" width="7.5703125" style="69" customWidth="1"/>
    <col min="5396" max="5396" width="7.140625" style="69" customWidth="1"/>
    <col min="5397" max="5397" width="7.42578125" style="69" customWidth="1"/>
    <col min="5398" max="5398" width="5.7109375" style="69" customWidth="1"/>
    <col min="5399" max="5399" width="7.5703125" style="69" customWidth="1"/>
    <col min="5400" max="5400" width="7.85546875" style="69" customWidth="1"/>
    <col min="5401" max="5401" width="8" style="69" customWidth="1"/>
    <col min="5402" max="5402" width="5.85546875" style="69" customWidth="1"/>
    <col min="5403" max="5403" width="11.42578125" style="69"/>
    <col min="5404" max="5404" width="12.42578125" style="69" bestFit="1" customWidth="1"/>
    <col min="5405" max="5626" width="11.42578125" style="69"/>
    <col min="5627" max="5627" width="8" style="69" customWidth="1"/>
    <col min="5628" max="5628" width="16.85546875" style="69" customWidth="1"/>
    <col min="5629" max="5630" width="5.140625" style="69" customWidth="1"/>
    <col min="5631" max="5631" width="6.140625" style="69" bestFit="1" customWidth="1"/>
    <col min="5632" max="5632" width="5.28515625" style="69" customWidth="1"/>
    <col min="5633" max="5633" width="4.28515625" style="69" customWidth="1"/>
    <col min="5634" max="5634" width="7.28515625" style="69" customWidth="1"/>
    <col min="5635" max="5635" width="7.42578125" style="69" customWidth="1"/>
    <col min="5636" max="5636" width="5.42578125" style="69" customWidth="1"/>
    <col min="5637" max="5638" width="5.140625" style="69" customWidth="1"/>
    <col min="5639" max="5639" width="4.5703125" style="69" customWidth="1"/>
    <col min="5640" max="5640" width="8" style="69" customWidth="1"/>
    <col min="5641" max="5641" width="7.42578125" style="69" customWidth="1"/>
    <col min="5642" max="5642" width="6.140625" style="69" customWidth="1"/>
    <col min="5643" max="5643" width="5.42578125" style="69" customWidth="1"/>
    <col min="5644" max="5644" width="11.42578125" style="69"/>
    <col min="5645" max="5645" width="7.42578125" style="69" customWidth="1"/>
    <col min="5646" max="5646" width="7.28515625" style="69" customWidth="1"/>
    <col min="5647" max="5647" width="5.42578125" style="69" customWidth="1"/>
    <col min="5648" max="5648" width="7.7109375" style="69" customWidth="1"/>
    <col min="5649" max="5649" width="7.140625" style="69" customWidth="1"/>
    <col min="5650" max="5650" width="6" style="69" customWidth="1"/>
    <col min="5651" max="5651" width="7.5703125" style="69" customWidth="1"/>
    <col min="5652" max="5652" width="7.140625" style="69" customWidth="1"/>
    <col min="5653" max="5653" width="7.42578125" style="69" customWidth="1"/>
    <col min="5654" max="5654" width="5.7109375" style="69" customWidth="1"/>
    <col min="5655" max="5655" width="7.5703125" style="69" customWidth="1"/>
    <col min="5656" max="5656" width="7.85546875" style="69" customWidth="1"/>
    <col min="5657" max="5657" width="8" style="69" customWidth="1"/>
    <col min="5658" max="5658" width="5.85546875" style="69" customWidth="1"/>
    <col min="5659" max="5659" width="11.42578125" style="69"/>
    <col min="5660" max="5660" width="12.42578125" style="69" bestFit="1" customWidth="1"/>
    <col min="5661" max="5882" width="11.42578125" style="69"/>
    <col min="5883" max="5883" width="8" style="69" customWidth="1"/>
    <col min="5884" max="5884" width="16.85546875" style="69" customWidth="1"/>
    <col min="5885" max="5886" width="5.140625" style="69" customWidth="1"/>
    <col min="5887" max="5887" width="6.140625" style="69" bestFit="1" customWidth="1"/>
    <col min="5888" max="5888" width="5.28515625" style="69" customWidth="1"/>
    <col min="5889" max="5889" width="4.28515625" style="69" customWidth="1"/>
    <col min="5890" max="5890" width="7.28515625" style="69" customWidth="1"/>
    <col min="5891" max="5891" width="7.42578125" style="69" customWidth="1"/>
    <col min="5892" max="5892" width="5.42578125" style="69" customWidth="1"/>
    <col min="5893" max="5894" width="5.140625" style="69" customWidth="1"/>
    <col min="5895" max="5895" width="4.5703125" style="69" customWidth="1"/>
    <col min="5896" max="5896" width="8" style="69" customWidth="1"/>
    <col min="5897" max="5897" width="7.42578125" style="69" customWidth="1"/>
    <col min="5898" max="5898" width="6.140625" style="69" customWidth="1"/>
    <col min="5899" max="5899" width="5.42578125" style="69" customWidth="1"/>
    <col min="5900" max="5900" width="11.42578125" style="69"/>
    <col min="5901" max="5901" width="7.42578125" style="69" customWidth="1"/>
    <col min="5902" max="5902" width="7.28515625" style="69" customWidth="1"/>
    <col min="5903" max="5903" width="5.42578125" style="69" customWidth="1"/>
    <col min="5904" max="5904" width="7.7109375" style="69" customWidth="1"/>
    <col min="5905" max="5905" width="7.140625" style="69" customWidth="1"/>
    <col min="5906" max="5906" width="6" style="69" customWidth="1"/>
    <col min="5907" max="5907" width="7.5703125" style="69" customWidth="1"/>
    <col min="5908" max="5908" width="7.140625" style="69" customWidth="1"/>
    <col min="5909" max="5909" width="7.42578125" style="69" customWidth="1"/>
    <col min="5910" max="5910" width="5.7109375" style="69" customWidth="1"/>
    <col min="5911" max="5911" width="7.5703125" style="69" customWidth="1"/>
    <col min="5912" max="5912" width="7.85546875" style="69" customWidth="1"/>
    <col min="5913" max="5913" width="8" style="69" customWidth="1"/>
    <col min="5914" max="5914" width="5.85546875" style="69" customWidth="1"/>
    <col min="5915" max="5915" width="11.42578125" style="69"/>
    <col min="5916" max="5916" width="12.42578125" style="69" bestFit="1" customWidth="1"/>
    <col min="5917" max="6138" width="11.42578125" style="69"/>
    <col min="6139" max="6139" width="8" style="69" customWidth="1"/>
    <col min="6140" max="6140" width="16.85546875" style="69" customWidth="1"/>
    <col min="6141" max="6142" width="5.140625" style="69" customWidth="1"/>
    <col min="6143" max="6143" width="6.140625" style="69" bestFit="1" customWidth="1"/>
    <col min="6144" max="6144" width="5.28515625" style="69" customWidth="1"/>
    <col min="6145" max="6145" width="4.28515625" style="69" customWidth="1"/>
    <col min="6146" max="6146" width="7.28515625" style="69" customWidth="1"/>
    <col min="6147" max="6147" width="7.42578125" style="69" customWidth="1"/>
    <col min="6148" max="6148" width="5.42578125" style="69" customWidth="1"/>
    <col min="6149" max="6150" width="5.140625" style="69" customWidth="1"/>
    <col min="6151" max="6151" width="4.5703125" style="69" customWidth="1"/>
    <col min="6152" max="6152" width="8" style="69" customWidth="1"/>
    <col min="6153" max="6153" width="7.42578125" style="69" customWidth="1"/>
    <col min="6154" max="6154" width="6.140625" style="69" customWidth="1"/>
    <col min="6155" max="6155" width="5.42578125" style="69" customWidth="1"/>
    <col min="6156" max="6156" width="11.42578125" style="69"/>
    <col min="6157" max="6157" width="7.42578125" style="69" customWidth="1"/>
    <col min="6158" max="6158" width="7.28515625" style="69" customWidth="1"/>
    <col min="6159" max="6159" width="5.42578125" style="69" customWidth="1"/>
    <col min="6160" max="6160" width="7.7109375" style="69" customWidth="1"/>
    <col min="6161" max="6161" width="7.140625" style="69" customWidth="1"/>
    <col min="6162" max="6162" width="6" style="69" customWidth="1"/>
    <col min="6163" max="6163" width="7.5703125" style="69" customWidth="1"/>
    <col min="6164" max="6164" width="7.140625" style="69" customWidth="1"/>
    <col min="6165" max="6165" width="7.42578125" style="69" customWidth="1"/>
    <col min="6166" max="6166" width="5.7109375" style="69" customWidth="1"/>
    <col min="6167" max="6167" width="7.5703125" style="69" customWidth="1"/>
    <col min="6168" max="6168" width="7.85546875" style="69" customWidth="1"/>
    <col min="6169" max="6169" width="8" style="69" customWidth="1"/>
    <col min="6170" max="6170" width="5.85546875" style="69" customWidth="1"/>
    <col min="6171" max="6171" width="11.42578125" style="69"/>
    <col min="6172" max="6172" width="12.42578125" style="69" bestFit="1" customWidth="1"/>
    <col min="6173" max="6394" width="11.42578125" style="69"/>
    <col min="6395" max="6395" width="8" style="69" customWidth="1"/>
    <col min="6396" max="6396" width="16.85546875" style="69" customWidth="1"/>
    <col min="6397" max="6398" width="5.140625" style="69" customWidth="1"/>
    <col min="6399" max="6399" width="6.140625" style="69" bestFit="1" customWidth="1"/>
    <col min="6400" max="6400" width="5.28515625" style="69" customWidth="1"/>
    <col min="6401" max="6401" width="4.28515625" style="69" customWidth="1"/>
    <col min="6402" max="6402" width="7.28515625" style="69" customWidth="1"/>
    <col min="6403" max="6403" width="7.42578125" style="69" customWidth="1"/>
    <col min="6404" max="6404" width="5.42578125" style="69" customWidth="1"/>
    <col min="6405" max="6406" width="5.140625" style="69" customWidth="1"/>
    <col min="6407" max="6407" width="4.5703125" style="69" customWidth="1"/>
    <col min="6408" max="6408" width="8" style="69" customWidth="1"/>
    <col min="6409" max="6409" width="7.42578125" style="69" customWidth="1"/>
    <col min="6410" max="6410" width="6.140625" style="69" customWidth="1"/>
    <col min="6411" max="6411" width="5.42578125" style="69" customWidth="1"/>
    <col min="6412" max="6412" width="11.42578125" style="69"/>
    <col min="6413" max="6413" width="7.42578125" style="69" customWidth="1"/>
    <col min="6414" max="6414" width="7.28515625" style="69" customWidth="1"/>
    <col min="6415" max="6415" width="5.42578125" style="69" customWidth="1"/>
    <col min="6416" max="6416" width="7.7109375" style="69" customWidth="1"/>
    <col min="6417" max="6417" width="7.140625" style="69" customWidth="1"/>
    <col min="6418" max="6418" width="6" style="69" customWidth="1"/>
    <col min="6419" max="6419" width="7.5703125" style="69" customWidth="1"/>
    <col min="6420" max="6420" width="7.140625" style="69" customWidth="1"/>
    <col min="6421" max="6421" width="7.42578125" style="69" customWidth="1"/>
    <col min="6422" max="6422" width="5.7109375" style="69" customWidth="1"/>
    <col min="6423" max="6423" width="7.5703125" style="69" customWidth="1"/>
    <col min="6424" max="6424" width="7.85546875" style="69" customWidth="1"/>
    <col min="6425" max="6425" width="8" style="69" customWidth="1"/>
    <col min="6426" max="6426" width="5.85546875" style="69" customWidth="1"/>
    <col min="6427" max="6427" width="11.42578125" style="69"/>
    <col min="6428" max="6428" width="12.42578125" style="69" bestFit="1" customWidth="1"/>
    <col min="6429" max="6650" width="11.42578125" style="69"/>
    <col min="6651" max="6651" width="8" style="69" customWidth="1"/>
    <col min="6652" max="6652" width="16.85546875" style="69" customWidth="1"/>
    <col min="6653" max="6654" width="5.140625" style="69" customWidth="1"/>
    <col min="6655" max="6655" width="6.140625" style="69" bestFit="1" customWidth="1"/>
    <col min="6656" max="6656" width="5.28515625" style="69" customWidth="1"/>
    <col min="6657" max="6657" width="4.28515625" style="69" customWidth="1"/>
    <col min="6658" max="6658" width="7.28515625" style="69" customWidth="1"/>
    <col min="6659" max="6659" width="7.42578125" style="69" customWidth="1"/>
    <col min="6660" max="6660" width="5.42578125" style="69" customWidth="1"/>
    <col min="6661" max="6662" width="5.140625" style="69" customWidth="1"/>
    <col min="6663" max="6663" width="4.5703125" style="69" customWidth="1"/>
    <col min="6664" max="6664" width="8" style="69" customWidth="1"/>
    <col min="6665" max="6665" width="7.42578125" style="69" customWidth="1"/>
    <col min="6666" max="6666" width="6.140625" style="69" customWidth="1"/>
    <col min="6667" max="6667" width="5.42578125" style="69" customWidth="1"/>
    <col min="6668" max="6668" width="11.42578125" style="69"/>
    <col min="6669" max="6669" width="7.42578125" style="69" customWidth="1"/>
    <col min="6670" max="6670" width="7.28515625" style="69" customWidth="1"/>
    <col min="6671" max="6671" width="5.42578125" style="69" customWidth="1"/>
    <col min="6672" max="6672" width="7.7109375" style="69" customWidth="1"/>
    <col min="6673" max="6673" width="7.140625" style="69" customWidth="1"/>
    <col min="6674" max="6674" width="6" style="69" customWidth="1"/>
    <col min="6675" max="6675" width="7.5703125" style="69" customWidth="1"/>
    <col min="6676" max="6676" width="7.140625" style="69" customWidth="1"/>
    <col min="6677" max="6677" width="7.42578125" style="69" customWidth="1"/>
    <col min="6678" max="6678" width="5.7109375" style="69" customWidth="1"/>
    <col min="6679" max="6679" width="7.5703125" style="69" customWidth="1"/>
    <col min="6680" max="6680" width="7.85546875" style="69" customWidth="1"/>
    <col min="6681" max="6681" width="8" style="69" customWidth="1"/>
    <col min="6682" max="6682" width="5.85546875" style="69" customWidth="1"/>
    <col min="6683" max="6683" width="11.42578125" style="69"/>
    <col min="6684" max="6684" width="12.42578125" style="69" bestFit="1" customWidth="1"/>
    <col min="6685" max="6906" width="11.42578125" style="69"/>
    <col min="6907" max="6907" width="8" style="69" customWidth="1"/>
    <col min="6908" max="6908" width="16.85546875" style="69" customWidth="1"/>
    <col min="6909" max="6910" width="5.140625" style="69" customWidth="1"/>
    <col min="6911" max="6911" width="6.140625" style="69" bestFit="1" customWidth="1"/>
    <col min="6912" max="6912" width="5.28515625" style="69" customWidth="1"/>
    <col min="6913" max="6913" width="4.28515625" style="69" customWidth="1"/>
    <col min="6914" max="6914" width="7.28515625" style="69" customWidth="1"/>
    <col min="6915" max="6915" width="7.42578125" style="69" customWidth="1"/>
    <col min="6916" max="6916" width="5.42578125" style="69" customWidth="1"/>
    <col min="6917" max="6918" width="5.140625" style="69" customWidth="1"/>
    <col min="6919" max="6919" width="4.5703125" style="69" customWidth="1"/>
    <col min="6920" max="6920" width="8" style="69" customWidth="1"/>
    <col min="6921" max="6921" width="7.42578125" style="69" customWidth="1"/>
    <col min="6922" max="6922" width="6.140625" style="69" customWidth="1"/>
    <col min="6923" max="6923" width="5.42578125" style="69" customWidth="1"/>
    <col min="6924" max="6924" width="11.42578125" style="69"/>
    <col min="6925" max="6925" width="7.42578125" style="69" customWidth="1"/>
    <col min="6926" max="6926" width="7.28515625" style="69" customWidth="1"/>
    <col min="6927" max="6927" width="5.42578125" style="69" customWidth="1"/>
    <col min="6928" max="6928" width="7.7109375" style="69" customWidth="1"/>
    <col min="6929" max="6929" width="7.140625" style="69" customWidth="1"/>
    <col min="6930" max="6930" width="6" style="69" customWidth="1"/>
    <col min="6931" max="6931" width="7.5703125" style="69" customWidth="1"/>
    <col min="6932" max="6932" width="7.140625" style="69" customWidth="1"/>
    <col min="6933" max="6933" width="7.42578125" style="69" customWidth="1"/>
    <col min="6934" max="6934" width="5.7109375" style="69" customWidth="1"/>
    <col min="6935" max="6935" width="7.5703125" style="69" customWidth="1"/>
    <col min="6936" max="6936" width="7.85546875" style="69" customWidth="1"/>
    <col min="6937" max="6937" width="8" style="69" customWidth="1"/>
    <col min="6938" max="6938" width="5.85546875" style="69" customWidth="1"/>
    <col min="6939" max="6939" width="11.42578125" style="69"/>
    <col min="6940" max="6940" width="12.42578125" style="69" bestFit="1" customWidth="1"/>
    <col min="6941" max="7162" width="11.42578125" style="69"/>
    <col min="7163" max="7163" width="8" style="69" customWidth="1"/>
    <col min="7164" max="7164" width="16.85546875" style="69" customWidth="1"/>
    <col min="7165" max="7166" width="5.140625" style="69" customWidth="1"/>
    <col min="7167" max="7167" width="6.140625" style="69" bestFit="1" customWidth="1"/>
    <col min="7168" max="7168" width="5.28515625" style="69" customWidth="1"/>
    <col min="7169" max="7169" width="4.28515625" style="69" customWidth="1"/>
    <col min="7170" max="7170" width="7.28515625" style="69" customWidth="1"/>
    <col min="7171" max="7171" width="7.42578125" style="69" customWidth="1"/>
    <col min="7172" max="7172" width="5.42578125" style="69" customWidth="1"/>
    <col min="7173" max="7174" width="5.140625" style="69" customWidth="1"/>
    <col min="7175" max="7175" width="4.5703125" style="69" customWidth="1"/>
    <col min="7176" max="7176" width="8" style="69" customWidth="1"/>
    <col min="7177" max="7177" width="7.42578125" style="69" customWidth="1"/>
    <col min="7178" max="7178" width="6.140625" style="69" customWidth="1"/>
    <col min="7179" max="7179" width="5.42578125" style="69" customWidth="1"/>
    <col min="7180" max="7180" width="11.42578125" style="69"/>
    <col min="7181" max="7181" width="7.42578125" style="69" customWidth="1"/>
    <col min="7182" max="7182" width="7.28515625" style="69" customWidth="1"/>
    <col min="7183" max="7183" width="5.42578125" style="69" customWidth="1"/>
    <col min="7184" max="7184" width="7.7109375" style="69" customWidth="1"/>
    <col min="7185" max="7185" width="7.140625" style="69" customWidth="1"/>
    <col min="7186" max="7186" width="6" style="69" customWidth="1"/>
    <col min="7187" max="7187" width="7.5703125" style="69" customWidth="1"/>
    <col min="7188" max="7188" width="7.140625" style="69" customWidth="1"/>
    <col min="7189" max="7189" width="7.42578125" style="69" customWidth="1"/>
    <col min="7190" max="7190" width="5.7109375" style="69" customWidth="1"/>
    <col min="7191" max="7191" width="7.5703125" style="69" customWidth="1"/>
    <col min="7192" max="7192" width="7.85546875" style="69" customWidth="1"/>
    <col min="7193" max="7193" width="8" style="69" customWidth="1"/>
    <col min="7194" max="7194" width="5.85546875" style="69" customWidth="1"/>
    <col min="7195" max="7195" width="11.42578125" style="69"/>
    <col min="7196" max="7196" width="12.42578125" style="69" bestFit="1" customWidth="1"/>
    <col min="7197" max="7418" width="11.42578125" style="69"/>
    <col min="7419" max="7419" width="8" style="69" customWidth="1"/>
    <col min="7420" max="7420" width="16.85546875" style="69" customWidth="1"/>
    <col min="7421" max="7422" width="5.140625" style="69" customWidth="1"/>
    <col min="7423" max="7423" width="6.140625" style="69" bestFit="1" customWidth="1"/>
    <col min="7424" max="7424" width="5.28515625" style="69" customWidth="1"/>
    <col min="7425" max="7425" width="4.28515625" style="69" customWidth="1"/>
    <col min="7426" max="7426" width="7.28515625" style="69" customWidth="1"/>
    <col min="7427" max="7427" width="7.42578125" style="69" customWidth="1"/>
    <col min="7428" max="7428" width="5.42578125" style="69" customWidth="1"/>
    <col min="7429" max="7430" width="5.140625" style="69" customWidth="1"/>
    <col min="7431" max="7431" width="4.5703125" style="69" customWidth="1"/>
    <col min="7432" max="7432" width="8" style="69" customWidth="1"/>
    <col min="7433" max="7433" width="7.42578125" style="69" customWidth="1"/>
    <col min="7434" max="7434" width="6.140625" style="69" customWidth="1"/>
    <col min="7435" max="7435" width="5.42578125" style="69" customWidth="1"/>
    <col min="7436" max="7436" width="11.42578125" style="69"/>
    <col min="7437" max="7437" width="7.42578125" style="69" customWidth="1"/>
    <col min="7438" max="7438" width="7.28515625" style="69" customWidth="1"/>
    <col min="7439" max="7439" width="5.42578125" style="69" customWidth="1"/>
    <col min="7440" max="7440" width="7.7109375" style="69" customWidth="1"/>
    <col min="7441" max="7441" width="7.140625" style="69" customWidth="1"/>
    <col min="7442" max="7442" width="6" style="69" customWidth="1"/>
    <col min="7443" max="7443" width="7.5703125" style="69" customWidth="1"/>
    <col min="7444" max="7444" width="7.140625" style="69" customWidth="1"/>
    <col min="7445" max="7445" width="7.42578125" style="69" customWidth="1"/>
    <col min="7446" max="7446" width="5.7109375" style="69" customWidth="1"/>
    <col min="7447" max="7447" width="7.5703125" style="69" customWidth="1"/>
    <col min="7448" max="7448" width="7.85546875" style="69" customWidth="1"/>
    <col min="7449" max="7449" width="8" style="69" customWidth="1"/>
    <col min="7450" max="7450" width="5.85546875" style="69" customWidth="1"/>
    <col min="7451" max="7451" width="11.42578125" style="69"/>
    <col min="7452" max="7452" width="12.42578125" style="69" bestFit="1" customWidth="1"/>
    <col min="7453" max="7674" width="11.42578125" style="69"/>
    <col min="7675" max="7675" width="8" style="69" customWidth="1"/>
    <col min="7676" max="7676" width="16.85546875" style="69" customWidth="1"/>
    <col min="7677" max="7678" width="5.140625" style="69" customWidth="1"/>
    <col min="7679" max="7679" width="6.140625" style="69" bestFit="1" customWidth="1"/>
    <col min="7680" max="7680" width="5.28515625" style="69" customWidth="1"/>
    <col min="7681" max="7681" width="4.28515625" style="69" customWidth="1"/>
    <col min="7682" max="7682" width="7.28515625" style="69" customWidth="1"/>
    <col min="7683" max="7683" width="7.42578125" style="69" customWidth="1"/>
    <col min="7684" max="7684" width="5.42578125" style="69" customWidth="1"/>
    <col min="7685" max="7686" width="5.140625" style="69" customWidth="1"/>
    <col min="7687" max="7687" width="4.5703125" style="69" customWidth="1"/>
    <col min="7688" max="7688" width="8" style="69" customWidth="1"/>
    <col min="7689" max="7689" width="7.42578125" style="69" customWidth="1"/>
    <col min="7690" max="7690" width="6.140625" style="69" customWidth="1"/>
    <col min="7691" max="7691" width="5.42578125" style="69" customWidth="1"/>
    <col min="7692" max="7692" width="11.42578125" style="69"/>
    <col min="7693" max="7693" width="7.42578125" style="69" customWidth="1"/>
    <col min="7694" max="7694" width="7.28515625" style="69" customWidth="1"/>
    <col min="7695" max="7695" width="5.42578125" style="69" customWidth="1"/>
    <col min="7696" max="7696" width="7.7109375" style="69" customWidth="1"/>
    <col min="7697" max="7697" width="7.140625" style="69" customWidth="1"/>
    <col min="7698" max="7698" width="6" style="69" customWidth="1"/>
    <col min="7699" max="7699" width="7.5703125" style="69" customWidth="1"/>
    <col min="7700" max="7700" width="7.140625" style="69" customWidth="1"/>
    <col min="7701" max="7701" width="7.42578125" style="69" customWidth="1"/>
    <col min="7702" max="7702" width="5.7109375" style="69" customWidth="1"/>
    <col min="7703" max="7703" width="7.5703125" style="69" customWidth="1"/>
    <col min="7704" max="7704" width="7.85546875" style="69" customWidth="1"/>
    <col min="7705" max="7705" width="8" style="69" customWidth="1"/>
    <col min="7706" max="7706" width="5.85546875" style="69" customWidth="1"/>
    <col min="7707" max="7707" width="11.42578125" style="69"/>
    <col min="7708" max="7708" width="12.42578125" style="69" bestFit="1" customWidth="1"/>
    <col min="7709" max="7930" width="11.42578125" style="69"/>
    <col min="7931" max="7931" width="8" style="69" customWidth="1"/>
    <col min="7932" max="7932" width="16.85546875" style="69" customWidth="1"/>
    <col min="7933" max="7934" width="5.140625" style="69" customWidth="1"/>
    <col min="7935" max="7935" width="6.140625" style="69" bestFit="1" customWidth="1"/>
    <col min="7936" max="7936" width="5.28515625" style="69" customWidth="1"/>
    <col min="7937" max="7937" width="4.28515625" style="69" customWidth="1"/>
    <col min="7938" max="7938" width="7.28515625" style="69" customWidth="1"/>
    <col min="7939" max="7939" width="7.42578125" style="69" customWidth="1"/>
    <col min="7940" max="7940" width="5.42578125" style="69" customWidth="1"/>
    <col min="7941" max="7942" width="5.140625" style="69" customWidth="1"/>
    <col min="7943" max="7943" width="4.5703125" style="69" customWidth="1"/>
    <col min="7944" max="7944" width="8" style="69" customWidth="1"/>
    <col min="7945" max="7945" width="7.42578125" style="69" customWidth="1"/>
    <col min="7946" max="7946" width="6.140625" style="69" customWidth="1"/>
    <col min="7947" max="7947" width="5.42578125" style="69" customWidth="1"/>
    <col min="7948" max="7948" width="11.42578125" style="69"/>
    <col min="7949" max="7949" width="7.42578125" style="69" customWidth="1"/>
    <col min="7950" max="7950" width="7.28515625" style="69" customWidth="1"/>
    <col min="7951" max="7951" width="5.42578125" style="69" customWidth="1"/>
    <col min="7952" max="7952" width="7.7109375" style="69" customWidth="1"/>
    <col min="7953" max="7953" width="7.140625" style="69" customWidth="1"/>
    <col min="7954" max="7954" width="6" style="69" customWidth="1"/>
    <col min="7955" max="7955" width="7.5703125" style="69" customWidth="1"/>
    <col min="7956" max="7956" width="7.140625" style="69" customWidth="1"/>
    <col min="7957" max="7957" width="7.42578125" style="69" customWidth="1"/>
    <col min="7958" max="7958" width="5.7109375" style="69" customWidth="1"/>
    <col min="7959" max="7959" width="7.5703125" style="69" customWidth="1"/>
    <col min="7960" max="7960" width="7.85546875" style="69" customWidth="1"/>
    <col min="7961" max="7961" width="8" style="69" customWidth="1"/>
    <col min="7962" max="7962" width="5.85546875" style="69" customWidth="1"/>
    <col min="7963" max="7963" width="11.42578125" style="69"/>
    <col min="7964" max="7964" width="12.42578125" style="69" bestFit="1" customWidth="1"/>
    <col min="7965" max="8186" width="11.42578125" style="69"/>
    <col min="8187" max="8187" width="8" style="69" customWidth="1"/>
    <col min="8188" max="8188" width="16.85546875" style="69" customWidth="1"/>
    <col min="8189" max="8190" width="5.140625" style="69" customWidth="1"/>
    <col min="8191" max="8191" width="6.140625" style="69" bestFit="1" customWidth="1"/>
    <col min="8192" max="8192" width="5.28515625" style="69" customWidth="1"/>
    <col min="8193" max="8193" width="4.28515625" style="69" customWidth="1"/>
    <col min="8194" max="8194" width="7.28515625" style="69" customWidth="1"/>
    <col min="8195" max="8195" width="7.42578125" style="69" customWidth="1"/>
    <col min="8196" max="8196" width="5.42578125" style="69" customWidth="1"/>
    <col min="8197" max="8198" width="5.140625" style="69" customWidth="1"/>
    <col min="8199" max="8199" width="4.5703125" style="69" customWidth="1"/>
    <col min="8200" max="8200" width="8" style="69" customWidth="1"/>
    <col min="8201" max="8201" width="7.42578125" style="69" customWidth="1"/>
    <col min="8202" max="8202" width="6.140625" style="69" customWidth="1"/>
    <col min="8203" max="8203" width="5.42578125" style="69" customWidth="1"/>
    <col min="8204" max="8204" width="11.42578125" style="69"/>
    <col min="8205" max="8205" width="7.42578125" style="69" customWidth="1"/>
    <col min="8206" max="8206" width="7.28515625" style="69" customWidth="1"/>
    <col min="8207" max="8207" width="5.42578125" style="69" customWidth="1"/>
    <col min="8208" max="8208" width="7.7109375" style="69" customWidth="1"/>
    <col min="8209" max="8209" width="7.140625" style="69" customWidth="1"/>
    <col min="8210" max="8210" width="6" style="69" customWidth="1"/>
    <col min="8211" max="8211" width="7.5703125" style="69" customWidth="1"/>
    <col min="8212" max="8212" width="7.140625" style="69" customWidth="1"/>
    <col min="8213" max="8213" width="7.42578125" style="69" customWidth="1"/>
    <col min="8214" max="8214" width="5.7109375" style="69" customWidth="1"/>
    <col min="8215" max="8215" width="7.5703125" style="69" customWidth="1"/>
    <col min="8216" max="8216" width="7.85546875" style="69" customWidth="1"/>
    <col min="8217" max="8217" width="8" style="69" customWidth="1"/>
    <col min="8218" max="8218" width="5.85546875" style="69" customWidth="1"/>
    <col min="8219" max="8219" width="11.42578125" style="69"/>
    <col min="8220" max="8220" width="12.42578125" style="69" bestFit="1" customWidth="1"/>
    <col min="8221" max="8442" width="11.42578125" style="69"/>
    <col min="8443" max="8443" width="8" style="69" customWidth="1"/>
    <col min="8444" max="8444" width="16.85546875" style="69" customWidth="1"/>
    <col min="8445" max="8446" width="5.140625" style="69" customWidth="1"/>
    <col min="8447" max="8447" width="6.140625" style="69" bestFit="1" customWidth="1"/>
    <col min="8448" max="8448" width="5.28515625" style="69" customWidth="1"/>
    <col min="8449" max="8449" width="4.28515625" style="69" customWidth="1"/>
    <col min="8450" max="8450" width="7.28515625" style="69" customWidth="1"/>
    <col min="8451" max="8451" width="7.42578125" style="69" customWidth="1"/>
    <col min="8452" max="8452" width="5.42578125" style="69" customWidth="1"/>
    <col min="8453" max="8454" width="5.140625" style="69" customWidth="1"/>
    <col min="8455" max="8455" width="4.5703125" style="69" customWidth="1"/>
    <col min="8456" max="8456" width="8" style="69" customWidth="1"/>
    <col min="8457" max="8457" width="7.42578125" style="69" customWidth="1"/>
    <col min="8458" max="8458" width="6.140625" style="69" customWidth="1"/>
    <col min="8459" max="8459" width="5.42578125" style="69" customWidth="1"/>
    <col min="8460" max="8460" width="11.42578125" style="69"/>
    <col min="8461" max="8461" width="7.42578125" style="69" customWidth="1"/>
    <col min="8462" max="8462" width="7.28515625" style="69" customWidth="1"/>
    <col min="8463" max="8463" width="5.42578125" style="69" customWidth="1"/>
    <col min="8464" max="8464" width="7.7109375" style="69" customWidth="1"/>
    <col min="8465" max="8465" width="7.140625" style="69" customWidth="1"/>
    <col min="8466" max="8466" width="6" style="69" customWidth="1"/>
    <col min="8467" max="8467" width="7.5703125" style="69" customWidth="1"/>
    <col min="8468" max="8468" width="7.140625" style="69" customWidth="1"/>
    <col min="8469" max="8469" width="7.42578125" style="69" customWidth="1"/>
    <col min="8470" max="8470" width="5.7109375" style="69" customWidth="1"/>
    <col min="8471" max="8471" width="7.5703125" style="69" customWidth="1"/>
    <col min="8472" max="8472" width="7.85546875" style="69" customWidth="1"/>
    <col min="8473" max="8473" width="8" style="69" customWidth="1"/>
    <col min="8474" max="8474" width="5.85546875" style="69" customWidth="1"/>
    <col min="8475" max="8475" width="11.42578125" style="69"/>
    <col min="8476" max="8476" width="12.42578125" style="69" bestFit="1" customWidth="1"/>
    <col min="8477" max="8698" width="11.42578125" style="69"/>
    <col min="8699" max="8699" width="8" style="69" customWidth="1"/>
    <col min="8700" max="8700" width="16.85546875" style="69" customWidth="1"/>
    <col min="8701" max="8702" width="5.140625" style="69" customWidth="1"/>
    <col min="8703" max="8703" width="6.140625" style="69" bestFit="1" customWidth="1"/>
    <col min="8704" max="8704" width="5.28515625" style="69" customWidth="1"/>
    <col min="8705" max="8705" width="4.28515625" style="69" customWidth="1"/>
    <col min="8706" max="8706" width="7.28515625" style="69" customWidth="1"/>
    <col min="8707" max="8707" width="7.42578125" style="69" customWidth="1"/>
    <col min="8708" max="8708" width="5.42578125" style="69" customWidth="1"/>
    <col min="8709" max="8710" width="5.140625" style="69" customWidth="1"/>
    <col min="8711" max="8711" width="4.5703125" style="69" customWidth="1"/>
    <col min="8712" max="8712" width="8" style="69" customWidth="1"/>
    <col min="8713" max="8713" width="7.42578125" style="69" customWidth="1"/>
    <col min="8714" max="8714" width="6.140625" style="69" customWidth="1"/>
    <col min="8715" max="8715" width="5.42578125" style="69" customWidth="1"/>
    <col min="8716" max="8716" width="11.42578125" style="69"/>
    <col min="8717" max="8717" width="7.42578125" style="69" customWidth="1"/>
    <col min="8718" max="8718" width="7.28515625" style="69" customWidth="1"/>
    <col min="8719" max="8719" width="5.42578125" style="69" customWidth="1"/>
    <col min="8720" max="8720" width="7.7109375" style="69" customWidth="1"/>
    <col min="8721" max="8721" width="7.140625" style="69" customWidth="1"/>
    <col min="8722" max="8722" width="6" style="69" customWidth="1"/>
    <col min="8723" max="8723" width="7.5703125" style="69" customWidth="1"/>
    <col min="8724" max="8724" width="7.140625" style="69" customWidth="1"/>
    <col min="8725" max="8725" width="7.42578125" style="69" customWidth="1"/>
    <col min="8726" max="8726" width="5.7109375" style="69" customWidth="1"/>
    <col min="8727" max="8727" width="7.5703125" style="69" customWidth="1"/>
    <col min="8728" max="8728" width="7.85546875" style="69" customWidth="1"/>
    <col min="8729" max="8729" width="8" style="69" customWidth="1"/>
    <col min="8730" max="8730" width="5.85546875" style="69" customWidth="1"/>
    <col min="8731" max="8731" width="11.42578125" style="69"/>
    <col min="8732" max="8732" width="12.42578125" style="69" bestFit="1" customWidth="1"/>
    <col min="8733" max="8954" width="11.42578125" style="69"/>
    <col min="8955" max="8955" width="8" style="69" customWidth="1"/>
    <col min="8956" max="8956" width="16.85546875" style="69" customWidth="1"/>
    <col min="8957" max="8958" width="5.140625" style="69" customWidth="1"/>
    <col min="8959" max="8959" width="6.140625" style="69" bestFit="1" customWidth="1"/>
    <col min="8960" max="8960" width="5.28515625" style="69" customWidth="1"/>
    <col min="8961" max="8961" width="4.28515625" style="69" customWidth="1"/>
    <col min="8962" max="8962" width="7.28515625" style="69" customWidth="1"/>
    <col min="8963" max="8963" width="7.42578125" style="69" customWidth="1"/>
    <col min="8964" max="8964" width="5.42578125" style="69" customWidth="1"/>
    <col min="8965" max="8966" width="5.140625" style="69" customWidth="1"/>
    <col min="8967" max="8967" width="4.5703125" style="69" customWidth="1"/>
    <col min="8968" max="8968" width="8" style="69" customWidth="1"/>
    <col min="8969" max="8969" width="7.42578125" style="69" customWidth="1"/>
    <col min="8970" max="8970" width="6.140625" style="69" customWidth="1"/>
    <col min="8971" max="8971" width="5.42578125" style="69" customWidth="1"/>
    <col min="8972" max="8972" width="11.42578125" style="69"/>
    <col min="8973" max="8973" width="7.42578125" style="69" customWidth="1"/>
    <col min="8974" max="8974" width="7.28515625" style="69" customWidth="1"/>
    <col min="8975" max="8975" width="5.42578125" style="69" customWidth="1"/>
    <col min="8976" max="8976" width="7.7109375" style="69" customWidth="1"/>
    <col min="8977" max="8977" width="7.140625" style="69" customWidth="1"/>
    <col min="8978" max="8978" width="6" style="69" customWidth="1"/>
    <col min="8979" max="8979" width="7.5703125" style="69" customWidth="1"/>
    <col min="8980" max="8980" width="7.140625" style="69" customWidth="1"/>
    <col min="8981" max="8981" width="7.42578125" style="69" customWidth="1"/>
    <col min="8982" max="8982" width="5.7109375" style="69" customWidth="1"/>
    <col min="8983" max="8983" width="7.5703125" style="69" customWidth="1"/>
    <col min="8984" max="8984" width="7.85546875" style="69" customWidth="1"/>
    <col min="8985" max="8985" width="8" style="69" customWidth="1"/>
    <col min="8986" max="8986" width="5.85546875" style="69" customWidth="1"/>
    <col min="8987" max="8987" width="11.42578125" style="69"/>
    <col min="8988" max="8988" width="12.42578125" style="69" bestFit="1" customWidth="1"/>
    <col min="8989" max="9210" width="11.42578125" style="69"/>
    <col min="9211" max="9211" width="8" style="69" customWidth="1"/>
    <col min="9212" max="9212" width="16.85546875" style="69" customWidth="1"/>
    <col min="9213" max="9214" width="5.140625" style="69" customWidth="1"/>
    <col min="9215" max="9215" width="6.140625" style="69" bestFit="1" customWidth="1"/>
    <col min="9216" max="9216" width="5.28515625" style="69" customWidth="1"/>
    <col min="9217" max="9217" width="4.28515625" style="69" customWidth="1"/>
    <col min="9218" max="9218" width="7.28515625" style="69" customWidth="1"/>
    <col min="9219" max="9219" width="7.42578125" style="69" customWidth="1"/>
    <col min="9220" max="9220" width="5.42578125" style="69" customWidth="1"/>
    <col min="9221" max="9222" width="5.140625" style="69" customWidth="1"/>
    <col min="9223" max="9223" width="4.5703125" style="69" customWidth="1"/>
    <col min="9224" max="9224" width="8" style="69" customWidth="1"/>
    <col min="9225" max="9225" width="7.42578125" style="69" customWidth="1"/>
    <col min="9226" max="9226" width="6.140625" style="69" customWidth="1"/>
    <col min="9227" max="9227" width="5.42578125" style="69" customWidth="1"/>
    <col min="9228" max="9228" width="11.42578125" style="69"/>
    <col min="9229" max="9229" width="7.42578125" style="69" customWidth="1"/>
    <col min="9230" max="9230" width="7.28515625" style="69" customWidth="1"/>
    <col min="9231" max="9231" width="5.42578125" style="69" customWidth="1"/>
    <col min="9232" max="9232" width="7.7109375" style="69" customWidth="1"/>
    <col min="9233" max="9233" width="7.140625" style="69" customWidth="1"/>
    <col min="9234" max="9234" width="6" style="69" customWidth="1"/>
    <col min="9235" max="9235" width="7.5703125" style="69" customWidth="1"/>
    <col min="9236" max="9236" width="7.140625" style="69" customWidth="1"/>
    <col min="9237" max="9237" width="7.42578125" style="69" customWidth="1"/>
    <col min="9238" max="9238" width="5.7109375" style="69" customWidth="1"/>
    <col min="9239" max="9239" width="7.5703125" style="69" customWidth="1"/>
    <col min="9240" max="9240" width="7.85546875" style="69" customWidth="1"/>
    <col min="9241" max="9241" width="8" style="69" customWidth="1"/>
    <col min="9242" max="9242" width="5.85546875" style="69" customWidth="1"/>
    <col min="9243" max="9243" width="11.42578125" style="69"/>
    <col min="9244" max="9244" width="12.42578125" style="69" bestFit="1" customWidth="1"/>
    <col min="9245" max="9466" width="11.42578125" style="69"/>
    <col min="9467" max="9467" width="8" style="69" customWidth="1"/>
    <col min="9468" max="9468" width="16.85546875" style="69" customWidth="1"/>
    <col min="9469" max="9470" width="5.140625" style="69" customWidth="1"/>
    <col min="9471" max="9471" width="6.140625" style="69" bestFit="1" customWidth="1"/>
    <col min="9472" max="9472" width="5.28515625" style="69" customWidth="1"/>
    <col min="9473" max="9473" width="4.28515625" style="69" customWidth="1"/>
    <col min="9474" max="9474" width="7.28515625" style="69" customWidth="1"/>
    <col min="9475" max="9475" width="7.42578125" style="69" customWidth="1"/>
    <col min="9476" max="9476" width="5.42578125" style="69" customWidth="1"/>
    <col min="9477" max="9478" width="5.140625" style="69" customWidth="1"/>
    <col min="9479" max="9479" width="4.5703125" style="69" customWidth="1"/>
    <col min="9480" max="9480" width="8" style="69" customWidth="1"/>
    <col min="9481" max="9481" width="7.42578125" style="69" customWidth="1"/>
    <col min="9482" max="9482" width="6.140625" style="69" customWidth="1"/>
    <col min="9483" max="9483" width="5.42578125" style="69" customWidth="1"/>
    <col min="9484" max="9484" width="11.42578125" style="69"/>
    <col min="9485" max="9485" width="7.42578125" style="69" customWidth="1"/>
    <col min="9486" max="9486" width="7.28515625" style="69" customWidth="1"/>
    <col min="9487" max="9487" width="5.42578125" style="69" customWidth="1"/>
    <col min="9488" max="9488" width="7.7109375" style="69" customWidth="1"/>
    <col min="9489" max="9489" width="7.140625" style="69" customWidth="1"/>
    <col min="9490" max="9490" width="6" style="69" customWidth="1"/>
    <col min="9491" max="9491" width="7.5703125" style="69" customWidth="1"/>
    <col min="9492" max="9492" width="7.140625" style="69" customWidth="1"/>
    <col min="9493" max="9493" width="7.42578125" style="69" customWidth="1"/>
    <col min="9494" max="9494" width="5.7109375" style="69" customWidth="1"/>
    <col min="9495" max="9495" width="7.5703125" style="69" customWidth="1"/>
    <col min="9496" max="9496" width="7.85546875" style="69" customWidth="1"/>
    <col min="9497" max="9497" width="8" style="69" customWidth="1"/>
    <col min="9498" max="9498" width="5.85546875" style="69" customWidth="1"/>
    <col min="9499" max="9499" width="11.42578125" style="69"/>
    <col min="9500" max="9500" width="12.42578125" style="69" bestFit="1" customWidth="1"/>
    <col min="9501" max="9722" width="11.42578125" style="69"/>
    <col min="9723" max="9723" width="8" style="69" customWidth="1"/>
    <col min="9724" max="9724" width="16.85546875" style="69" customWidth="1"/>
    <col min="9725" max="9726" width="5.140625" style="69" customWidth="1"/>
    <col min="9727" max="9727" width="6.140625" style="69" bestFit="1" customWidth="1"/>
    <col min="9728" max="9728" width="5.28515625" style="69" customWidth="1"/>
    <col min="9729" max="9729" width="4.28515625" style="69" customWidth="1"/>
    <col min="9730" max="9730" width="7.28515625" style="69" customWidth="1"/>
    <col min="9731" max="9731" width="7.42578125" style="69" customWidth="1"/>
    <col min="9732" max="9732" width="5.42578125" style="69" customWidth="1"/>
    <col min="9733" max="9734" width="5.140625" style="69" customWidth="1"/>
    <col min="9735" max="9735" width="4.5703125" style="69" customWidth="1"/>
    <col min="9736" max="9736" width="8" style="69" customWidth="1"/>
    <col min="9737" max="9737" width="7.42578125" style="69" customWidth="1"/>
    <col min="9738" max="9738" width="6.140625" style="69" customWidth="1"/>
    <col min="9739" max="9739" width="5.42578125" style="69" customWidth="1"/>
    <col min="9740" max="9740" width="11.42578125" style="69"/>
    <col min="9741" max="9741" width="7.42578125" style="69" customWidth="1"/>
    <col min="9742" max="9742" width="7.28515625" style="69" customWidth="1"/>
    <col min="9743" max="9743" width="5.42578125" style="69" customWidth="1"/>
    <col min="9744" max="9744" width="7.7109375" style="69" customWidth="1"/>
    <col min="9745" max="9745" width="7.140625" style="69" customWidth="1"/>
    <col min="9746" max="9746" width="6" style="69" customWidth="1"/>
    <col min="9747" max="9747" width="7.5703125" style="69" customWidth="1"/>
    <col min="9748" max="9748" width="7.140625" style="69" customWidth="1"/>
    <col min="9749" max="9749" width="7.42578125" style="69" customWidth="1"/>
    <col min="9750" max="9750" width="5.7109375" style="69" customWidth="1"/>
    <col min="9751" max="9751" width="7.5703125" style="69" customWidth="1"/>
    <col min="9752" max="9752" width="7.85546875" style="69" customWidth="1"/>
    <col min="9753" max="9753" width="8" style="69" customWidth="1"/>
    <col min="9754" max="9754" width="5.85546875" style="69" customWidth="1"/>
    <col min="9755" max="9755" width="11.42578125" style="69"/>
    <col min="9756" max="9756" width="12.42578125" style="69" bestFit="1" customWidth="1"/>
    <col min="9757" max="9978" width="11.42578125" style="69"/>
    <col min="9979" max="9979" width="8" style="69" customWidth="1"/>
    <col min="9980" max="9980" width="16.85546875" style="69" customWidth="1"/>
    <col min="9981" max="9982" width="5.140625" style="69" customWidth="1"/>
    <col min="9983" max="9983" width="6.140625" style="69" bestFit="1" customWidth="1"/>
    <col min="9984" max="9984" width="5.28515625" style="69" customWidth="1"/>
    <col min="9985" max="9985" width="4.28515625" style="69" customWidth="1"/>
    <col min="9986" max="9986" width="7.28515625" style="69" customWidth="1"/>
    <col min="9987" max="9987" width="7.42578125" style="69" customWidth="1"/>
    <col min="9988" max="9988" width="5.42578125" style="69" customWidth="1"/>
    <col min="9989" max="9990" width="5.140625" style="69" customWidth="1"/>
    <col min="9991" max="9991" width="4.5703125" style="69" customWidth="1"/>
    <col min="9992" max="9992" width="8" style="69" customWidth="1"/>
    <col min="9993" max="9993" width="7.42578125" style="69" customWidth="1"/>
    <col min="9994" max="9994" width="6.140625" style="69" customWidth="1"/>
    <col min="9995" max="9995" width="5.42578125" style="69" customWidth="1"/>
    <col min="9996" max="9996" width="11.42578125" style="69"/>
    <col min="9997" max="9997" width="7.42578125" style="69" customWidth="1"/>
    <col min="9998" max="9998" width="7.28515625" style="69" customWidth="1"/>
    <col min="9999" max="9999" width="5.42578125" style="69" customWidth="1"/>
    <col min="10000" max="10000" width="7.7109375" style="69" customWidth="1"/>
    <col min="10001" max="10001" width="7.140625" style="69" customWidth="1"/>
    <col min="10002" max="10002" width="6" style="69" customWidth="1"/>
    <col min="10003" max="10003" width="7.5703125" style="69" customWidth="1"/>
    <col min="10004" max="10004" width="7.140625" style="69" customWidth="1"/>
    <col min="10005" max="10005" width="7.42578125" style="69" customWidth="1"/>
    <col min="10006" max="10006" width="5.7109375" style="69" customWidth="1"/>
    <col min="10007" max="10007" width="7.5703125" style="69" customWidth="1"/>
    <col min="10008" max="10008" width="7.85546875" style="69" customWidth="1"/>
    <col min="10009" max="10009" width="8" style="69" customWidth="1"/>
    <col min="10010" max="10010" width="5.85546875" style="69" customWidth="1"/>
    <col min="10011" max="10011" width="11.42578125" style="69"/>
    <col min="10012" max="10012" width="12.42578125" style="69" bestFit="1" customWidth="1"/>
    <col min="10013" max="10234" width="11.42578125" style="69"/>
    <col min="10235" max="10235" width="8" style="69" customWidth="1"/>
    <col min="10236" max="10236" width="16.85546875" style="69" customWidth="1"/>
    <col min="10237" max="10238" width="5.140625" style="69" customWidth="1"/>
    <col min="10239" max="10239" width="6.140625" style="69" bestFit="1" customWidth="1"/>
    <col min="10240" max="10240" width="5.28515625" style="69" customWidth="1"/>
    <col min="10241" max="10241" width="4.28515625" style="69" customWidth="1"/>
    <col min="10242" max="10242" width="7.28515625" style="69" customWidth="1"/>
    <col min="10243" max="10243" width="7.42578125" style="69" customWidth="1"/>
    <col min="10244" max="10244" width="5.42578125" style="69" customWidth="1"/>
    <col min="10245" max="10246" width="5.140625" style="69" customWidth="1"/>
    <col min="10247" max="10247" width="4.5703125" style="69" customWidth="1"/>
    <col min="10248" max="10248" width="8" style="69" customWidth="1"/>
    <col min="10249" max="10249" width="7.42578125" style="69" customWidth="1"/>
    <col min="10250" max="10250" width="6.140625" style="69" customWidth="1"/>
    <col min="10251" max="10251" width="5.42578125" style="69" customWidth="1"/>
    <col min="10252" max="10252" width="11.42578125" style="69"/>
    <col min="10253" max="10253" width="7.42578125" style="69" customWidth="1"/>
    <col min="10254" max="10254" width="7.28515625" style="69" customWidth="1"/>
    <col min="10255" max="10255" width="5.42578125" style="69" customWidth="1"/>
    <col min="10256" max="10256" width="7.7109375" style="69" customWidth="1"/>
    <col min="10257" max="10257" width="7.140625" style="69" customWidth="1"/>
    <col min="10258" max="10258" width="6" style="69" customWidth="1"/>
    <col min="10259" max="10259" width="7.5703125" style="69" customWidth="1"/>
    <col min="10260" max="10260" width="7.140625" style="69" customWidth="1"/>
    <col min="10261" max="10261" width="7.42578125" style="69" customWidth="1"/>
    <col min="10262" max="10262" width="5.7109375" style="69" customWidth="1"/>
    <col min="10263" max="10263" width="7.5703125" style="69" customWidth="1"/>
    <col min="10264" max="10264" width="7.85546875" style="69" customWidth="1"/>
    <col min="10265" max="10265" width="8" style="69" customWidth="1"/>
    <col min="10266" max="10266" width="5.85546875" style="69" customWidth="1"/>
    <col min="10267" max="10267" width="11.42578125" style="69"/>
    <col min="10268" max="10268" width="12.42578125" style="69" bestFit="1" customWidth="1"/>
    <col min="10269" max="10490" width="11.42578125" style="69"/>
    <col min="10491" max="10491" width="8" style="69" customWidth="1"/>
    <col min="10492" max="10492" width="16.85546875" style="69" customWidth="1"/>
    <col min="10493" max="10494" width="5.140625" style="69" customWidth="1"/>
    <col min="10495" max="10495" width="6.140625" style="69" bestFit="1" customWidth="1"/>
    <col min="10496" max="10496" width="5.28515625" style="69" customWidth="1"/>
    <col min="10497" max="10497" width="4.28515625" style="69" customWidth="1"/>
    <col min="10498" max="10498" width="7.28515625" style="69" customWidth="1"/>
    <col min="10499" max="10499" width="7.42578125" style="69" customWidth="1"/>
    <col min="10500" max="10500" width="5.42578125" style="69" customWidth="1"/>
    <col min="10501" max="10502" width="5.140625" style="69" customWidth="1"/>
    <col min="10503" max="10503" width="4.5703125" style="69" customWidth="1"/>
    <col min="10504" max="10504" width="8" style="69" customWidth="1"/>
    <col min="10505" max="10505" width="7.42578125" style="69" customWidth="1"/>
    <col min="10506" max="10506" width="6.140625" style="69" customWidth="1"/>
    <col min="10507" max="10507" width="5.42578125" style="69" customWidth="1"/>
    <col min="10508" max="10508" width="11.42578125" style="69"/>
    <col min="10509" max="10509" width="7.42578125" style="69" customWidth="1"/>
    <col min="10510" max="10510" width="7.28515625" style="69" customWidth="1"/>
    <col min="10511" max="10511" width="5.42578125" style="69" customWidth="1"/>
    <col min="10512" max="10512" width="7.7109375" style="69" customWidth="1"/>
    <col min="10513" max="10513" width="7.140625" style="69" customWidth="1"/>
    <col min="10514" max="10514" width="6" style="69" customWidth="1"/>
    <col min="10515" max="10515" width="7.5703125" style="69" customWidth="1"/>
    <col min="10516" max="10516" width="7.140625" style="69" customWidth="1"/>
    <col min="10517" max="10517" width="7.42578125" style="69" customWidth="1"/>
    <col min="10518" max="10518" width="5.7109375" style="69" customWidth="1"/>
    <col min="10519" max="10519" width="7.5703125" style="69" customWidth="1"/>
    <col min="10520" max="10520" width="7.85546875" style="69" customWidth="1"/>
    <col min="10521" max="10521" width="8" style="69" customWidth="1"/>
    <col min="10522" max="10522" width="5.85546875" style="69" customWidth="1"/>
    <col min="10523" max="10523" width="11.42578125" style="69"/>
    <col min="10524" max="10524" width="12.42578125" style="69" bestFit="1" customWidth="1"/>
    <col min="10525" max="10746" width="11.42578125" style="69"/>
    <col min="10747" max="10747" width="8" style="69" customWidth="1"/>
    <col min="10748" max="10748" width="16.85546875" style="69" customWidth="1"/>
    <col min="10749" max="10750" width="5.140625" style="69" customWidth="1"/>
    <col min="10751" max="10751" width="6.140625" style="69" bestFit="1" customWidth="1"/>
    <col min="10752" max="10752" width="5.28515625" style="69" customWidth="1"/>
    <col min="10753" max="10753" width="4.28515625" style="69" customWidth="1"/>
    <col min="10754" max="10754" width="7.28515625" style="69" customWidth="1"/>
    <col min="10755" max="10755" width="7.42578125" style="69" customWidth="1"/>
    <col min="10756" max="10756" width="5.42578125" style="69" customWidth="1"/>
    <col min="10757" max="10758" width="5.140625" style="69" customWidth="1"/>
    <col min="10759" max="10759" width="4.5703125" style="69" customWidth="1"/>
    <col min="10760" max="10760" width="8" style="69" customWidth="1"/>
    <col min="10761" max="10761" width="7.42578125" style="69" customWidth="1"/>
    <col min="10762" max="10762" width="6.140625" style="69" customWidth="1"/>
    <col min="10763" max="10763" width="5.42578125" style="69" customWidth="1"/>
    <col min="10764" max="10764" width="11.42578125" style="69"/>
    <col min="10765" max="10765" width="7.42578125" style="69" customWidth="1"/>
    <col min="10766" max="10766" width="7.28515625" style="69" customWidth="1"/>
    <col min="10767" max="10767" width="5.42578125" style="69" customWidth="1"/>
    <col min="10768" max="10768" width="7.7109375" style="69" customWidth="1"/>
    <col min="10769" max="10769" width="7.140625" style="69" customWidth="1"/>
    <col min="10770" max="10770" width="6" style="69" customWidth="1"/>
    <col min="10771" max="10771" width="7.5703125" style="69" customWidth="1"/>
    <col min="10772" max="10772" width="7.140625" style="69" customWidth="1"/>
    <col min="10773" max="10773" width="7.42578125" style="69" customWidth="1"/>
    <col min="10774" max="10774" width="5.7109375" style="69" customWidth="1"/>
    <col min="10775" max="10775" width="7.5703125" style="69" customWidth="1"/>
    <col min="10776" max="10776" width="7.85546875" style="69" customWidth="1"/>
    <col min="10777" max="10777" width="8" style="69" customWidth="1"/>
    <col min="10778" max="10778" width="5.85546875" style="69" customWidth="1"/>
    <col min="10779" max="10779" width="11.42578125" style="69"/>
    <col min="10780" max="10780" width="12.42578125" style="69" bestFit="1" customWidth="1"/>
    <col min="10781" max="11002" width="11.42578125" style="69"/>
    <col min="11003" max="11003" width="8" style="69" customWidth="1"/>
    <col min="11004" max="11004" width="16.85546875" style="69" customWidth="1"/>
    <col min="11005" max="11006" width="5.140625" style="69" customWidth="1"/>
    <col min="11007" max="11007" width="6.140625" style="69" bestFit="1" customWidth="1"/>
    <col min="11008" max="11008" width="5.28515625" style="69" customWidth="1"/>
    <col min="11009" max="11009" width="4.28515625" style="69" customWidth="1"/>
    <col min="11010" max="11010" width="7.28515625" style="69" customWidth="1"/>
    <col min="11011" max="11011" width="7.42578125" style="69" customWidth="1"/>
    <col min="11012" max="11012" width="5.42578125" style="69" customWidth="1"/>
    <col min="11013" max="11014" width="5.140625" style="69" customWidth="1"/>
    <col min="11015" max="11015" width="4.5703125" style="69" customWidth="1"/>
    <col min="11016" max="11016" width="8" style="69" customWidth="1"/>
    <col min="11017" max="11017" width="7.42578125" style="69" customWidth="1"/>
    <col min="11018" max="11018" width="6.140625" style="69" customWidth="1"/>
    <col min="11019" max="11019" width="5.42578125" style="69" customWidth="1"/>
    <col min="11020" max="11020" width="11.42578125" style="69"/>
    <col min="11021" max="11021" width="7.42578125" style="69" customWidth="1"/>
    <col min="11022" max="11022" width="7.28515625" style="69" customWidth="1"/>
    <col min="11023" max="11023" width="5.42578125" style="69" customWidth="1"/>
    <col min="11024" max="11024" width="7.7109375" style="69" customWidth="1"/>
    <col min="11025" max="11025" width="7.140625" style="69" customWidth="1"/>
    <col min="11026" max="11026" width="6" style="69" customWidth="1"/>
    <col min="11027" max="11027" width="7.5703125" style="69" customWidth="1"/>
    <col min="11028" max="11028" width="7.140625" style="69" customWidth="1"/>
    <col min="11029" max="11029" width="7.42578125" style="69" customWidth="1"/>
    <col min="11030" max="11030" width="5.7109375" style="69" customWidth="1"/>
    <col min="11031" max="11031" width="7.5703125" style="69" customWidth="1"/>
    <col min="11032" max="11032" width="7.85546875" style="69" customWidth="1"/>
    <col min="11033" max="11033" width="8" style="69" customWidth="1"/>
    <col min="11034" max="11034" width="5.85546875" style="69" customWidth="1"/>
    <col min="11035" max="11035" width="11.42578125" style="69"/>
    <col min="11036" max="11036" width="12.42578125" style="69" bestFit="1" customWidth="1"/>
    <col min="11037" max="11258" width="11.42578125" style="69"/>
    <col min="11259" max="11259" width="8" style="69" customWidth="1"/>
    <col min="11260" max="11260" width="16.85546875" style="69" customWidth="1"/>
    <col min="11261" max="11262" width="5.140625" style="69" customWidth="1"/>
    <col min="11263" max="11263" width="6.140625" style="69" bestFit="1" customWidth="1"/>
    <col min="11264" max="11264" width="5.28515625" style="69" customWidth="1"/>
    <col min="11265" max="11265" width="4.28515625" style="69" customWidth="1"/>
    <col min="11266" max="11266" width="7.28515625" style="69" customWidth="1"/>
    <col min="11267" max="11267" width="7.42578125" style="69" customWidth="1"/>
    <col min="11268" max="11268" width="5.42578125" style="69" customWidth="1"/>
    <col min="11269" max="11270" width="5.140625" style="69" customWidth="1"/>
    <col min="11271" max="11271" width="4.5703125" style="69" customWidth="1"/>
    <col min="11272" max="11272" width="8" style="69" customWidth="1"/>
    <col min="11273" max="11273" width="7.42578125" style="69" customWidth="1"/>
    <col min="11274" max="11274" width="6.140625" style="69" customWidth="1"/>
    <col min="11275" max="11275" width="5.42578125" style="69" customWidth="1"/>
    <col min="11276" max="11276" width="11.42578125" style="69"/>
    <col min="11277" max="11277" width="7.42578125" style="69" customWidth="1"/>
    <col min="11278" max="11278" width="7.28515625" style="69" customWidth="1"/>
    <col min="11279" max="11279" width="5.42578125" style="69" customWidth="1"/>
    <col min="11280" max="11280" width="7.7109375" style="69" customWidth="1"/>
    <col min="11281" max="11281" width="7.140625" style="69" customWidth="1"/>
    <col min="11282" max="11282" width="6" style="69" customWidth="1"/>
    <col min="11283" max="11283" width="7.5703125" style="69" customWidth="1"/>
    <col min="11284" max="11284" width="7.140625" style="69" customWidth="1"/>
    <col min="11285" max="11285" width="7.42578125" style="69" customWidth="1"/>
    <col min="11286" max="11286" width="5.7109375" style="69" customWidth="1"/>
    <col min="11287" max="11287" width="7.5703125" style="69" customWidth="1"/>
    <col min="11288" max="11288" width="7.85546875" style="69" customWidth="1"/>
    <col min="11289" max="11289" width="8" style="69" customWidth="1"/>
    <col min="11290" max="11290" width="5.85546875" style="69" customWidth="1"/>
    <col min="11291" max="11291" width="11.42578125" style="69"/>
    <col min="11292" max="11292" width="12.42578125" style="69" bestFit="1" customWidth="1"/>
    <col min="11293" max="11514" width="11.42578125" style="69"/>
    <col min="11515" max="11515" width="8" style="69" customWidth="1"/>
    <col min="11516" max="11516" width="16.85546875" style="69" customWidth="1"/>
    <col min="11517" max="11518" width="5.140625" style="69" customWidth="1"/>
    <col min="11519" max="11519" width="6.140625" style="69" bestFit="1" customWidth="1"/>
    <col min="11520" max="11520" width="5.28515625" style="69" customWidth="1"/>
    <col min="11521" max="11521" width="4.28515625" style="69" customWidth="1"/>
    <col min="11522" max="11522" width="7.28515625" style="69" customWidth="1"/>
    <col min="11523" max="11523" width="7.42578125" style="69" customWidth="1"/>
    <col min="11524" max="11524" width="5.42578125" style="69" customWidth="1"/>
    <col min="11525" max="11526" width="5.140625" style="69" customWidth="1"/>
    <col min="11527" max="11527" width="4.5703125" style="69" customWidth="1"/>
    <col min="11528" max="11528" width="8" style="69" customWidth="1"/>
    <col min="11529" max="11529" width="7.42578125" style="69" customWidth="1"/>
    <col min="11530" max="11530" width="6.140625" style="69" customWidth="1"/>
    <col min="11531" max="11531" width="5.42578125" style="69" customWidth="1"/>
    <col min="11532" max="11532" width="11.42578125" style="69"/>
    <col min="11533" max="11533" width="7.42578125" style="69" customWidth="1"/>
    <col min="11534" max="11534" width="7.28515625" style="69" customWidth="1"/>
    <col min="11535" max="11535" width="5.42578125" style="69" customWidth="1"/>
    <col min="11536" max="11536" width="7.7109375" style="69" customWidth="1"/>
    <col min="11537" max="11537" width="7.140625" style="69" customWidth="1"/>
    <col min="11538" max="11538" width="6" style="69" customWidth="1"/>
    <col min="11539" max="11539" width="7.5703125" style="69" customWidth="1"/>
    <col min="11540" max="11540" width="7.140625" style="69" customWidth="1"/>
    <col min="11541" max="11541" width="7.42578125" style="69" customWidth="1"/>
    <col min="11542" max="11542" width="5.7109375" style="69" customWidth="1"/>
    <col min="11543" max="11543" width="7.5703125" style="69" customWidth="1"/>
    <col min="11544" max="11544" width="7.85546875" style="69" customWidth="1"/>
    <col min="11545" max="11545" width="8" style="69" customWidth="1"/>
    <col min="11546" max="11546" width="5.85546875" style="69" customWidth="1"/>
    <col min="11547" max="11547" width="11.42578125" style="69"/>
    <col min="11548" max="11548" width="12.42578125" style="69" bestFit="1" customWidth="1"/>
    <col min="11549" max="11770" width="11.42578125" style="69"/>
    <col min="11771" max="11771" width="8" style="69" customWidth="1"/>
    <col min="11772" max="11772" width="16.85546875" style="69" customWidth="1"/>
    <col min="11773" max="11774" width="5.140625" style="69" customWidth="1"/>
    <col min="11775" max="11775" width="6.140625" style="69" bestFit="1" customWidth="1"/>
    <col min="11776" max="11776" width="5.28515625" style="69" customWidth="1"/>
    <col min="11777" max="11777" width="4.28515625" style="69" customWidth="1"/>
    <col min="11778" max="11778" width="7.28515625" style="69" customWidth="1"/>
    <col min="11779" max="11779" width="7.42578125" style="69" customWidth="1"/>
    <col min="11780" max="11780" width="5.42578125" style="69" customWidth="1"/>
    <col min="11781" max="11782" width="5.140625" style="69" customWidth="1"/>
    <col min="11783" max="11783" width="4.5703125" style="69" customWidth="1"/>
    <col min="11784" max="11784" width="8" style="69" customWidth="1"/>
    <col min="11785" max="11785" width="7.42578125" style="69" customWidth="1"/>
    <col min="11786" max="11786" width="6.140625" style="69" customWidth="1"/>
    <col min="11787" max="11787" width="5.42578125" style="69" customWidth="1"/>
    <col min="11788" max="11788" width="11.42578125" style="69"/>
    <col min="11789" max="11789" width="7.42578125" style="69" customWidth="1"/>
    <col min="11790" max="11790" width="7.28515625" style="69" customWidth="1"/>
    <col min="11791" max="11791" width="5.42578125" style="69" customWidth="1"/>
    <col min="11792" max="11792" width="7.7109375" style="69" customWidth="1"/>
    <col min="11793" max="11793" width="7.140625" style="69" customWidth="1"/>
    <col min="11794" max="11794" width="6" style="69" customWidth="1"/>
    <col min="11795" max="11795" width="7.5703125" style="69" customWidth="1"/>
    <col min="11796" max="11796" width="7.140625" style="69" customWidth="1"/>
    <col min="11797" max="11797" width="7.42578125" style="69" customWidth="1"/>
    <col min="11798" max="11798" width="5.7109375" style="69" customWidth="1"/>
    <col min="11799" max="11799" width="7.5703125" style="69" customWidth="1"/>
    <col min="11800" max="11800" width="7.85546875" style="69" customWidth="1"/>
    <col min="11801" max="11801" width="8" style="69" customWidth="1"/>
    <col min="11802" max="11802" width="5.85546875" style="69" customWidth="1"/>
    <col min="11803" max="11803" width="11.42578125" style="69"/>
    <col min="11804" max="11804" width="12.42578125" style="69" bestFit="1" customWidth="1"/>
    <col min="11805" max="12026" width="11.42578125" style="69"/>
    <col min="12027" max="12027" width="8" style="69" customWidth="1"/>
    <col min="12028" max="12028" width="16.85546875" style="69" customWidth="1"/>
    <col min="12029" max="12030" width="5.140625" style="69" customWidth="1"/>
    <col min="12031" max="12031" width="6.140625" style="69" bestFit="1" customWidth="1"/>
    <col min="12032" max="12032" width="5.28515625" style="69" customWidth="1"/>
    <col min="12033" max="12033" width="4.28515625" style="69" customWidth="1"/>
    <col min="12034" max="12034" width="7.28515625" style="69" customWidth="1"/>
    <col min="12035" max="12035" width="7.42578125" style="69" customWidth="1"/>
    <col min="12036" max="12036" width="5.42578125" style="69" customWidth="1"/>
    <col min="12037" max="12038" width="5.140625" style="69" customWidth="1"/>
    <col min="12039" max="12039" width="4.5703125" style="69" customWidth="1"/>
    <col min="12040" max="12040" width="8" style="69" customWidth="1"/>
    <col min="12041" max="12041" width="7.42578125" style="69" customWidth="1"/>
    <col min="12042" max="12042" width="6.140625" style="69" customWidth="1"/>
    <col min="12043" max="12043" width="5.42578125" style="69" customWidth="1"/>
    <col min="12044" max="12044" width="11.42578125" style="69"/>
    <col min="12045" max="12045" width="7.42578125" style="69" customWidth="1"/>
    <col min="12046" max="12046" width="7.28515625" style="69" customWidth="1"/>
    <col min="12047" max="12047" width="5.42578125" style="69" customWidth="1"/>
    <col min="12048" max="12048" width="7.7109375" style="69" customWidth="1"/>
    <col min="12049" max="12049" width="7.140625" style="69" customWidth="1"/>
    <col min="12050" max="12050" width="6" style="69" customWidth="1"/>
    <col min="12051" max="12051" width="7.5703125" style="69" customWidth="1"/>
    <col min="12052" max="12052" width="7.140625" style="69" customWidth="1"/>
    <col min="12053" max="12053" width="7.42578125" style="69" customWidth="1"/>
    <col min="12054" max="12054" width="5.7109375" style="69" customWidth="1"/>
    <col min="12055" max="12055" width="7.5703125" style="69" customWidth="1"/>
    <col min="12056" max="12056" width="7.85546875" style="69" customWidth="1"/>
    <col min="12057" max="12057" width="8" style="69" customWidth="1"/>
    <col min="12058" max="12058" width="5.85546875" style="69" customWidth="1"/>
    <col min="12059" max="12059" width="11.42578125" style="69"/>
    <col min="12060" max="12060" width="12.42578125" style="69" bestFit="1" customWidth="1"/>
    <col min="12061" max="12282" width="11.42578125" style="69"/>
    <col min="12283" max="12283" width="8" style="69" customWidth="1"/>
    <col min="12284" max="12284" width="16.85546875" style="69" customWidth="1"/>
    <col min="12285" max="12286" width="5.140625" style="69" customWidth="1"/>
    <col min="12287" max="12287" width="6.140625" style="69" bestFit="1" customWidth="1"/>
    <col min="12288" max="12288" width="5.28515625" style="69" customWidth="1"/>
    <col min="12289" max="12289" width="4.28515625" style="69" customWidth="1"/>
    <col min="12290" max="12290" width="7.28515625" style="69" customWidth="1"/>
    <col min="12291" max="12291" width="7.42578125" style="69" customWidth="1"/>
    <col min="12292" max="12292" width="5.42578125" style="69" customWidth="1"/>
    <col min="12293" max="12294" width="5.140625" style="69" customWidth="1"/>
    <col min="12295" max="12295" width="4.5703125" style="69" customWidth="1"/>
    <col min="12296" max="12296" width="8" style="69" customWidth="1"/>
    <col min="12297" max="12297" width="7.42578125" style="69" customWidth="1"/>
    <col min="12298" max="12298" width="6.140625" style="69" customWidth="1"/>
    <col min="12299" max="12299" width="5.42578125" style="69" customWidth="1"/>
    <col min="12300" max="12300" width="11.42578125" style="69"/>
    <col min="12301" max="12301" width="7.42578125" style="69" customWidth="1"/>
    <col min="12302" max="12302" width="7.28515625" style="69" customWidth="1"/>
    <col min="12303" max="12303" width="5.42578125" style="69" customWidth="1"/>
    <col min="12304" max="12304" width="7.7109375" style="69" customWidth="1"/>
    <col min="12305" max="12305" width="7.140625" style="69" customWidth="1"/>
    <col min="12306" max="12306" width="6" style="69" customWidth="1"/>
    <col min="12307" max="12307" width="7.5703125" style="69" customWidth="1"/>
    <col min="12308" max="12308" width="7.140625" style="69" customWidth="1"/>
    <col min="12309" max="12309" width="7.42578125" style="69" customWidth="1"/>
    <col min="12310" max="12310" width="5.7109375" style="69" customWidth="1"/>
    <col min="12311" max="12311" width="7.5703125" style="69" customWidth="1"/>
    <col min="12312" max="12312" width="7.85546875" style="69" customWidth="1"/>
    <col min="12313" max="12313" width="8" style="69" customWidth="1"/>
    <col min="12314" max="12314" width="5.85546875" style="69" customWidth="1"/>
    <col min="12315" max="12315" width="11.42578125" style="69"/>
    <col min="12316" max="12316" width="12.42578125" style="69" bestFit="1" customWidth="1"/>
    <col min="12317" max="12538" width="11.42578125" style="69"/>
    <col min="12539" max="12539" width="8" style="69" customWidth="1"/>
    <col min="12540" max="12540" width="16.85546875" style="69" customWidth="1"/>
    <col min="12541" max="12542" width="5.140625" style="69" customWidth="1"/>
    <col min="12543" max="12543" width="6.140625" style="69" bestFit="1" customWidth="1"/>
    <col min="12544" max="12544" width="5.28515625" style="69" customWidth="1"/>
    <col min="12545" max="12545" width="4.28515625" style="69" customWidth="1"/>
    <col min="12546" max="12546" width="7.28515625" style="69" customWidth="1"/>
    <col min="12547" max="12547" width="7.42578125" style="69" customWidth="1"/>
    <col min="12548" max="12548" width="5.42578125" style="69" customWidth="1"/>
    <col min="12549" max="12550" width="5.140625" style="69" customWidth="1"/>
    <col min="12551" max="12551" width="4.5703125" style="69" customWidth="1"/>
    <col min="12552" max="12552" width="8" style="69" customWidth="1"/>
    <col min="12553" max="12553" width="7.42578125" style="69" customWidth="1"/>
    <col min="12554" max="12554" width="6.140625" style="69" customWidth="1"/>
    <col min="12555" max="12555" width="5.42578125" style="69" customWidth="1"/>
    <col min="12556" max="12556" width="11.42578125" style="69"/>
    <col min="12557" max="12557" width="7.42578125" style="69" customWidth="1"/>
    <col min="12558" max="12558" width="7.28515625" style="69" customWidth="1"/>
    <col min="12559" max="12559" width="5.42578125" style="69" customWidth="1"/>
    <col min="12560" max="12560" width="7.7109375" style="69" customWidth="1"/>
    <col min="12561" max="12561" width="7.140625" style="69" customWidth="1"/>
    <col min="12562" max="12562" width="6" style="69" customWidth="1"/>
    <col min="12563" max="12563" width="7.5703125" style="69" customWidth="1"/>
    <col min="12564" max="12564" width="7.140625" style="69" customWidth="1"/>
    <col min="12565" max="12565" width="7.42578125" style="69" customWidth="1"/>
    <col min="12566" max="12566" width="5.7109375" style="69" customWidth="1"/>
    <col min="12567" max="12567" width="7.5703125" style="69" customWidth="1"/>
    <col min="12568" max="12568" width="7.85546875" style="69" customWidth="1"/>
    <col min="12569" max="12569" width="8" style="69" customWidth="1"/>
    <col min="12570" max="12570" width="5.85546875" style="69" customWidth="1"/>
    <col min="12571" max="12571" width="11.42578125" style="69"/>
    <col min="12572" max="12572" width="12.42578125" style="69" bestFit="1" customWidth="1"/>
    <col min="12573" max="12794" width="11.42578125" style="69"/>
    <col min="12795" max="12795" width="8" style="69" customWidth="1"/>
    <col min="12796" max="12796" width="16.85546875" style="69" customWidth="1"/>
    <col min="12797" max="12798" width="5.140625" style="69" customWidth="1"/>
    <col min="12799" max="12799" width="6.140625" style="69" bestFit="1" customWidth="1"/>
    <col min="12800" max="12800" width="5.28515625" style="69" customWidth="1"/>
    <col min="12801" max="12801" width="4.28515625" style="69" customWidth="1"/>
    <col min="12802" max="12802" width="7.28515625" style="69" customWidth="1"/>
    <col min="12803" max="12803" width="7.42578125" style="69" customWidth="1"/>
    <col min="12804" max="12804" width="5.42578125" style="69" customWidth="1"/>
    <col min="12805" max="12806" width="5.140625" style="69" customWidth="1"/>
    <col min="12807" max="12807" width="4.5703125" style="69" customWidth="1"/>
    <col min="12808" max="12808" width="8" style="69" customWidth="1"/>
    <col min="12809" max="12809" width="7.42578125" style="69" customWidth="1"/>
    <col min="12810" max="12810" width="6.140625" style="69" customWidth="1"/>
    <col min="12811" max="12811" width="5.42578125" style="69" customWidth="1"/>
    <col min="12812" max="12812" width="11.42578125" style="69"/>
    <col min="12813" max="12813" width="7.42578125" style="69" customWidth="1"/>
    <col min="12814" max="12814" width="7.28515625" style="69" customWidth="1"/>
    <col min="12815" max="12815" width="5.42578125" style="69" customWidth="1"/>
    <col min="12816" max="12816" width="7.7109375" style="69" customWidth="1"/>
    <col min="12817" max="12817" width="7.140625" style="69" customWidth="1"/>
    <col min="12818" max="12818" width="6" style="69" customWidth="1"/>
    <col min="12819" max="12819" width="7.5703125" style="69" customWidth="1"/>
    <col min="12820" max="12820" width="7.140625" style="69" customWidth="1"/>
    <col min="12821" max="12821" width="7.42578125" style="69" customWidth="1"/>
    <col min="12822" max="12822" width="5.7109375" style="69" customWidth="1"/>
    <col min="12823" max="12823" width="7.5703125" style="69" customWidth="1"/>
    <col min="12824" max="12824" width="7.85546875" style="69" customWidth="1"/>
    <col min="12825" max="12825" width="8" style="69" customWidth="1"/>
    <col min="12826" max="12826" width="5.85546875" style="69" customWidth="1"/>
    <col min="12827" max="12827" width="11.42578125" style="69"/>
    <col min="12828" max="12828" width="12.42578125" style="69" bestFit="1" customWidth="1"/>
    <col min="12829" max="13050" width="11.42578125" style="69"/>
    <col min="13051" max="13051" width="8" style="69" customWidth="1"/>
    <col min="13052" max="13052" width="16.85546875" style="69" customWidth="1"/>
    <col min="13053" max="13054" width="5.140625" style="69" customWidth="1"/>
    <col min="13055" max="13055" width="6.140625" style="69" bestFit="1" customWidth="1"/>
    <col min="13056" max="13056" width="5.28515625" style="69" customWidth="1"/>
    <col min="13057" max="13057" width="4.28515625" style="69" customWidth="1"/>
    <col min="13058" max="13058" width="7.28515625" style="69" customWidth="1"/>
    <col min="13059" max="13059" width="7.42578125" style="69" customWidth="1"/>
    <col min="13060" max="13060" width="5.42578125" style="69" customWidth="1"/>
    <col min="13061" max="13062" width="5.140625" style="69" customWidth="1"/>
    <col min="13063" max="13063" width="4.5703125" style="69" customWidth="1"/>
    <col min="13064" max="13064" width="8" style="69" customWidth="1"/>
    <col min="13065" max="13065" width="7.42578125" style="69" customWidth="1"/>
    <col min="13066" max="13066" width="6.140625" style="69" customWidth="1"/>
    <col min="13067" max="13067" width="5.42578125" style="69" customWidth="1"/>
    <col min="13068" max="13068" width="11.42578125" style="69"/>
    <col min="13069" max="13069" width="7.42578125" style="69" customWidth="1"/>
    <col min="13070" max="13070" width="7.28515625" style="69" customWidth="1"/>
    <col min="13071" max="13071" width="5.42578125" style="69" customWidth="1"/>
    <col min="13072" max="13072" width="7.7109375" style="69" customWidth="1"/>
    <col min="13073" max="13073" width="7.140625" style="69" customWidth="1"/>
    <col min="13074" max="13074" width="6" style="69" customWidth="1"/>
    <col min="13075" max="13075" width="7.5703125" style="69" customWidth="1"/>
    <col min="13076" max="13076" width="7.140625" style="69" customWidth="1"/>
    <col min="13077" max="13077" width="7.42578125" style="69" customWidth="1"/>
    <col min="13078" max="13078" width="5.7109375" style="69" customWidth="1"/>
    <col min="13079" max="13079" width="7.5703125" style="69" customWidth="1"/>
    <col min="13080" max="13080" width="7.85546875" style="69" customWidth="1"/>
    <col min="13081" max="13081" width="8" style="69" customWidth="1"/>
    <col min="13082" max="13082" width="5.85546875" style="69" customWidth="1"/>
    <col min="13083" max="13083" width="11.42578125" style="69"/>
    <col min="13084" max="13084" width="12.42578125" style="69" bestFit="1" customWidth="1"/>
    <col min="13085" max="13306" width="11.42578125" style="69"/>
    <col min="13307" max="13307" width="8" style="69" customWidth="1"/>
    <col min="13308" max="13308" width="16.85546875" style="69" customWidth="1"/>
    <col min="13309" max="13310" width="5.140625" style="69" customWidth="1"/>
    <col min="13311" max="13311" width="6.140625" style="69" bestFit="1" customWidth="1"/>
    <col min="13312" max="13312" width="5.28515625" style="69" customWidth="1"/>
    <col min="13313" max="13313" width="4.28515625" style="69" customWidth="1"/>
    <col min="13314" max="13314" width="7.28515625" style="69" customWidth="1"/>
    <col min="13315" max="13315" width="7.42578125" style="69" customWidth="1"/>
    <col min="13316" max="13316" width="5.42578125" style="69" customWidth="1"/>
    <col min="13317" max="13318" width="5.140625" style="69" customWidth="1"/>
    <col min="13319" max="13319" width="4.5703125" style="69" customWidth="1"/>
    <col min="13320" max="13320" width="8" style="69" customWidth="1"/>
    <col min="13321" max="13321" width="7.42578125" style="69" customWidth="1"/>
    <col min="13322" max="13322" width="6.140625" style="69" customWidth="1"/>
    <col min="13323" max="13323" width="5.42578125" style="69" customWidth="1"/>
    <col min="13324" max="13324" width="11.42578125" style="69"/>
    <col min="13325" max="13325" width="7.42578125" style="69" customWidth="1"/>
    <col min="13326" max="13326" width="7.28515625" style="69" customWidth="1"/>
    <col min="13327" max="13327" width="5.42578125" style="69" customWidth="1"/>
    <col min="13328" max="13328" width="7.7109375" style="69" customWidth="1"/>
    <col min="13329" max="13329" width="7.140625" style="69" customWidth="1"/>
    <col min="13330" max="13330" width="6" style="69" customWidth="1"/>
    <col min="13331" max="13331" width="7.5703125" style="69" customWidth="1"/>
    <col min="13332" max="13332" width="7.140625" style="69" customWidth="1"/>
    <col min="13333" max="13333" width="7.42578125" style="69" customWidth="1"/>
    <col min="13334" max="13334" width="5.7109375" style="69" customWidth="1"/>
    <col min="13335" max="13335" width="7.5703125" style="69" customWidth="1"/>
    <col min="13336" max="13336" width="7.85546875" style="69" customWidth="1"/>
    <col min="13337" max="13337" width="8" style="69" customWidth="1"/>
    <col min="13338" max="13338" width="5.85546875" style="69" customWidth="1"/>
    <col min="13339" max="13339" width="11.42578125" style="69"/>
    <col min="13340" max="13340" width="12.42578125" style="69" bestFit="1" customWidth="1"/>
    <col min="13341" max="13562" width="11.42578125" style="69"/>
    <col min="13563" max="13563" width="8" style="69" customWidth="1"/>
    <col min="13564" max="13564" width="16.85546875" style="69" customWidth="1"/>
    <col min="13565" max="13566" width="5.140625" style="69" customWidth="1"/>
    <col min="13567" max="13567" width="6.140625" style="69" bestFit="1" customWidth="1"/>
    <col min="13568" max="13568" width="5.28515625" style="69" customWidth="1"/>
    <col min="13569" max="13569" width="4.28515625" style="69" customWidth="1"/>
    <col min="13570" max="13570" width="7.28515625" style="69" customWidth="1"/>
    <col min="13571" max="13571" width="7.42578125" style="69" customWidth="1"/>
    <col min="13572" max="13572" width="5.42578125" style="69" customWidth="1"/>
    <col min="13573" max="13574" width="5.140625" style="69" customWidth="1"/>
    <col min="13575" max="13575" width="4.5703125" style="69" customWidth="1"/>
    <col min="13576" max="13576" width="8" style="69" customWidth="1"/>
    <col min="13577" max="13577" width="7.42578125" style="69" customWidth="1"/>
    <col min="13578" max="13578" width="6.140625" style="69" customWidth="1"/>
    <col min="13579" max="13579" width="5.42578125" style="69" customWidth="1"/>
    <col min="13580" max="13580" width="11.42578125" style="69"/>
    <col min="13581" max="13581" width="7.42578125" style="69" customWidth="1"/>
    <col min="13582" max="13582" width="7.28515625" style="69" customWidth="1"/>
    <col min="13583" max="13583" width="5.42578125" style="69" customWidth="1"/>
    <col min="13584" max="13584" width="7.7109375" style="69" customWidth="1"/>
    <col min="13585" max="13585" width="7.140625" style="69" customWidth="1"/>
    <col min="13586" max="13586" width="6" style="69" customWidth="1"/>
    <col min="13587" max="13587" width="7.5703125" style="69" customWidth="1"/>
    <col min="13588" max="13588" width="7.140625" style="69" customWidth="1"/>
    <col min="13589" max="13589" width="7.42578125" style="69" customWidth="1"/>
    <col min="13590" max="13590" width="5.7109375" style="69" customWidth="1"/>
    <col min="13591" max="13591" width="7.5703125" style="69" customWidth="1"/>
    <col min="13592" max="13592" width="7.85546875" style="69" customWidth="1"/>
    <col min="13593" max="13593" width="8" style="69" customWidth="1"/>
    <col min="13594" max="13594" width="5.85546875" style="69" customWidth="1"/>
    <col min="13595" max="13595" width="11.42578125" style="69"/>
    <col min="13596" max="13596" width="12.42578125" style="69" bestFit="1" customWidth="1"/>
    <col min="13597" max="13818" width="11.42578125" style="69"/>
    <col min="13819" max="13819" width="8" style="69" customWidth="1"/>
    <col min="13820" max="13820" width="16.85546875" style="69" customWidth="1"/>
    <col min="13821" max="13822" width="5.140625" style="69" customWidth="1"/>
    <col min="13823" max="13823" width="6.140625" style="69" bestFit="1" customWidth="1"/>
    <col min="13824" max="13824" width="5.28515625" style="69" customWidth="1"/>
    <col min="13825" max="13825" width="4.28515625" style="69" customWidth="1"/>
    <col min="13826" max="13826" width="7.28515625" style="69" customWidth="1"/>
    <col min="13827" max="13827" width="7.42578125" style="69" customWidth="1"/>
    <col min="13828" max="13828" width="5.42578125" style="69" customWidth="1"/>
    <col min="13829" max="13830" width="5.140625" style="69" customWidth="1"/>
    <col min="13831" max="13831" width="4.5703125" style="69" customWidth="1"/>
    <col min="13832" max="13832" width="8" style="69" customWidth="1"/>
    <col min="13833" max="13833" width="7.42578125" style="69" customWidth="1"/>
    <col min="13834" max="13834" width="6.140625" style="69" customWidth="1"/>
    <col min="13835" max="13835" width="5.42578125" style="69" customWidth="1"/>
    <col min="13836" max="13836" width="11.42578125" style="69"/>
    <col min="13837" max="13837" width="7.42578125" style="69" customWidth="1"/>
    <col min="13838" max="13838" width="7.28515625" style="69" customWidth="1"/>
    <col min="13839" max="13839" width="5.42578125" style="69" customWidth="1"/>
    <col min="13840" max="13840" width="7.7109375" style="69" customWidth="1"/>
    <col min="13841" max="13841" width="7.140625" style="69" customWidth="1"/>
    <col min="13842" max="13842" width="6" style="69" customWidth="1"/>
    <col min="13843" max="13843" width="7.5703125" style="69" customWidth="1"/>
    <col min="13844" max="13844" width="7.140625" style="69" customWidth="1"/>
    <col min="13845" max="13845" width="7.42578125" style="69" customWidth="1"/>
    <col min="13846" max="13846" width="5.7109375" style="69" customWidth="1"/>
    <col min="13847" max="13847" width="7.5703125" style="69" customWidth="1"/>
    <col min="13848" max="13848" width="7.85546875" style="69" customWidth="1"/>
    <col min="13849" max="13849" width="8" style="69" customWidth="1"/>
    <col min="13850" max="13850" width="5.85546875" style="69" customWidth="1"/>
    <col min="13851" max="13851" width="11.42578125" style="69"/>
    <col min="13852" max="13852" width="12.42578125" style="69" bestFit="1" customWidth="1"/>
    <col min="13853" max="14074" width="11.42578125" style="69"/>
    <col min="14075" max="14075" width="8" style="69" customWidth="1"/>
    <col min="14076" max="14076" width="16.85546875" style="69" customWidth="1"/>
    <col min="14077" max="14078" width="5.140625" style="69" customWidth="1"/>
    <col min="14079" max="14079" width="6.140625" style="69" bestFit="1" customWidth="1"/>
    <col min="14080" max="14080" width="5.28515625" style="69" customWidth="1"/>
    <col min="14081" max="14081" width="4.28515625" style="69" customWidth="1"/>
    <col min="14082" max="14082" width="7.28515625" style="69" customWidth="1"/>
    <col min="14083" max="14083" width="7.42578125" style="69" customWidth="1"/>
    <col min="14084" max="14084" width="5.42578125" style="69" customWidth="1"/>
    <col min="14085" max="14086" width="5.140625" style="69" customWidth="1"/>
    <col min="14087" max="14087" width="4.5703125" style="69" customWidth="1"/>
    <col min="14088" max="14088" width="8" style="69" customWidth="1"/>
    <col min="14089" max="14089" width="7.42578125" style="69" customWidth="1"/>
    <col min="14090" max="14090" width="6.140625" style="69" customWidth="1"/>
    <col min="14091" max="14091" width="5.42578125" style="69" customWidth="1"/>
    <col min="14092" max="14092" width="11.42578125" style="69"/>
    <col min="14093" max="14093" width="7.42578125" style="69" customWidth="1"/>
    <col min="14094" max="14094" width="7.28515625" style="69" customWidth="1"/>
    <col min="14095" max="14095" width="5.42578125" style="69" customWidth="1"/>
    <col min="14096" max="14096" width="7.7109375" style="69" customWidth="1"/>
    <col min="14097" max="14097" width="7.140625" style="69" customWidth="1"/>
    <col min="14098" max="14098" width="6" style="69" customWidth="1"/>
    <col min="14099" max="14099" width="7.5703125" style="69" customWidth="1"/>
    <col min="14100" max="14100" width="7.140625" style="69" customWidth="1"/>
    <col min="14101" max="14101" width="7.42578125" style="69" customWidth="1"/>
    <col min="14102" max="14102" width="5.7109375" style="69" customWidth="1"/>
    <col min="14103" max="14103" width="7.5703125" style="69" customWidth="1"/>
    <col min="14104" max="14104" width="7.85546875" style="69" customWidth="1"/>
    <col min="14105" max="14105" width="8" style="69" customWidth="1"/>
    <col min="14106" max="14106" width="5.85546875" style="69" customWidth="1"/>
    <col min="14107" max="14107" width="11.42578125" style="69"/>
    <col min="14108" max="14108" width="12.42578125" style="69" bestFit="1" customWidth="1"/>
    <col min="14109" max="14330" width="11.42578125" style="69"/>
    <col min="14331" max="14331" width="8" style="69" customWidth="1"/>
    <col min="14332" max="14332" width="16.85546875" style="69" customWidth="1"/>
    <col min="14333" max="14334" width="5.140625" style="69" customWidth="1"/>
    <col min="14335" max="14335" width="6.140625" style="69" bestFit="1" customWidth="1"/>
    <col min="14336" max="14336" width="5.28515625" style="69" customWidth="1"/>
    <col min="14337" max="14337" width="4.28515625" style="69" customWidth="1"/>
    <col min="14338" max="14338" width="7.28515625" style="69" customWidth="1"/>
    <col min="14339" max="14339" width="7.42578125" style="69" customWidth="1"/>
    <col min="14340" max="14340" width="5.42578125" style="69" customWidth="1"/>
    <col min="14341" max="14342" width="5.140625" style="69" customWidth="1"/>
    <col min="14343" max="14343" width="4.5703125" style="69" customWidth="1"/>
    <col min="14344" max="14344" width="8" style="69" customWidth="1"/>
    <col min="14345" max="14345" width="7.42578125" style="69" customWidth="1"/>
    <col min="14346" max="14346" width="6.140625" style="69" customWidth="1"/>
    <col min="14347" max="14347" width="5.42578125" style="69" customWidth="1"/>
    <col min="14348" max="14348" width="11.42578125" style="69"/>
    <col min="14349" max="14349" width="7.42578125" style="69" customWidth="1"/>
    <col min="14350" max="14350" width="7.28515625" style="69" customWidth="1"/>
    <col min="14351" max="14351" width="5.42578125" style="69" customWidth="1"/>
    <col min="14352" max="14352" width="7.7109375" style="69" customWidth="1"/>
    <col min="14353" max="14353" width="7.140625" style="69" customWidth="1"/>
    <col min="14354" max="14354" width="6" style="69" customWidth="1"/>
    <col min="14355" max="14355" width="7.5703125" style="69" customWidth="1"/>
    <col min="14356" max="14356" width="7.140625" style="69" customWidth="1"/>
    <col min="14357" max="14357" width="7.42578125" style="69" customWidth="1"/>
    <col min="14358" max="14358" width="5.7109375" style="69" customWidth="1"/>
    <col min="14359" max="14359" width="7.5703125" style="69" customWidth="1"/>
    <col min="14360" max="14360" width="7.85546875" style="69" customWidth="1"/>
    <col min="14361" max="14361" width="8" style="69" customWidth="1"/>
    <col min="14362" max="14362" width="5.85546875" style="69" customWidth="1"/>
    <col min="14363" max="14363" width="11.42578125" style="69"/>
    <col min="14364" max="14364" width="12.42578125" style="69" bestFit="1" customWidth="1"/>
    <col min="14365" max="14586" width="11.42578125" style="69"/>
    <col min="14587" max="14587" width="8" style="69" customWidth="1"/>
    <col min="14588" max="14588" width="16.85546875" style="69" customWidth="1"/>
    <col min="14589" max="14590" width="5.140625" style="69" customWidth="1"/>
    <col min="14591" max="14591" width="6.140625" style="69" bestFit="1" customWidth="1"/>
    <col min="14592" max="14592" width="5.28515625" style="69" customWidth="1"/>
    <col min="14593" max="14593" width="4.28515625" style="69" customWidth="1"/>
    <col min="14594" max="14594" width="7.28515625" style="69" customWidth="1"/>
    <col min="14595" max="14595" width="7.42578125" style="69" customWidth="1"/>
    <col min="14596" max="14596" width="5.42578125" style="69" customWidth="1"/>
    <col min="14597" max="14598" width="5.140625" style="69" customWidth="1"/>
    <col min="14599" max="14599" width="4.5703125" style="69" customWidth="1"/>
    <col min="14600" max="14600" width="8" style="69" customWidth="1"/>
    <col min="14601" max="14601" width="7.42578125" style="69" customWidth="1"/>
    <col min="14602" max="14602" width="6.140625" style="69" customWidth="1"/>
    <col min="14603" max="14603" width="5.42578125" style="69" customWidth="1"/>
    <col min="14604" max="14604" width="11.42578125" style="69"/>
    <col min="14605" max="14605" width="7.42578125" style="69" customWidth="1"/>
    <col min="14606" max="14606" width="7.28515625" style="69" customWidth="1"/>
    <col min="14607" max="14607" width="5.42578125" style="69" customWidth="1"/>
    <col min="14608" max="14608" width="7.7109375" style="69" customWidth="1"/>
    <col min="14609" max="14609" width="7.140625" style="69" customWidth="1"/>
    <col min="14610" max="14610" width="6" style="69" customWidth="1"/>
    <col min="14611" max="14611" width="7.5703125" style="69" customWidth="1"/>
    <col min="14612" max="14612" width="7.140625" style="69" customWidth="1"/>
    <col min="14613" max="14613" width="7.42578125" style="69" customWidth="1"/>
    <col min="14614" max="14614" width="5.7109375" style="69" customWidth="1"/>
    <col min="14615" max="14615" width="7.5703125" style="69" customWidth="1"/>
    <col min="14616" max="14616" width="7.85546875" style="69" customWidth="1"/>
    <col min="14617" max="14617" width="8" style="69" customWidth="1"/>
    <col min="14618" max="14618" width="5.85546875" style="69" customWidth="1"/>
    <col min="14619" max="14619" width="11.42578125" style="69"/>
    <col min="14620" max="14620" width="12.42578125" style="69" bestFit="1" customWidth="1"/>
    <col min="14621" max="14842" width="11.42578125" style="69"/>
    <col min="14843" max="14843" width="8" style="69" customWidth="1"/>
    <col min="14844" max="14844" width="16.85546875" style="69" customWidth="1"/>
    <col min="14845" max="14846" width="5.140625" style="69" customWidth="1"/>
    <col min="14847" max="14847" width="6.140625" style="69" bestFit="1" customWidth="1"/>
    <col min="14848" max="14848" width="5.28515625" style="69" customWidth="1"/>
    <col min="14849" max="14849" width="4.28515625" style="69" customWidth="1"/>
    <col min="14850" max="14850" width="7.28515625" style="69" customWidth="1"/>
    <col min="14851" max="14851" width="7.42578125" style="69" customWidth="1"/>
    <col min="14852" max="14852" width="5.42578125" style="69" customWidth="1"/>
    <col min="14853" max="14854" width="5.140625" style="69" customWidth="1"/>
    <col min="14855" max="14855" width="4.5703125" style="69" customWidth="1"/>
    <col min="14856" max="14856" width="8" style="69" customWidth="1"/>
    <col min="14857" max="14857" width="7.42578125" style="69" customWidth="1"/>
    <col min="14858" max="14858" width="6.140625" style="69" customWidth="1"/>
    <col min="14859" max="14859" width="5.42578125" style="69" customWidth="1"/>
    <col min="14860" max="14860" width="11.42578125" style="69"/>
    <col min="14861" max="14861" width="7.42578125" style="69" customWidth="1"/>
    <col min="14862" max="14862" width="7.28515625" style="69" customWidth="1"/>
    <col min="14863" max="14863" width="5.42578125" style="69" customWidth="1"/>
    <col min="14864" max="14864" width="7.7109375" style="69" customWidth="1"/>
    <col min="14865" max="14865" width="7.140625" style="69" customWidth="1"/>
    <col min="14866" max="14866" width="6" style="69" customWidth="1"/>
    <col min="14867" max="14867" width="7.5703125" style="69" customWidth="1"/>
    <col min="14868" max="14868" width="7.140625" style="69" customWidth="1"/>
    <col min="14869" max="14869" width="7.42578125" style="69" customWidth="1"/>
    <col min="14870" max="14870" width="5.7109375" style="69" customWidth="1"/>
    <col min="14871" max="14871" width="7.5703125" style="69" customWidth="1"/>
    <col min="14872" max="14872" width="7.85546875" style="69" customWidth="1"/>
    <col min="14873" max="14873" width="8" style="69" customWidth="1"/>
    <col min="14874" max="14874" width="5.85546875" style="69" customWidth="1"/>
    <col min="14875" max="14875" width="11.42578125" style="69"/>
    <col min="14876" max="14876" width="12.42578125" style="69" bestFit="1" customWidth="1"/>
    <col min="14877" max="15098" width="11.42578125" style="69"/>
    <col min="15099" max="15099" width="8" style="69" customWidth="1"/>
    <col min="15100" max="15100" width="16.85546875" style="69" customWidth="1"/>
    <col min="15101" max="15102" width="5.140625" style="69" customWidth="1"/>
    <col min="15103" max="15103" width="6.140625" style="69" bestFit="1" customWidth="1"/>
    <col min="15104" max="15104" width="5.28515625" style="69" customWidth="1"/>
    <col min="15105" max="15105" width="4.28515625" style="69" customWidth="1"/>
    <col min="15106" max="15106" width="7.28515625" style="69" customWidth="1"/>
    <col min="15107" max="15107" width="7.42578125" style="69" customWidth="1"/>
    <col min="15108" max="15108" width="5.42578125" style="69" customWidth="1"/>
    <col min="15109" max="15110" width="5.140625" style="69" customWidth="1"/>
    <col min="15111" max="15111" width="4.5703125" style="69" customWidth="1"/>
    <col min="15112" max="15112" width="8" style="69" customWidth="1"/>
    <col min="15113" max="15113" width="7.42578125" style="69" customWidth="1"/>
    <col min="15114" max="15114" width="6.140625" style="69" customWidth="1"/>
    <col min="15115" max="15115" width="5.42578125" style="69" customWidth="1"/>
    <col min="15116" max="15116" width="11.42578125" style="69"/>
    <col min="15117" max="15117" width="7.42578125" style="69" customWidth="1"/>
    <col min="15118" max="15118" width="7.28515625" style="69" customWidth="1"/>
    <col min="15119" max="15119" width="5.42578125" style="69" customWidth="1"/>
    <col min="15120" max="15120" width="7.7109375" style="69" customWidth="1"/>
    <col min="15121" max="15121" width="7.140625" style="69" customWidth="1"/>
    <col min="15122" max="15122" width="6" style="69" customWidth="1"/>
    <col min="15123" max="15123" width="7.5703125" style="69" customWidth="1"/>
    <col min="15124" max="15124" width="7.140625" style="69" customWidth="1"/>
    <col min="15125" max="15125" width="7.42578125" style="69" customWidth="1"/>
    <col min="15126" max="15126" width="5.7109375" style="69" customWidth="1"/>
    <col min="15127" max="15127" width="7.5703125" style="69" customWidth="1"/>
    <col min="15128" max="15128" width="7.85546875" style="69" customWidth="1"/>
    <col min="15129" max="15129" width="8" style="69" customWidth="1"/>
    <col min="15130" max="15130" width="5.85546875" style="69" customWidth="1"/>
    <col min="15131" max="15131" width="11.42578125" style="69"/>
    <col min="15132" max="15132" width="12.42578125" style="69" bestFit="1" customWidth="1"/>
    <col min="15133" max="15354" width="11.42578125" style="69"/>
    <col min="15355" max="15355" width="8" style="69" customWidth="1"/>
    <col min="15356" max="15356" width="16.85546875" style="69" customWidth="1"/>
    <col min="15357" max="15358" width="5.140625" style="69" customWidth="1"/>
    <col min="15359" max="15359" width="6.140625" style="69" bestFit="1" customWidth="1"/>
    <col min="15360" max="15360" width="5.28515625" style="69" customWidth="1"/>
    <col min="15361" max="15361" width="4.28515625" style="69" customWidth="1"/>
    <col min="15362" max="15362" width="7.28515625" style="69" customWidth="1"/>
    <col min="15363" max="15363" width="7.42578125" style="69" customWidth="1"/>
    <col min="15364" max="15364" width="5.42578125" style="69" customWidth="1"/>
    <col min="15365" max="15366" width="5.140625" style="69" customWidth="1"/>
    <col min="15367" max="15367" width="4.5703125" style="69" customWidth="1"/>
    <col min="15368" max="15368" width="8" style="69" customWidth="1"/>
    <col min="15369" max="15369" width="7.42578125" style="69" customWidth="1"/>
    <col min="15370" max="15370" width="6.140625" style="69" customWidth="1"/>
    <col min="15371" max="15371" width="5.42578125" style="69" customWidth="1"/>
    <col min="15372" max="15372" width="11.42578125" style="69"/>
    <col min="15373" max="15373" width="7.42578125" style="69" customWidth="1"/>
    <col min="15374" max="15374" width="7.28515625" style="69" customWidth="1"/>
    <col min="15375" max="15375" width="5.42578125" style="69" customWidth="1"/>
    <col min="15376" max="15376" width="7.7109375" style="69" customWidth="1"/>
    <col min="15377" max="15377" width="7.140625" style="69" customWidth="1"/>
    <col min="15378" max="15378" width="6" style="69" customWidth="1"/>
    <col min="15379" max="15379" width="7.5703125" style="69" customWidth="1"/>
    <col min="15380" max="15380" width="7.140625" style="69" customWidth="1"/>
    <col min="15381" max="15381" width="7.42578125" style="69" customWidth="1"/>
    <col min="15382" max="15382" width="5.7109375" style="69" customWidth="1"/>
    <col min="15383" max="15383" width="7.5703125" style="69" customWidth="1"/>
    <col min="15384" max="15384" width="7.85546875" style="69" customWidth="1"/>
    <col min="15385" max="15385" width="8" style="69" customWidth="1"/>
    <col min="15386" max="15386" width="5.85546875" style="69" customWidth="1"/>
    <col min="15387" max="15387" width="11.42578125" style="69"/>
    <col min="15388" max="15388" width="12.42578125" style="69" bestFit="1" customWidth="1"/>
    <col min="15389" max="15610" width="11.42578125" style="69"/>
    <col min="15611" max="15611" width="8" style="69" customWidth="1"/>
    <col min="15612" max="15612" width="16.85546875" style="69" customWidth="1"/>
    <col min="15613" max="15614" width="5.140625" style="69" customWidth="1"/>
    <col min="15615" max="15615" width="6.140625" style="69" bestFit="1" customWidth="1"/>
    <col min="15616" max="15616" width="5.28515625" style="69" customWidth="1"/>
    <col min="15617" max="15617" width="4.28515625" style="69" customWidth="1"/>
    <col min="15618" max="15618" width="7.28515625" style="69" customWidth="1"/>
    <col min="15619" max="15619" width="7.42578125" style="69" customWidth="1"/>
    <col min="15620" max="15620" width="5.42578125" style="69" customWidth="1"/>
    <col min="15621" max="15622" width="5.140625" style="69" customWidth="1"/>
    <col min="15623" max="15623" width="4.5703125" style="69" customWidth="1"/>
    <col min="15624" max="15624" width="8" style="69" customWidth="1"/>
    <col min="15625" max="15625" width="7.42578125" style="69" customWidth="1"/>
    <col min="15626" max="15626" width="6.140625" style="69" customWidth="1"/>
    <col min="15627" max="15627" width="5.42578125" style="69" customWidth="1"/>
    <col min="15628" max="15628" width="11.42578125" style="69"/>
    <col min="15629" max="15629" width="7.42578125" style="69" customWidth="1"/>
    <col min="15630" max="15630" width="7.28515625" style="69" customWidth="1"/>
    <col min="15631" max="15631" width="5.42578125" style="69" customWidth="1"/>
    <col min="15632" max="15632" width="7.7109375" style="69" customWidth="1"/>
    <col min="15633" max="15633" width="7.140625" style="69" customWidth="1"/>
    <col min="15634" max="15634" width="6" style="69" customWidth="1"/>
    <col min="15635" max="15635" width="7.5703125" style="69" customWidth="1"/>
    <col min="15636" max="15636" width="7.140625" style="69" customWidth="1"/>
    <col min="15637" max="15637" width="7.42578125" style="69" customWidth="1"/>
    <col min="15638" max="15638" width="5.7109375" style="69" customWidth="1"/>
    <col min="15639" max="15639" width="7.5703125" style="69" customWidth="1"/>
    <col min="15640" max="15640" width="7.85546875" style="69" customWidth="1"/>
    <col min="15641" max="15641" width="8" style="69" customWidth="1"/>
    <col min="15642" max="15642" width="5.85546875" style="69" customWidth="1"/>
    <col min="15643" max="15643" width="11.42578125" style="69"/>
    <col min="15644" max="15644" width="12.42578125" style="69" bestFit="1" customWidth="1"/>
    <col min="15645" max="15866" width="11.42578125" style="69"/>
    <col min="15867" max="15867" width="8" style="69" customWidth="1"/>
    <col min="15868" max="15868" width="16.85546875" style="69" customWidth="1"/>
    <col min="15869" max="15870" width="5.140625" style="69" customWidth="1"/>
    <col min="15871" max="15871" width="6.140625" style="69" bestFit="1" customWidth="1"/>
    <col min="15872" max="15872" width="5.28515625" style="69" customWidth="1"/>
    <col min="15873" max="15873" width="4.28515625" style="69" customWidth="1"/>
    <col min="15874" max="15874" width="7.28515625" style="69" customWidth="1"/>
    <col min="15875" max="15875" width="7.42578125" style="69" customWidth="1"/>
    <col min="15876" max="15876" width="5.42578125" style="69" customWidth="1"/>
    <col min="15877" max="15878" width="5.140625" style="69" customWidth="1"/>
    <col min="15879" max="15879" width="4.5703125" style="69" customWidth="1"/>
    <col min="15880" max="15880" width="8" style="69" customWidth="1"/>
    <col min="15881" max="15881" width="7.42578125" style="69" customWidth="1"/>
    <col min="15882" max="15882" width="6.140625" style="69" customWidth="1"/>
    <col min="15883" max="15883" width="5.42578125" style="69" customWidth="1"/>
    <col min="15884" max="15884" width="11.42578125" style="69"/>
    <col min="15885" max="15885" width="7.42578125" style="69" customWidth="1"/>
    <col min="15886" max="15886" width="7.28515625" style="69" customWidth="1"/>
    <col min="15887" max="15887" width="5.42578125" style="69" customWidth="1"/>
    <col min="15888" max="15888" width="7.7109375" style="69" customWidth="1"/>
    <col min="15889" max="15889" width="7.140625" style="69" customWidth="1"/>
    <col min="15890" max="15890" width="6" style="69" customWidth="1"/>
    <col min="15891" max="15891" width="7.5703125" style="69" customWidth="1"/>
    <col min="15892" max="15892" width="7.140625" style="69" customWidth="1"/>
    <col min="15893" max="15893" width="7.42578125" style="69" customWidth="1"/>
    <col min="15894" max="15894" width="5.7109375" style="69" customWidth="1"/>
    <col min="15895" max="15895" width="7.5703125" style="69" customWidth="1"/>
    <col min="15896" max="15896" width="7.85546875" style="69" customWidth="1"/>
    <col min="15897" max="15897" width="8" style="69" customWidth="1"/>
    <col min="15898" max="15898" width="5.85546875" style="69" customWidth="1"/>
    <col min="15899" max="15899" width="11.42578125" style="69"/>
    <col min="15900" max="15900" width="12.42578125" style="69" bestFit="1" customWidth="1"/>
    <col min="15901" max="16122" width="11.42578125" style="69"/>
    <col min="16123" max="16123" width="8" style="69" customWidth="1"/>
    <col min="16124" max="16124" width="16.85546875" style="69" customWidth="1"/>
    <col min="16125" max="16126" width="5.140625" style="69" customWidth="1"/>
    <col min="16127" max="16127" width="6.140625" style="69" bestFit="1" customWidth="1"/>
    <col min="16128" max="16128" width="5.28515625" style="69" customWidth="1"/>
    <col min="16129" max="16129" width="4.28515625" style="69" customWidth="1"/>
    <col min="16130" max="16130" width="7.28515625" style="69" customWidth="1"/>
    <col min="16131" max="16131" width="7.42578125" style="69" customWidth="1"/>
    <col min="16132" max="16132" width="5.42578125" style="69" customWidth="1"/>
    <col min="16133" max="16134" width="5.140625" style="69" customWidth="1"/>
    <col min="16135" max="16135" width="4.5703125" style="69" customWidth="1"/>
    <col min="16136" max="16136" width="8" style="69" customWidth="1"/>
    <col min="16137" max="16137" width="7.42578125" style="69" customWidth="1"/>
    <col min="16138" max="16138" width="6.140625" style="69" customWidth="1"/>
    <col min="16139" max="16139" width="5.42578125" style="69" customWidth="1"/>
    <col min="16140" max="16140" width="11.42578125" style="69"/>
    <col min="16141" max="16141" width="7.42578125" style="69" customWidth="1"/>
    <col min="16142" max="16142" width="7.28515625" style="69" customWidth="1"/>
    <col min="16143" max="16143" width="5.42578125" style="69" customWidth="1"/>
    <col min="16144" max="16144" width="7.7109375" style="69" customWidth="1"/>
    <col min="16145" max="16145" width="7.140625" style="69" customWidth="1"/>
    <col min="16146" max="16146" width="6" style="69" customWidth="1"/>
    <col min="16147" max="16147" width="7.5703125" style="69" customWidth="1"/>
    <col min="16148" max="16148" width="7.140625" style="69" customWidth="1"/>
    <col min="16149" max="16149" width="7.42578125" style="69" customWidth="1"/>
    <col min="16150" max="16150" width="5.7109375" style="69" customWidth="1"/>
    <col min="16151" max="16151" width="7.5703125" style="69" customWidth="1"/>
    <col min="16152" max="16152" width="7.85546875" style="69" customWidth="1"/>
    <col min="16153" max="16153" width="8" style="69" customWidth="1"/>
    <col min="16154" max="16154" width="5.85546875" style="69" customWidth="1"/>
    <col min="16155" max="16155" width="11.42578125" style="69"/>
    <col min="16156" max="16156" width="12.42578125" style="69" bestFit="1" customWidth="1"/>
    <col min="16157" max="16384" width="11.42578125" style="69"/>
  </cols>
  <sheetData>
    <row r="1" spans="1:37" ht="35.25" customHeight="1" x14ac:dyDescent="0.2">
      <c r="A1" s="497" t="s">
        <v>0</v>
      </c>
      <c r="B1" s="65" t="s">
        <v>1</v>
      </c>
      <c r="C1" s="490" t="s">
        <v>2</v>
      </c>
      <c r="D1" s="491"/>
      <c r="E1" s="491"/>
      <c r="F1" s="491"/>
      <c r="G1" s="492"/>
      <c r="H1" s="66" t="s">
        <v>3</v>
      </c>
      <c r="I1" s="2" t="s">
        <v>4</v>
      </c>
      <c r="J1" s="68" t="s">
        <v>209</v>
      </c>
      <c r="K1" s="68"/>
      <c r="L1" s="3" t="s">
        <v>6</v>
      </c>
      <c r="M1" s="241"/>
      <c r="N1" s="2" t="s">
        <v>4</v>
      </c>
      <c r="O1" s="68" t="s">
        <v>209</v>
      </c>
      <c r="P1" s="68"/>
      <c r="Q1" s="3" t="s">
        <v>6</v>
      </c>
      <c r="R1" s="241"/>
      <c r="S1" s="502" t="s">
        <v>210</v>
      </c>
      <c r="T1" s="503"/>
      <c r="U1" s="503"/>
      <c r="V1" s="503"/>
      <c r="W1" s="503"/>
      <c r="X1" s="503"/>
      <c r="Y1" s="503"/>
      <c r="Z1" s="504"/>
      <c r="AE1" s="499" t="s">
        <v>206</v>
      </c>
      <c r="AF1" s="500"/>
      <c r="AG1" s="500"/>
      <c r="AH1" s="501"/>
      <c r="AI1" s="499" t="s">
        <v>207</v>
      </c>
      <c r="AJ1" s="501"/>
      <c r="AK1" s="67" t="s">
        <v>208</v>
      </c>
    </row>
    <row r="2" spans="1:37" x14ac:dyDescent="0.2">
      <c r="A2" s="497"/>
      <c r="B2" s="73" t="s">
        <v>423</v>
      </c>
      <c r="C2" s="70" t="s">
        <v>211</v>
      </c>
      <c r="D2" s="71" t="s">
        <v>212</v>
      </c>
      <c r="E2" s="71" t="s">
        <v>213</v>
      </c>
      <c r="F2" s="71" t="s">
        <v>214</v>
      </c>
      <c r="G2" s="72" t="s">
        <v>215</v>
      </c>
      <c r="H2" s="74" t="s">
        <v>216</v>
      </c>
      <c r="I2" s="79" t="s">
        <v>222</v>
      </c>
      <c r="J2" s="80" t="s">
        <v>223</v>
      </c>
      <c r="K2" s="81"/>
      <c r="L2" s="81" t="s">
        <v>224</v>
      </c>
      <c r="M2" s="242"/>
      <c r="N2" s="82" t="s">
        <v>225</v>
      </c>
      <c r="O2" s="80" t="s">
        <v>226</v>
      </c>
      <c r="P2" s="81"/>
      <c r="Q2" s="81" t="s">
        <v>227</v>
      </c>
      <c r="R2" s="242"/>
      <c r="S2" s="83" t="s">
        <v>228</v>
      </c>
      <c r="T2" s="80" t="s">
        <v>229</v>
      </c>
      <c r="U2" s="80" t="s">
        <v>230</v>
      </c>
      <c r="V2" s="80" t="s">
        <v>231</v>
      </c>
      <c r="W2" s="80" t="s">
        <v>232</v>
      </c>
      <c r="X2" s="80" t="s">
        <v>233</v>
      </c>
      <c r="Y2" s="80" t="s">
        <v>234</v>
      </c>
      <c r="Z2" s="84" t="s">
        <v>235</v>
      </c>
      <c r="AA2" s="69" t="s">
        <v>236</v>
      </c>
      <c r="AB2" s="69" t="s">
        <v>237</v>
      </c>
      <c r="AC2" s="69" t="s">
        <v>238</v>
      </c>
      <c r="AD2" s="69" t="s">
        <v>239</v>
      </c>
      <c r="AE2" s="75" t="s">
        <v>217</v>
      </c>
      <c r="AF2" s="76" t="s">
        <v>218</v>
      </c>
      <c r="AG2" s="76" t="s">
        <v>217</v>
      </c>
      <c r="AH2" s="77" t="s">
        <v>218</v>
      </c>
      <c r="AI2" s="75" t="s">
        <v>219</v>
      </c>
      <c r="AJ2" s="77" t="s">
        <v>220</v>
      </c>
      <c r="AK2" s="78" t="s">
        <v>221</v>
      </c>
    </row>
    <row r="3" spans="1:37" ht="15" thickBot="1" x14ac:dyDescent="0.25">
      <c r="A3" s="498"/>
      <c r="B3" s="88" t="s">
        <v>241</v>
      </c>
      <c r="C3" s="85" t="s">
        <v>240</v>
      </c>
      <c r="D3" s="86" t="s">
        <v>240</v>
      </c>
      <c r="E3" s="86" t="s">
        <v>240</v>
      </c>
      <c r="F3" s="86" t="s">
        <v>240</v>
      </c>
      <c r="G3" s="87" t="s">
        <v>240</v>
      </c>
      <c r="H3" s="89" t="s">
        <v>242</v>
      </c>
      <c r="I3" s="90" t="s">
        <v>246</v>
      </c>
      <c r="J3" s="86" t="s">
        <v>247</v>
      </c>
      <c r="K3" s="91"/>
      <c r="L3" s="91" t="s">
        <v>245</v>
      </c>
      <c r="M3" s="88"/>
      <c r="N3" s="85" t="s">
        <v>246</v>
      </c>
      <c r="O3" s="86" t="s">
        <v>247</v>
      </c>
      <c r="P3" s="91"/>
      <c r="Q3" s="91" t="s">
        <v>245</v>
      </c>
      <c r="R3" s="88"/>
      <c r="S3" s="85" t="s">
        <v>246</v>
      </c>
      <c r="T3" s="86" t="s">
        <v>240</v>
      </c>
      <c r="U3" s="86" t="s">
        <v>247</v>
      </c>
      <c r="V3" s="86" t="s">
        <v>245</v>
      </c>
      <c r="W3" s="86" t="s">
        <v>246</v>
      </c>
      <c r="X3" s="86" t="s">
        <v>240</v>
      </c>
      <c r="Y3" s="86" t="s">
        <v>247</v>
      </c>
      <c r="Z3" s="87" t="s">
        <v>245</v>
      </c>
      <c r="AE3" s="505" t="s">
        <v>243</v>
      </c>
      <c r="AF3" s="506"/>
      <c r="AG3" s="506" t="s">
        <v>244</v>
      </c>
      <c r="AH3" s="507"/>
      <c r="AI3" s="85" t="s">
        <v>240</v>
      </c>
      <c r="AJ3" s="87" t="s">
        <v>240</v>
      </c>
      <c r="AK3" s="89" t="s">
        <v>245</v>
      </c>
    </row>
    <row r="4" spans="1:37" ht="15.75" customHeight="1" thickBot="1" x14ac:dyDescent="0.25">
      <c r="A4" s="92"/>
      <c r="B4" s="238"/>
      <c r="C4" s="237" t="s">
        <v>248</v>
      </c>
      <c r="D4" s="238"/>
      <c r="E4" s="238"/>
      <c r="F4" s="238"/>
      <c r="G4" s="238"/>
      <c r="H4" s="238"/>
      <c r="I4" s="238"/>
      <c r="J4" s="238"/>
      <c r="K4" s="238"/>
      <c r="L4" s="238"/>
      <c r="M4" s="238"/>
      <c r="N4" s="238"/>
      <c r="O4" s="238"/>
      <c r="P4" s="238"/>
      <c r="Q4" s="238"/>
      <c r="R4" s="238"/>
      <c r="S4" s="238"/>
      <c r="T4" s="238"/>
      <c r="U4" s="238"/>
      <c r="V4" s="238"/>
      <c r="W4" s="238"/>
      <c r="X4" s="238"/>
      <c r="Y4" s="238"/>
      <c r="Z4" s="239"/>
      <c r="AE4" s="238"/>
      <c r="AF4" s="238"/>
      <c r="AG4" s="238"/>
      <c r="AH4" s="238"/>
      <c r="AI4" s="238"/>
      <c r="AJ4" s="238"/>
      <c r="AK4" s="238"/>
    </row>
    <row r="5" spans="1:37" s="99" customFormat="1" x14ac:dyDescent="0.2">
      <c r="A5" s="93" t="s">
        <v>249</v>
      </c>
      <c r="B5" s="96">
        <f t="shared" ref="B5:B36" si="0">0.1*7.85*H5</f>
        <v>0.88705000000000001</v>
      </c>
      <c r="C5" s="94">
        <v>20</v>
      </c>
      <c r="D5" s="94">
        <v>20</v>
      </c>
      <c r="E5" s="95">
        <v>3</v>
      </c>
      <c r="F5" s="95">
        <v>4</v>
      </c>
      <c r="G5" s="95">
        <f t="shared" ref="G5:G85" si="1">F5/2</f>
        <v>2</v>
      </c>
      <c r="H5" s="96">
        <v>1.1299999999999999</v>
      </c>
      <c r="I5" s="96">
        <v>0.39</v>
      </c>
      <c r="J5" s="96">
        <f t="shared" ref="J5:J36" si="2">I5*10/($C5-$AI5)</f>
        <v>0.27857142857142858</v>
      </c>
      <c r="K5" s="96"/>
      <c r="L5" s="96">
        <f t="shared" ref="L5:L36" si="3">SQRT(I5/H5)</f>
        <v>0.58747999401071682</v>
      </c>
      <c r="M5" s="96"/>
      <c r="N5" s="96">
        <f t="shared" ref="N5:N43" si="4">I5</f>
        <v>0.39</v>
      </c>
      <c r="O5" s="96">
        <f t="shared" ref="O5:O36" si="5">N5*10/($D5-$AJ5)</f>
        <v>0.27857142857142858</v>
      </c>
      <c r="P5" s="96"/>
      <c r="Q5" s="96">
        <f t="shared" ref="Q5:Q43" si="6">SQRT(N5/$H5)</f>
        <v>0.58747999401071682</v>
      </c>
      <c r="R5" s="96"/>
      <c r="S5" s="96">
        <v>0.61</v>
      </c>
      <c r="T5" s="95">
        <v>14.1</v>
      </c>
      <c r="U5" s="96">
        <f t="shared" ref="U5:U43" si="7">S5*10/T5</f>
        <v>0.43262411347517726</v>
      </c>
      <c r="V5" s="96">
        <f t="shared" ref="V5:V43" si="8">SQRT(S5/$H5)</f>
        <v>0.73472648574116173</v>
      </c>
      <c r="W5" s="96">
        <v>0.16</v>
      </c>
      <c r="X5" s="95">
        <v>8.4</v>
      </c>
      <c r="Y5" s="96">
        <f>W5*10/X5</f>
        <v>0.19047619047619047</v>
      </c>
      <c r="Z5" s="98">
        <f t="shared" ref="Z5:Z43" si="9">SQRT(W5/$H5)</f>
        <v>0.37628834735343897</v>
      </c>
      <c r="AA5" s="99">
        <f t="shared" ref="AA5:AA36" si="10">C5-(C5-E5)*E5/(2*D5)-(D5-2*E5)*E5/(2*D5)-PI()*E5*E5/(4*D5)-(1-PI()/4)*F5*F5/(2*D5)</f>
        <v>17.235730091830128</v>
      </c>
      <c r="AB5" s="99">
        <f t="shared" ref="AB5:AB36" si="11">((C5-2*E5)*(AA5-C5/2)*E5+((AA5-C5+E5)^2+(C5-AA5)^2)*(D5-E5)/2+PI()*E5*E5/4*AA5+(1-PI()/4)*F5*F5*((10-3*PI())/(12-3*PI())*F5+AA5-C5+E5))/1000</f>
        <v>0.49503255414555292</v>
      </c>
      <c r="AC5" s="99">
        <f>D5-(D5-E5)*E5/(2*C5)-(C5-2*E5)*E5/(2*C5)-PI()*E5*E5/(4*C5)-(1-PI()/4)*F5*F5/(2*C5)</f>
        <v>17.235730091830128</v>
      </c>
      <c r="AE5" s="94">
        <v>12</v>
      </c>
      <c r="AF5" s="94">
        <v>6</v>
      </c>
      <c r="AG5" s="94">
        <v>12</v>
      </c>
      <c r="AH5" s="94">
        <v>6</v>
      </c>
      <c r="AI5" s="95">
        <v>6</v>
      </c>
      <c r="AJ5" s="95">
        <f t="shared" ref="AJ5:AJ68" si="12">AI5</f>
        <v>6</v>
      </c>
      <c r="AK5" s="97">
        <v>0.5</v>
      </c>
    </row>
    <row r="6" spans="1:37" s="99" customFormat="1" x14ac:dyDescent="0.2">
      <c r="A6" s="100" t="s">
        <v>250</v>
      </c>
      <c r="B6" s="103">
        <f t="shared" si="0"/>
        <v>1.1225499999999999</v>
      </c>
      <c r="C6" s="101">
        <v>25</v>
      </c>
      <c r="D6" s="101">
        <v>25</v>
      </c>
      <c r="E6" s="102">
        <v>3</v>
      </c>
      <c r="F6" s="102">
        <v>4</v>
      </c>
      <c r="G6" s="102">
        <f t="shared" si="1"/>
        <v>2</v>
      </c>
      <c r="H6" s="103">
        <v>1.43</v>
      </c>
      <c r="I6" s="103">
        <v>0.8</v>
      </c>
      <c r="J6" s="103">
        <f t="shared" si="2"/>
        <v>0.449438202247191</v>
      </c>
      <c r="K6" s="103"/>
      <c r="L6" s="103">
        <f t="shared" si="3"/>
        <v>0.74795759200676581</v>
      </c>
      <c r="M6" s="103"/>
      <c r="N6" s="103">
        <f t="shared" si="4"/>
        <v>0.8</v>
      </c>
      <c r="O6" s="103">
        <f t="shared" si="5"/>
        <v>0.449438202247191</v>
      </c>
      <c r="P6" s="103"/>
      <c r="Q6" s="103">
        <f t="shared" si="6"/>
        <v>0.74795759200676581</v>
      </c>
      <c r="R6" s="103"/>
      <c r="S6" s="103">
        <v>1.26</v>
      </c>
      <c r="T6" s="102">
        <v>17.7</v>
      </c>
      <c r="U6" s="103">
        <f t="shared" si="7"/>
        <v>0.71186440677966101</v>
      </c>
      <c r="V6" s="103">
        <f t="shared" si="8"/>
        <v>0.93867932816211586</v>
      </c>
      <c r="W6" s="103">
        <v>0.33</v>
      </c>
      <c r="X6" s="102">
        <v>10.199999999999999</v>
      </c>
      <c r="Y6" s="103">
        <f t="shared" ref="Y6:Y69" si="13">W6*10/X6</f>
        <v>0.32352941176470595</v>
      </c>
      <c r="Z6" s="105">
        <f t="shared" si="9"/>
        <v>0.48038446141526142</v>
      </c>
      <c r="AA6" s="99">
        <f t="shared" si="10"/>
        <v>22.188584073464099</v>
      </c>
      <c r="AB6" s="99">
        <f t="shared" si="11"/>
        <v>0.80014238760904199</v>
      </c>
      <c r="AE6" s="101">
        <v>14</v>
      </c>
      <c r="AF6" s="101">
        <v>8</v>
      </c>
      <c r="AG6" s="101">
        <v>14</v>
      </c>
      <c r="AH6" s="101">
        <v>8</v>
      </c>
      <c r="AI6" s="102">
        <v>7.2</v>
      </c>
      <c r="AJ6" s="102">
        <f t="shared" si="12"/>
        <v>7.2</v>
      </c>
      <c r="AK6" s="104"/>
    </row>
    <row r="7" spans="1:37" x14ac:dyDescent="0.2">
      <c r="A7" s="106" t="s">
        <v>251</v>
      </c>
      <c r="B7" s="109">
        <f t="shared" si="0"/>
        <v>1.4601000000000002</v>
      </c>
      <c r="C7" s="107">
        <v>25</v>
      </c>
      <c r="D7" s="107">
        <v>25</v>
      </c>
      <c r="E7" s="108">
        <v>4</v>
      </c>
      <c r="F7" s="108">
        <v>4</v>
      </c>
      <c r="G7" s="108">
        <f t="shared" si="1"/>
        <v>2</v>
      </c>
      <c r="H7" s="109">
        <v>1.86</v>
      </c>
      <c r="I7" s="109">
        <v>1.1000000000000001</v>
      </c>
      <c r="J7" s="109">
        <f t="shared" si="2"/>
        <v>0.63218390804597702</v>
      </c>
      <c r="K7" s="109"/>
      <c r="L7" s="109">
        <f t="shared" si="3"/>
        <v>0.76902395896510634</v>
      </c>
      <c r="M7" s="109"/>
      <c r="N7" s="109">
        <f t="shared" si="4"/>
        <v>1.1000000000000001</v>
      </c>
      <c r="O7" s="109">
        <f t="shared" si="5"/>
        <v>0.63218390804597702</v>
      </c>
      <c r="P7" s="109"/>
      <c r="Q7" s="109">
        <f t="shared" si="6"/>
        <v>0.76902395896510634</v>
      </c>
      <c r="R7" s="109"/>
      <c r="S7" s="109">
        <v>1.6</v>
      </c>
      <c r="T7" s="108">
        <v>17.7</v>
      </c>
      <c r="U7" s="109">
        <f t="shared" si="7"/>
        <v>0.903954802259887</v>
      </c>
      <c r="V7" s="109">
        <f t="shared" si="8"/>
        <v>0.9274777915203366</v>
      </c>
      <c r="W7" s="109">
        <v>0.43</v>
      </c>
      <c r="X7" s="108">
        <v>10.7</v>
      </c>
      <c r="Y7" s="109">
        <f t="shared" si="13"/>
        <v>0.40186915887850466</v>
      </c>
      <c r="Z7" s="111">
        <f t="shared" si="9"/>
        <v>0.48081472075938431</v>
      </c>
      <c r="AA7" s="99">
        <f t="shared" si="10"/>
        <v>21.388672587712815</v>
      </c>
      <c r="AB7" s="99">
        <f t="shared" si="11"/>
        <v>1.0161340277666662</v>
      </c>
      <c r="AE7" s="107">
        <v>14</v>
      </c>
      <c r="AF7" s="107">
        <v>8</v>
      </c>
      <c r="AG7" s="107">
        <v>14</v>
      </c>
      <c r="AH7" s="107">
        <v>8</v>
      </c>
      <c r="AI7" s="108">
        <v>7.6</v>
      </c>
      <c r="AJ7" s="108">
        <f t="shared" si="12"/>
        <v>7.6</v>
      </c>
      <c r="AK7" s="110"/>
    </row>
    <row r="8" spans="1:37" x14ac:dyDescent="0.2">
      <c r="A8" s="112" t="s">
        <v>252</v>
      </c>
      <c r="B8" s="115">
        <f t="shared" si="0"/>
        <v>1.7897999999999998</v>
      </c>
      <c r="C8" s="113">
        <v>25</v>
      </c>
      <c r="D8" s="113">
        <v>25</v>
      </c>
      <c r="E8" s="114">
        <v>5</v>
      </c>
      <c r="F8" s="114">
        <v>5</v>
      </c>
      <c r="G8" s="114">
        <f t="shared" si="1"/>
        <v>2.5</v>
      </c>
      <c r="H8" s="115">
        <v>2.2799999999999998</v>
      </c>
      <c r="I8" s="115">
        <v>1.19</v>
      </c>
      <c r="J8" s="115">
        <f t="shared" si="2"/>
        <v>0.69590643274853792</v>
      </c>
      <c r="K8" s="115"/>
      <c r="L8" s="115">
        <f t="shared" si="3"/>
        <v>0.72244710848712212</v>
      </c>
      <c r="M8" s="115"/>
      <c r="N8" s="115">
        <f t="shared" si="4"/>
        <v>1.19</v>
      </c>
      <c r="O8" s="115">
        <f t="shared" si="5"/>
        <v>0.69590643274853792</v>
      </c>
      <c r="P8" s="115"/>
      <c r="Q8" s="115">
        <f t="shared" si="6"/>
        <v>0.72244710848712212</v>
      </c>
      <c r="R8" s="115"/>
      <c r="S8" s="115">
        <v>1.87</v>
      </c>
      <c r="T8" s="114">
        <v>17.7</v>
      </c>
      <c r="U8" s="115">
        <f t="shared" si="7"/>
        <v>1.0564971751412431</v>
      </c>
      <c r="V8" s="115">
        <f t="shared" si="8"/>
        <v>0.90563537839270136</v>
      </c>
      <c r="W8" s="115">
        <v>0.51</v>
      </c>
      <c r="X8" s="114">
        <v>11.2</v>
      </c>
      <c r="Y8" s="115">
        <f t="shared" si="13"/>
        <v>0.45535714285714285</v>
      </c>
      <c r="Z8" s="117">
        <f t="shared" si="9"/>
        <v>0.47295265146345866</v>
      </c>
      <c r="AA8" s="99">
        <f t="shared" si="10"/>
        <v>20.607300918301274</v>
      </c>
      <c r="AB8" s="99">
        <f t="shared" si="11"/>
        <v>1.2185672660481013</v>
      </c>
      <c r="AE8" s="113">
        <v>14</v>
      </c>
      <c r="AF8" s="113">
        <v>8</v>
      </c>
      <c r="AG8" s="113">
        <v>14</v>
      </c>
      <c r="AH8" s="113">
        <v>8</v>
      </c>
      <c r="AI8" s="114">
        <v>7.9</v>
      </c>
      <c r="AJ8" s="114">
        <f t="shared" si="12"/>
        <v>7.9</v>
      </c>
      <c r="AK8" s="116"/>
    </row>
    <row r="9" spans="1:37" s="99" customFormat="1" x14ac:dyDescent="0.2">
      <c r="A9" s="93" t="s">
        <v>253</v>
      </c>
      <c r="B9" s="96">
        <f t="shared" si="0"/>
        <v>1.3659000000000001</v>
      </c>
      <c r="C9" s="94">
        <v>30</v>
      </c>
      <c r="D9" s="94">
        <v>30</v>
      </c>
      <c r="E9" s="95">
        <v>3</v>
      </c>
      <c r="F9" s="95">
        <v>5</v>
      </c>
      <c r="G9" s="95">
        <f t="shared" si="1"/>
        <v>2.5</v>
      </c>
      <c r="H9" s="96">
        <v>1.74</v>
      </c>
      <c r="I9" s="96">
        <v>1.4</v>
      </c>
      <c r="J9" s="96">
        <f t="shared" si="2"/>
        <v>0.64814814814814814</v>
      </c>
      <c r="K9" s="96"/>
      <c r="L9" s="96">
        <f t="shared" si="3"/>
        <v>0.89699370184490435</v>
      </c>
      <c r="M9" s="96"/>
      <c r="N9" s="96">
        <f t="shared" si="4"/>
        <v>1.4</v>
      </c>
      <c r="O9" s="96">
        <f t="shared" si="5"/>
        <v>0.64814814814814814</v>
      </c>
      <c r="P9" s="96"/>
      <c r="Q9" s="96">
        <f t="shared" si="6"/>
        <v>0.89699370184490435</v>
      </c>
      <c r="R9" s="96"/>
      <c r="S9" s="96">
        <v>2.2200000000000002</v>
      </c>
      <c r="T9" s="95">
        <v>21.2</v>
      </c>
      <c r="U9" s="96">
        <f t="shared" si="7"/>
        <v>1.0471698113207548</v>
      </c>
      <c r="V9" s="96">
        <f t="shared" si="8"/>
        <v>1.1295406451144276</v>
      </c>
      <c r="W9" s="96">
        <v>0.59</v>
      </c>
      <c r="X9" s="95">
        <v>11.8</v>
      </c>
      <c r="Y9" s="96">
        <f t="shared" si="13"/>
        <v>0.49999999999999994</v>
      </c>
      <c r="Z9" s="98">
        <f t="shared" si="9"/>
        <v>0.58230615639036043</v>
      </c>
      <c r="AA9" s="99">
        <f t="shared" si="10"/>
        <v>27.124963119063032</v>
      </c>
      <c r="AB9" s="99">
        <f t="shared" si="11"/>
        <v>1.1831943530757025</v>
      </c>
      <c r="AE9" s="94">
        <v>18</v>
      </c>
      <c r="AF9" s="94">
        <v>8</v>
      </c>
      <c r="AG9" s="94">
        <v>18</v>
      </c>
      <c r="AH9" s="94">
        <v>8</v>
      </c>
      <c r="AI9" s="95">
        <v>8.4</v>
      </c>
      <c r="AJ9" s="95">
        <f t="shared" si="12"/>
        <v>8.4</v>
      </c>
      <c r="AK9" s="97"/>
    </row>
    <row r="10" spans="1:37" x14ac:dyDescent="0.2">
      <c r="A10" s="118" t="s">
        <v>254</v>
      </c>
      <c r="B10" s="121">
        <f t="shared" si="0"/>
        <v>1.57</v>
      </c>
      <c r="C10" s="119">
        <v>30</v>
      </c>
      <c r="D10" s="119">
        <v>30</v>
      </c>
      <c r="E10" s="120">
        <v>3.5</v>
      </c>
      <c r="F10" s="120">
        <v>5</v>
      </c>
      <c r="G10" s="120">
        <f t="shared" si="1"/>
        <v>2.5</v>
      </c>
      <c r="H10" s="121">
        <v>2</v>
      </c>
      <c r="I10" s="121">
        <v>1.61</v>
      </c>
      <c r="J10" s="121">
        <f t="shared" si="2"/>
        <v>0.75233644859813098</v>
      </c>
      <c r="K10" s="121"/>
      <c r="L10" s="121">
        <f t="shared" si="3"/>
        <v>0.89721792224631802</v>
      </c>
      <c r="M10" s="121"/>
      <c r="N10" s="121">
        <f t="shared" si="4"/>
        <v>1.61</v>
      </c>
      <c r="O10" s="121">
        <f t="shared" si="5"/>
        <v>0.75233644859813098</v>
      </c>
      <c r="P10" s="121"/>
      <c r="Q10" s="121">
        <f t="shared" si="6"/>
        <v>0.89721792224631802</v>
      </c>
      <c r="R10" s="121"/>
      <c r="S10" s="121">
        <v>2.5499999999999998</v>
      </c>
      <c r="T10" s="120">
        <v>21.2</v>
      </c>
      <c r="U10" s="121">
        <f t="shared" si="7"/>
        <v>1.2028301886792454</v>
      </c>
      <c r="V10" s="121">
        <f t="shared" si="8"/>
        <v>1.1291589790636214</v>
      </c>
      <c r="W10" s="121">
        <v>0.67</v>
      </c>
      <c r="X10" s="120">
        <v>12.1</v>
      </c>
      <c r="Y10" s="121">
        <f t="shared" si="13"/>
        <v>0.55371900826446285</v>
      </c>
      <c r="Z10" s="123">
        <f t="shared" si="9"/>
        <v>0.57879184513951132</v>
      </c>
      <c r="AA10" s="99">
        <f t="shared" si="10"/>
        <v>26.702378318028313</v>
      </c>
      <c r="AB10" s="99">
        <f t="shared" si="11"/>
        <v>1.3506533772743954</v>
      </c>
      <c r="AE10" s="119">
        <v>18</v>
      </c>
      <c r="AF10" s="119">
        <v>8</v>
      </c>
      <c r="AG10" s="119">
        <v>18</v>
      </c>
      <c r="AH10" s="119">
        <v>8</v>
      </c>
      <c r="AI10" s="120">
        <v>8.6</v>
      </c>
      <c r="AJ10" s="120">
        <f t="shared" si="12"/>
        <v>8.6</v>
      </c>
      <c r="AK10" s="122"/>
    </row>
    <row r="11" spans="1:37" x14ac:dyDescent="0.2">
      <c r="A11" s="118" t="s">
        <v>255</v>
      </c>
      <c r="B11" s="121">
        <f t="shared" si="0"/>
        <v>1.7819500000000001</v>
      </c>
      <c r="C11" s="119">
        <v>30</v>
      </c>
      <c r="D11" s="119">
        <v>30</v>
      </c>
      <c r="E11" s="120">
        <v>4</v>
      </c>
      <c r="F11" s="120">
        <v>5</v>
      </c>
      <c r="G11" s="120">
        <f t="shared" si="1"/>
        <v>2.5</v>
      </c>
      <c r="H11" s="121">
        <v>2.27</v>
      </c>
      <c r="I11" s="121">
        <v>1.8</v>
      </c>
      <c r="J11" s="121">
        <f t="shared" si="2"/>
        <v>0.84905660377358494</v>
      </c>
      <c r="K11" s="121"/>
      <c r="L11" s="121">
        <f t="shared" si="3"/>
        <v>0.89047826579328726</v>
      </c>
      <c r="M11" s="121"/>
      <c r="N11" s="121">
        <f t="shared" si="4"/>
        <v>1.8</v>
      </c>
      <c r="O11" s="121">
        <f t="shared" si="5"/>
        <v>0.84905660377358494</v>
      </c>
      <c r="P11" s="121"/>
      <c r="Q11" s="121">
        <f t="shared" si="6"/>
        <v>0.89047826579328726</v>
      </c>
      <c r="R11" s="121"/>
      <c r="S11" s="121">
        <v>2.85</v>
      </c>
      <c r="T11" s="120">
        <v>21.2</v>
      </c>
      <c r="U11" s="121">
        <f t="shared" si="7"/>
        <v>1.3443396226415094</v>
      </c>
      <c r="V11" s="121">
        <f t="shared" si="8"/>
        <v>1.1204939124910565</v>
      </c>
      <c r="W11" s="121">
        <v>0.75</v>
      </c>
      <c r="X11" s="120">
        <v>12.4</v>
      </c>
      <c r="Y11" s="121">
        <f t="shared" si="13"/>
        <v>0.60483870967741937</v>
      </c>
      <c r="Z11" s="123">
        <f t="shared" si="9"/>
        <v>0.57480124892951057</v>
      </c>
      <c r="AA11" s="99">
        <f t="shared" si="10"/>
        <v>26.291703547603632</v>
      </c>
      <c r="AB11" s="99">
        <f t="shared" si="11"/>
        <v>1.5114932982206553</v>
      </c>
      <c r="AE11" s="119">
        <v>18</v>
      </c>
      <c r="AF11" s="119">
        <v>8</v>
      </c>
      <c r="AG11" s="119">
        <v>18</v>
      </c>
      <c r="AH11" s="119">
        <v>8</v>
      </c>
      <c r="AI11" s="120">
        <v>8.8000000000000007</v>
      </c>
      <c r="AJ11" s="120">
        <f t="shared" si="12"/>
        <v>8.8000000000000007</v>
      </c>
      <c r="AK11" s="122"/>
    </row>
    <row r="12" spans="1:37" x14ac:dyDescent="0.2">
      <c r="A12" s="118" t="s">
        <v>256</v>
      </c>
      <c r="B12" s="121">
        <f t="shared" si="0"/>
        <v>2.1823000000000001</v>
      </c>
      <c r="C12" s="119">
        <v>30</v>
      </c>
      <c r="D12" s="119">
        <v>30</v>
      </c>
      <c r="E12" s="120">
        <v>5</v>
      </c>
      <c r="F12" s="120">
        <v>5</v>
      </c>
      <c r="G12" s="120">
        <f t="shared" si="1"/>
        <v>2.5</v>
      </c>
      <c r="H12" s="121">
        <v>2.78</v>
      </c>
      <c r="I12" s="121">
        <v>2.16</v>
      </c>
      <c r="J12" s="121">
        <f t="shared" si="2"/>
        <v>1.0384615384615385</v>
      </c>
      <c r="K12" s="121"/>
      <c r="L12" s="121">
        <f t="shared" si="3"/>
        <v>0.88146379237390526</v>
      </c>
      <c r="M12" s="121"/>
      <c r="N12" s="121">
        <f t="shared" si="4"/>
        <v>2.16</v>
      </c>
      <c r="O12" s="121">
        <f t="shared" si="5"/>
        <v>1.0384615384615385</v>
      </c>
      <c r="P12" s="121"/>
      <c r="Q12" s="121">
        <f t="shared" si="6"/>
        <v>0.88146379237390526</v>
      </c>
      <c r="R12" s="121"/>
      <c r="S12" s="121">
        <v>3.41</v>
      </c>
      <c r="T12" s="120">
        <v>21.2</v>
      </c>
      <c r="U12" s="121">
        <f t="shared" si="7"/>
        <v>1.608490566037736</v>
      </c>
      <c r="V12" s="121">
        <f t="shared" si="8"/>
        <v>1.1075281960455776</v>
      </c>
      <c r="W12" s="121">
        <v>0.92</v>
      </c>
      <c r="X12" s="120">
        <v>13</v>
      </c>
      <c r="Y12" s="121">
        <f t="shared" si="13"/>
        <v>0.70769230769230773</v>
      </c>
      <c r="Z12" s="123">
        <f t="shared" si="9"/>
        <v>0.57526972091233974</v>
      </c>
      <c r="AA12" s="99">
        <f t="shared" si="10"/>
        <v>25.506084098584395</v>
      </c>
      <c r="AB12" s="99">
        <f t="shared" si="11"/>
        <v>1.8157687762363903</v>
      </c>
      <c r="AE12" s="119">
        <v>18</v>
      </c>
      <c r="AF12" s="119">
        <v>8</v>
      </c>
      <c r="AG12" s="119">
        <f>AE12</f>
        <v>18</v>
      </c>
      <c r="AH12" s="119">
        <f>AF12</f>
        <v>8</v>
      </c>
      <c r="AI12" s="120">
        <v>9.1999999999999993</v>
      </c>
      <c r="AJ12" s="120">
        <f t="shared" si="12"/>
        <v>9.1999999999999993</v>
      </c>
      <c r="AK12" s="122"/>
    </row>
    <row r="13" spans="1:37" s="99" customFormat="1" x14ac:dyDescent="0.2">
      <c r="A13" s="100" t="s">
        <v>257</v>
      </c>
      <c r="B13" s="103">
        <f t="shared" si="0"/>
        <v>1.8369</v>
      </c>
      <c r="C13" s="101">
        <v>35</v>
      </c>
      <c r="D13" s="101">
        <v>35</v>
      </c>
      <c r="E13" s="102">
        <v>3.5</v>
      </c>
      <c r="F13" s="102">
        <v>4</v>
      </c>
      <c r="G13" s="102">
        <f t="shared" si="1"/>
        <v>2</v>
      </c>
      <c r="H13" s="103">
        <v>2.34</v>
      </c>
      <c r="I13" s="103">
        <v>2.66</v>
      </c>
      <c r="J13" s="103">
        <f t="shared" si="2"/>
        <v>1.0597609561752988</v>
      </c>
      <c r="K13" s="103"/>
      <c r="L13" s="103">
        <f t="shared" si="3"/>
        <v>1.0661857890406048</v>
      </c>
      <c r="M13" s="103"/>
      <c r="N13" s="103">
        <f t="shared" si="4"/>
        <v>2.66</v>
      </c>
      <c r="O13" s="103">
        <f t="shared" si="5"/>
        <v>1.0597609561752988</v>
      </c>
      <c r="P13" s="103"/>
      <c r="Q13" s="103">
        <f t="shared" si="6"/>
        <v>1.0661857890406048</v>
      </c>
      <c r="R13" s="103"/>
      <c r="S13" s="103">
        <v>4.22</v>
      </c>
      <c r="T13" s="102">
        <v>24.7</v>
      </c>
      <c r="U13" s="103">
        <f t="shared" si="7"/>
        <v>1.7085020242914979</v>
      </c>
      <c r="V13" s="103">
        <f t="shared" si="8"/>
        <v>1.3429142948895896</v>
      </c>
      <c r="W13" s="103">
        <v>1.1100000000000001</v>
      </c>
      <c r="X13" s="102">
        <v>14</v>
      </c>
      <c r="Y13" s="103">
        <f t="shared" si="13"/>
        <v>0.79285714285714293</v>
      </c>
      <c r="Z13" s="105">
        <f t="shared" si="9"/>
        <v>0.68873723172119461</v>
      </c>
      <c r="AA13" s="99">
        <f t="shared" si="10"/>
        <v>31.701058794444595</v>
      </c>
      <c r="AB13" s="99">
        <f t="shared" si="11"/>
        <v>1.872506046749401</v>
      </c>
      <c r="AE13" s="101">
        <v>20</v>
      </c>
      <c r="AF13" s="101">
        <v>10</v>
      </c>
      <c r="AG13" s="101">
        <f t="shared" ref="AG13:AH42" si="14">AE13</f>
        <v>20</v>
      </c>
      <c r="AH13" s="101">
        <f t="shared" si="14"/>
        <v>10</v>
      </c>
      <c r="AI13" s="102">
        <v>9.9</v>
      </c>
      <c r="AJ13" s="102">
        <f t="shared" si="12"/>
        <v>9.9</v>
      </c>
      <c r="AK13" s="104"/>
    </row>
    <row r="14" spans="1:37" x14ac:dyDescent="0.2">
      <c r="A14" s="106" t="s">
        <v>258</v>
      </c>
      <c r="B14" s="109">
        <f t="shared" si="0"/>
        <v>2.0959500000000002</v>
      </c>
      <c r="C14" s="107">
        <v>35</v>
      </c>
      <c r="D14" s="107">
        <v>35</v>
      </c>
      <c r="E14" s="108">
        <v>4</v>
      </c>
      <c r="F14" s="108">
        <v>5</v>
      </c>
      <c r="G14" s="108">
        <f t="shared" si="1"/>
        <v>2.5</v>
      </c>
      <c r="H14" s="109">
        <v>2.67</v>
      </c>
      <c r="I14" s="109">
        <v>2.95</v>
      </c>
      <c r="J14" s="109">
        <f t="shared" si="2"/>
        <v>1.18</v>
      </c>
      <c r="K14" s="109"/>
      <c r="L14" s="109">
        <f t="shared" si="3"/>
        <v>1.0511274489126796</v>
      </c>
      <c r="M14" s="109"/>
      <c r="N14" s="109">
        <f t="shared" si="4"/>
        <v>2.95</v>
      </c>
      <c r="O14" s="109">
        <f t="shared" si="5"/>
        <v>1.18</v>
      </c>
      <c r="P14" s="109"/>
      <c r="Q14" s="109">
        <f t="shared" si="6"/>
        <v>1.0511274489126796</v>
      </c>
      <c r="R14" s="109"/>
      <c r="S14" s="109">
        <v>4.68</v>
      </c>
      <c r="T14" s="108">
        <v>24.7</v>
      </c>
      <c r="U14" s="109">
        <f t="shared" si="7"/>
        <v>1.8947368421052631</v>
      </c>
      <c r="V14" s="109">
        <f t="shared" si="8"/>
        <v>1.3239369277892528</v>
      </c>
      <c r="W14" s="109">
        <v>1.23</v>
      </c>
      <c r="X14" s="108">
        <v>14.2</v>
      </c>
      <c r="Y14" s="109">
        <f t="shared" si="13"/>
        <v>0.86619718309859162</v>
      </c>
      <c r="Z14" s="111">
        <f t="shared" si="9"/>
        <v>0.67872981170961599</v>
      </c>
      <c r="AA14" s="99">
        <f t="shared" si="10"/>
        <v>31.25003161223168</v>
      </c>
      <c r="AB14" s="99">
        <f t="shared" si="11"/>
        <v>2.103970290496433</v>
      </c>
      <c r="AE14" s="107">
        <v>20</v>
      </c>
      <c r="AF14" s="107">
        <v>10</v>
      </c>
      <c r="AG14" s="107">
        <f t="shared" si="14"/>
        <v>20</v>
      </c>
      <c r="AH14" s="107">
        <f t="shared" si="14"/>
        <v>10</v>
      </c>
      <c r="AI14" s="108">
        <v>10</v>
      </c>
      <c r="AJ14" s="108">
        <f t="shared" si="12"/>
        <v>10</v>
      </c>
      <c r="AK14" s="110"/>
    </row>
    <row r="15" spans="1:37" x14ac:dyDescent="0.2">
      <c r="A15" s="112" t="s">
        <v>259</v>
      </c>
      <c r="B15" s="115">
        <f t="shared" si="0"/>
        <v>2.5747999999999998</v>
      </c>
      <c r="C15" s="113">
        <v>35</v>
      </c>
      <c r="D15" s="113">
        <v>35</v>
      </c>
      <c r="E15" s="114">
        <v>5</v>
      </c>
      <c r="F15" s="114">
        <v>5</v>
      </c>
      <c r="G15" s="114">
        <f t="shared" si="1"/>
        <v>2.5</v>
      </c>
      <c r="H15" s="115">
        <v>3.28</v>
      </c>
      <c r="I15" s="115">
        <v>3.56</v>
      </c>
      <c r="J15" s="115">
        <f t="shared" si="2"/>
        <v>1.4471544715447153</v>
      </c>
      <c r="K15" s="115"/>
      <c r="L15" s="115">
        <f t="shared" si="3"/>
        <v>1.0418089333743192</v>
      </c>
      <c r="M15" s="115"/>
      <c r="N15" s="115">
        <f t="shared" si="4"/>
        <v>3.56</v>
      </c>
      <c r="O15" s="115">
        <f t="shared" si="5"/>
        <v>1.4471544715447153</v>
      </c>
      <c r="P15" s="115"/>
      <c r="Q15" s="115">
        <f t="shared" si="6"/>
        <v>1.0418089333743192</v>
      </c>
      <c r="R15" s="115"/>
      <c r="S15" s="115">
        <v>5.64</v>
      </c>
      <c r="T15" s="114">
        <v>24.7</v>
      </c>
      <c r="U15" s="115">
        <f t="shared" si="7"/>
        <v>2.283400809716599</v>
      </c>
      <c r="V15" s="115">
        <f t="shared" si="8"/>
        <v>1.3113017178063755</v>
      </c>
      <c r="W15" s="115">
        <v>1.49</v>
      </c>
      <c r="X15" s="114">
        <v>14.8</v>
      </c>
      <c r="Y15" s="115">
        <f t="shared" si="13"/>
        <v>1.0067567567567568</v>
      </c>
      <c r="Z15" s="117">
        <f t="shared" si="9"/>
        <v>0.67399428238148051</v>
      </c>
      <c r="AA15" s="99">
        <f t="shared" si="10"/>
        <v>30.433786370215195</v>
      </c>
      <c r="AB15" s="99">
        <f t="shared" si="11"/>
        <v>2.5381856372396059</v>
      </c>
      <c r="AE15" s="113">
        <v>20</v>
      </c>
      <c r="AF15" s="113">
        <v>10</v>
      </c>
      <c r="AG15" s="113">
        <f t="shared" si="14"/>
        <v>20</v>
      </c>
      <c r="AH15" s="113">
        <f t="shared" si="14"/>
        <v>10</v>
      </c>
      <c r="AI15" s="114">
        <v>10.4</v>
      </c>
      <c r="AJ15" s="114">
        <f t="shared" si="12"/>
        <v>10.4</v>
      </c>
      <c r="AK15" s="116"/>
    </row>
    <row r="16" spans="1:37" s="99" customFormat="1" x14ac:dyDescent="0.2">
      <c r="A16" s="93" t="s">
        <v>260</v>
      </c>
      <c r="B16" s="96">
        <f t="shared" si="0"/>
        <v>1.8369</v>
      </c>
      <c r="C16" s="94">
        <v>40</v>
      </c>
      <c r="D16" s="94">
        <v>40</v>
      </c>
      <c r="E16" s="95">
        <v>3</v>
      </c>
      <c r="F16" s="95">
        <v>5</v>
      </c>
      <c r="G16" s="95">
        <f t="shared" si="1"/>
        <v>2.5</v>
      </c>
      <c r="H16" s="96">
        <v>2.34</v>
      </c>
      <c r="I16" s="96">
        <v>3.49</v>
      </c>
      <c r="J16" s="96">
        <f t="shared" si="2"/>
        <v>1.195205479452055</v>
      </c>
      <c r="K16" s="96"/>
      <c r="L16" s="96">
        <f t="shared" si="3"/>
        <v>1.2212505850369086</v>
      </c>
      <c r="M16" s="96"/>
      <c r="N16" s="96">
        <f t="shared" si="4"/>
        <v>3.49</v>
      </c>
      <c r="O16" s="96">
        <f t="shared" si="5"/>
        <v>1.195205479452055</v>
      </c>
      <c r="P16" s="96"/>
      <c r="Q16" s="96">
        <f t="shared" si="6"/>
        <v>1.2212505850369086</v>
      </c>
      <c r="R16" s="96"/>
      <c r="S16" s="96">
        <v>5.53</v>
      </c>
      <c r="T16" s="95">
        <v>28.3</v>
      </c>
      <c r="U16" s="96">
        <f t="shared" si="7"/>
        <v>1.9540636042402828</v>
      </c>
      <c r="V16" s="96">
        <f t="shared" si="8"/>
        <v>1.5372858755767786</v>
      </c>
      <c r="W16" s="96">
        <v>1.45</v>
      </c>
      <c r="X16" s="95">
        <v>15.3</v>
      </c>
      <c r="Y16" s="96">
        <f t="shared" si="13"/>
        <v>0.94771241830065356</v>
      </c>
      <c r="Z16" s="98">
        <f t="shared" si="9"/>
        <v>0.78718366323121802</v>
      </c>
      <c r="AA16" s="99">
        <f t="shared" si="10"/>
        <v>37.093722339297273</v>
      </c>
      <c r="AB16" s="99">
        <f t="shared" si="11"/>
        <v>2.1686762958763222</v>
      </c>
      <c r="AE16" s="94">
        <v>22</v>
      </c>
      <c r="AF16" s="94">
        <v>12</v>
      </c>
      <c r="AG16" s="94">
        <f t="shared" si="14"/>
        <v>22</v>
      </c>
      <c r="AH16" s="94">
        <f t="shared" si="14"/>
        <v>12</v>
      </c>
      <c r="AI16" s="95">
        <v>10.8</v>
      </c>
      <c r="AJ16" s="95">
        <f t="shared" si="12"/>
        <v>10.8</v>
      </c>
      <c r="AK16" s="97"/>
    </row>
    <row r="17" spans="1:37" x14ac:dyDescent="0.2">
      <c r="A17" s="118" t="s">
        <v>261</v>
      </c>
      <c r="B17" s="121">
        <f t="shared" si="0"/>
        <v>2.4178000000000002</v>
      </c>
      <c r="C17" s="119">
        <v>40</v>
      </c>
      <c r="D17" s="119">
        <v>40</v>
      </c>
      <c r="E17" s="120">
        <v>4</v>
      </c>
      <c r="F17" s="120">
        <v>6</v>
      </c>
      <c r="G17" s="120">
        <f t="shared" si="1"/>
        <v>3</v>
      </c>
      <c r="H17" s="121">
        <v>3.08</v>
      </c>
      <c r="I17" s="121">
        <v>4.47</v>
      </c>
      <c r="J17" s="121">
        <f t="shared" si="2"/>
        <v>1.552083333333333</v>
      </c>
      <c r="K17" s="121"/>
      <c r="L17" s="121">
        <f t="shared" si="3"/>
        <v>1.2046985935489014</v>
      </c>
      <c r="M17" s="121"/>
      <c r="N17" s="121">
        <f t="shared" si="4"/>
        <v>4.47</v>
      </c>
      <c r="O17" s="121">
        <f t="shared" si="5"/>
        <v>1.552083333333333</v>
      </c>
      <c r="P17" s="121"/>
      <c r="Q17" s="121">
        <f t="shared" si="6"/>
        <v>1.2046985935489014</v>
      </c>
      <c r="R17" s="121"/>
      <c r="S17" s="121">
        <v>7.09</v>
      </c>
      <c r="T17" s="120">
        <v>28.3</v>
      </c>
      <c r="U17" s="121">
        <f t="shared" si="7"/>
        <v>2.5053003533568905</v>
      </c>
      <c r="V17" s="121">
        <f t="shared" si="8"/>
        <v>1.5172172065818565</v>
      </c>
      <c r="W17" s="121">
        <v>1.86</v>
      </c>
      <c r="X17" s="120">
        <v>15.8</v>
      </c>
      <c r="Y17" s="121">
        <f t="shared" si="13"/>
        <v>1.1772151898734178</v>
      </c>
      <c r="Z17" s="123">
        <f t="shared" si="9"/>
        <v>0.7771075240248958</v>
      </c>
      <c r="AA17" s="99">
        <f t="shared" si="10"/>
        <v>36.189269908169869</v>
      </c>
      <c r="AB17" s="99">
        <f t="shared" si="11"/>
        <v>2.800845323754209</v>
      </c>
      <c r="AE17" s="119">
        <v>22</v>
      </c>
      <c r="AF17" s="119">
        <v>12</v>
      </c>
      <c r="AG17" s="119">
        <f t="shared" si="14"/>
        <v>22</v>
      </c>
      <c r="AH17" s="119">
        <f t="shared" si="14"/>
        <v>12</v>
      </c>
      <c r="AI17" s="120">
        <v>11.2</v>
      </c>
      <c r="AJ17" s="120">
        <f t="shared" si="12"/>
        <v>11.2</v>
      </c>
      <c r="AK17" s="122"/>
    </row>
    <row r="18" spans="1:37" x14ac:dyDescent="0.2">
      <c r="A18" s="118" t="s">
        <v>262</v>
      </c>
      <c r="B18" s="121">
        <f t="shared" si="0"/>
        <v>2.9751500000000002</v>
      </c>
      <c r="C18" s="119">
        <v>40</v>
      </c>
      <c r="D18" s="119">
        <v>40</v>
      </c>
      <c r="E18" s="120">
        <v>5</v>
      </c>
      <c r="F18" s="120">
        <v>6</v>
      </c>
      <c r="G18" s="120">
        <f t="shared" si="1"/>
        <v>3</v>
      </c>
      <c r="H18" s="121">
        <v>3.79</v>
      </c>
      <c r="I18" s="121">
        <v>5.43</v>
      </c>
      <c r="J18" s="121">
        <f t="shared" si="2"/>
        <v>1.9119718309859155</v>
      </c>
      <c r="K18" s="121"/>
      <c r="L18" s="121">
        <f t="shared" si="3"/>
        <v>1.196961853235208</v>
      </c>
      <c r="M18" s="121"/>
      <c r="N18" s="121">
        <f t="shared" si="4"/>
        <v>5.43</v>
      </c>
      <c r="O18" s="121">
        <f t="shared" si="5"/>
        <v>1.9119718309859155</v>
      </c>
      <c r="P18" s="121"/>
      <c r="Q18" s="121">
        <f t="shared" si="6"/>
        <v>1.196961853235208</v>
      </c>
      <c r="R18" s="121"/>
      <c r="S18" s="121">
        <v>8.59</v>
      </c>
      <c r="T18" s="120">
        <v>28.3</v>
      </c>
      <c r="U18" s="121">
        <f t="shared" si="7"/>
        <v>3.0353356890459366</v>
      </c>
      <c r="V18" s="121">
        <f t="shared" si="8"/>
        <v>1.5054868864163196</v>
      </c>
      <c r="W18" s="121">
        <v>2.2599999999999998</v>
      </c>
      <c r="X18" s="120">
        <v>16.399999999999999</v>
      </c>
      <c r="Y18" s="121">
        <f t="shared" si="13"/>
        <v>1.3780487804878048</v>
      </c>
      <c r="Z18" s="123">
        <f t="shared" si="9"/>
        <v>0.77220856548058514</v>
      </c>
      <c r="AA18" s="99">
        <f t="shared" si="10"/>
        <v>35.350055321405442</v>
      </c>
      <c r="AB18" s="99">
        <f t="shared" si="11"/>
        <v>3.3901925928242149</v>
      </c>
      <c r="AE18" s="119">
        <v>22</v>
      </c>
      <c r="AF18" s="119">
        <v>12</v>
      </c>
      <c r="AG18" s="119">
        <f t="shared" si="14"/>
        <v>22</v>
      </c>
      <c r="AH18" s="119">
        <f t="shared" si="14"/>
        <v>12</v>
      </c>
      <c r="AI18" s="120">
        <v>11.6</v>
      </c>
      <c r="AJ18" s="120">
        <f t="shared" si="12"/>
        <v>11.6</v>
      </c>
      <c r="AK18" s="122"/>
    </row>
    <row r="19" spans="1:37" x14ac:dyDescent="0.2">
      <c r="A19" s="118" t="s">
        <v>263</v>
      </c>
      <c r="B19" s="121">
        <f t="shared" si="0"/>
        <v>3.5168000000000004</v>
      </c>
      <c r="C19" s="119">
        <v>40</v>
      </c>
      <c r="D19" s="119">
        <v>40</v>
      </c>
      <c r="E19" s="120">
        <v>6</v>
      </c>
      <c r="F19" s="120">
        <v>6</v>
      </c>
      <c r="G19" s="120">
        <f t="shared" si="1"/>
        <v>3</v>
      </c>
      <c r="H19" s="121">
        <v>4.4800000000000004</v>
      </c>
      <c r="I19" s="121">
        <v>6.31</v>
      </c>
      <c r="J19" s="121">
        <f t="shared" si="2"/>
        <v>2.2535714285714286</v>
      </c>
      <c r="K19" s="121"/>
      <c r="L19" s="121">
        <f t="shared" si="3"/>
        <v>1.1867949034509471</v>
      </c>
      <c r="M19" s="121"/>
      <c r="N19" s="121">
        <f t="shared" si="4"/>
        <v>6.31</v>
      </c>
      <c r="O19" s="121">
        <f t="shared" si="5"/>
        <v>2.2535714285714286</v>
      </c>
      <c r="P19" s="121"/>
      <c r="Q19" s="121">
        <f t="shared" si="6"/>
        <v>1.1867949034509471</v>
      </c>
      <c r="R19" s="121"/>
      <c r="S19" s="121">
        <v>9.98</v>
      </c>
      <c r="T19" s="120">
        <v>28.3</v>
      </c>
      <c r="U19" s="121">
        <f t="shared" si="7"/>
        <v>3.5265017667844525</v>
      </c>
      <c r="V19" s="121">
        <f t="shared" si="8"/>
        <v>1.4925409781404901</v>
      </c>
      <c r="W19" s="121">
        <v>2.65</v>
      </c>
      <c r="X19" s="120">
        <v>17</v>
      </c>
      <c r="Y19" s="121">
        <f t="shared" si="13"/>
        <v>1.5588235294117647</v>
      </c>
      <c r="Z19" s="123">
        <f t="shared" si="9"/>
        <v>0.76910198097707239</v>
      </c>
      <c r="AA19" s="99">
        <f t="shared" si="10"/>
        <v>34.546570826471147</v>
      </c>
      <c r="AB19" s="99">
        <f t="shared" si="11"/>
        <v>3.9458384974285066</v>
      </c>
      <c r="AE19" s="119">
        <v>22</v>
      </c>
      <c r="AF19" s="119">
        <v>12</v>
      </c>
      <c r="AG19" s="119">
        <f t="shared" si="14"/>
        <v>22</v>
      </c>
      <c r="AH19" s="119">
        <f t="shared" si="14"/>
        <v>12</v>
      </c>
      <c r="AI19" s="120">
        <v>12</v>
      </c>
      <c r="AJ19" s="120">
        <f t="shared" si="12"/>
        <v>12</v>
      </c>
      <c r="AK19" s="122"/>
    </row>
    <row r="20" spans="1:37" s="99" customFormat="1" x14ac:dyDescent="0.2">
      <c r="A20" s="100" t="s">
        <v>264</v>
      </c>
      <c r="B20" s="103">
        <f t="shared" si="0"/>
        <v>2.0724</v>
      </c>
      <c r="C20" s="101">
        <v>45</v>
      </c>
      <c r="D20" s="101">
        <v>45</v>
      </c>
      <c r="E20" s="102">
        <v>3</v>
      </c>
      <c r="F20" s="102">
        <v>5</v>
      </c>
      <c r="G20" s="102">
        <f t="shared" si="1"/>
        <v>2.5</v>
      </c>
      <c r="H20" s="103">
        <v>2.64</v>
      </c>
      <c r="I20" s="103">
        <v>5.05</v>
      </c>
      <c r="J20" s="103">
        <f t="shared" si="2"/>
        <v>1.5349544072948329</v>
      </c>
      <c r="K20" s="103"/>
      <c r="L20" s="103">
        <f t="shared" si="3"/>
        <v>1.3830686128601095</v>
      </c>
      <c r="M20" s="103"/>
      <c r="N20" s="103">
        <f t="shared" si="4"/>
        <v>5.05</v>
      </c>
      <c r="O20" s="103">
        <f t="shared" si="5"/>
        <v>1.5349544072948329</v>
      </c>
      <c r="P20" s="103"/>
      <c r="Q20" s="103">
        <f t="shared" si="6"/>
        <v>1.3830686128601095</v>
      </c>
      <c r="R20" s="103"/>
      <c r="S20" s="103">
        <v>8.01</v>
      </c>
      <c r="T20" s="102">
        <v>31.8</v>
      </c>
      <c r="U20" s="103">
        <f t="shared" si="7"/>
        <v>2.5188679245283017</v>
      </c>
      <c r="V20" s="103">
        <f t="shared" si="8"/>
        <v>1.7418642051236108</v>
      </c>
      <c r="W20" s="103">
        <v>2.09</v>
      </c>
      <c r="X20" s="102">
        <v>17.100000000000001</v>
      </c>
      <c r="Y20" s="103">
        <f t="shared" si="13"/>
        <v>1.2222222222222221</v>
      </c>
      <c r="Z20" s="105">
        <f t="shared" si="9"/>
        <v>0.88975652100260927</v>
      </c>
      <c r="AA20" s="99">
        <f t="shared" si="10"/>
        <v>42.083308746042029</v>
      </c>
      <c r="AB20" s="99">
        <f t="shared" si="11"/>
        <v>2.7739499479457304</v>
      </c>
      <c r="AE20" s="101">
        <v>25</v>
      </c>
      <c r="AF20" s="101">
        <v>12</v>
      </c>
      <c r="AG20" s="101">
        <f t="shared" si="14"/>
        <v>25</v>
      </c>
      <c r="AH20" s="101">
        <f t="shared" si="14"/>
        <v>12</v>
      </c>
      <c r="AI20" s="102">
        <v>12.1</v>
      </c>
      <c r="AJ20" s="102">
        <f t="shared" si="12"/>
        <v>12.1</v>
      </c>
      <c r="AK20" s="104"/>
    </row>
    <row r="21" spans="1:37" x14ac:dyDescent="0.2">
      <c r="A21" s="106" t="s">
        <v>265</v>
      </c>
      <c r="B21" s="109">
        <f t="shared" si="0"/>
        <v>2.7239500000000003</v>
      </c>
      <c r="C21" s="107">
        <v>45</v>
      </c>
      <c r="D21" s="107">
        <v>45</v>
      </c>
      <c r="E21" s="108">
        <v>4</v>
      </c>
      <c r="F21" s="108">
        <v>5</v>
      </c>
      <c r="G21" s="108">
        <f t="shared" si="1"/>
        <v>2.5</v>
      </c>
      <c r="H21" s="109">
        <v>3.47</v>
      </c>
      <c r="I21" s="109">
        <v>6.55</v>
      </c>
      <c r="J21" s="109">
        <f t="shared" si="2"/>
        <v>2.0153846153846153</v>
      </c>
      <c r="K21" s="109"/>
      <c r="L21" s="109">
        <f t="shared" si="3"/>
        <v>1.373902496236274</v>
      </c>
      <c r="M21" s="109"/>
      <c r="N21" s="109">
        <f t="shared" si="4"/>
        <v>6.55</v>
      </c>
      <c r="O21" s="109">
        <f t="shared" si="5"/>
        <v>2.0153846153846153</v>
      </c>
      <c r="P21" s="109"/>
      <c r="Q21" s="109">
        <f t="shared" si="6"/>
        <v>1.373902496236274</v>
      </c>
      <c r="R21" s="109"/>
      <c r="S21" s="109">
        <v>10.4</v>
      </c>
      <c r="T21" s="108">
        <v>31.8</v>
      </c>
      <c r="U21" s="109">
        <f t="shared" si="7"/>
        <v>3.2704402515723268</v>
      </c>
      <c r="V21" s="109">
        <f t="shared" si="8"/>
        <v>1.731218690870566</v>
      </c>
      <c r="W21" s="109">
        <v>2.7</v>
      </c>
      <c r="X21" s="108">
        <v>17.7</v>
      </c>
      <c r="Y21" s="109">
        <f t="shared" si="13"/>
        <v>1.5254237288135595</v>
      </c>
      <c r="Z21" s="111">
        <f t="shared" si="9"/>
        <v>0.8820986241395764</v>
      </c>
      <c r="AA21" s="99">
        <f t="shared" si="10"/>
        <v>41.194469031735757</v>
      </c>
      <c r="AB21" s="99">
        <f t="shared" si="11"/>
        <v>3.5891392385095404</v>
      </c>
      <c r="AE21" s="107">
        <v>25</v>
      </c>
      <c r="AF21" s="107">
        <v>12</v>
      </c>
      <c r="AG21" s="107">
        <f t="shared" si="14"/>
        <v>25</v>
      </c>
      <c r="AH21" s="107">
        <f t="shared" si="14"/>
        <v>12</v>
      </c>
      <c r="AI21" s="108">
        <v>12.5</v>
      </c>
      <c r="AJ21" s="108">
        <f t="shared" si="12"/>
        <v>12.5</v>
      </c>
      <c r="AK21" s="110"/>
    </row>
    <row r="22" spans="1:37" x14ac:dyDescent="0.2">
      <c r="A22" s="106" t="s">
        <v>266</v>
      </c>
      <c r="B22" s="109">
        <f t="shared" si="0"/>
        <v>3.0615000000000001</v>
      </c>
      <c r="C22" s="107">
        <v>45</v>
      </c>
      <c r="D22" s="107">
        <v>45</v>
      </c>
      <c r="E22" s="108">
        <v>4.5</v>
      </c>
      <c r="F22" s="108">
        <v>7</v>
      </c>
      <c r="G22" s="108">
        <f t="shared" si="1"/>
        <v>3.5</v>
      </c>
      <c r="H22" s="109">
        <v>3.9</v>
      </c>
      <c r="I22" s="109">
        <v>7.15</v>
      </c>
      <c r="J22" s="109">
        <f t="shared" si="2"/>
        <v>2.2067901234567904</v>
      </c>
      <c r="K22" s="109"/>
      <c r="L22" s="109">
        <f t="shared" si="3"/>
        <v>1.3540064007726602</v>
      </c>
      <c r="M22" s="109"/>
      <c r="N22" s="109">
        <f t="shared" si="4"/>
        <v>7.15</v>
      </c>
      <c r="O22" s="109">
        <f t="shared" si="5"/>
        <v>2.2067901234567904</v>
      </c>
      <c r="P22" s="109"/>
      <c r="Q22" s="109">
        <f t="shared" si="6"/>
        <v>1.3540064007726602</v>
      </c>
      <c r="R22" s="109"/>
      <c r="S22" s="109">
        <v>11.32</v>
      </c>
      <c r="T22" s="108">
        <v>31.8</v>
      </c>
      <c r="U22" s="109">
        <f t="shared" si="7"/>
        <v>3.5597484276729561</v>
      </c>
      <c r="V22" s="109">
        <f t="shared" si="8"/>
        <v>1.7036913166897643</v>
      </c>
      <c r="W22" s="109">
        <v>2.97</v>
      </c>
      <c r="X22" s="108">
        <v>17.8</v>
      </c>
      <c r="Y22" s="109">
        <f t="shared" si="13"/>
        <v>1.6685393258426968</v>
      </c>
      <c r="Z22" s="111">
        <f t="shared" si="9"/>
        <v>0.87266171082410948</v>
      </c>
      <c r="AA22" s="99">
        <f t="shared" si="10"/>
        <v>40.704732048765315</v>
      </c>
      <c r="AB22" s="99">
        <f t="shared" si="11"/>
        <v>3.9895896544901004</v>
      </c>
      <c r="AE22" s="107">
        <v>25</v>
      </c>
      <c r="AF22" s="107">
        <v>12</v>
      </c>
      <c r="AG22" s="107">
        <f t="shared" si="14"/>
        <v>25</v>
      </c>
      <c r="AH22" s="107">
        <f t="shared" si="14"/>
        <v>12</v>
      </c>
      <c r="AI22" s="108">
        <v>12.6</v>
      </c>
      <c r="AJ22" s="108">
        <f t="shared" si="12"/>
        <v>12.6</v>
      </c>
      <c r="AK22" s="110"/>
    </row>
    <row r="23" spans="1:37" x14ac:dyDescent="0.2">
      <c r="A23" s="106" t="s">
        <v>267</v>
      </c>
      <c r="B23" s="109">
        <f t="shared" si="0"/>
        <v>3.3755000000000002</v>
      </c>
      <c r="C23" s="107">
        <v>45</v>
      </c>
      <c r="D23" s="107">
        <v>45</v>
      </c>
      <c r="E23" s="108">
        <v>5</v>
      </c>
      <c r="F23" s="108">
        <v>7</v>
      </c>
      <c r="G23" s="108">
        <f t="shared" si="1"/>
        <v>3.5</v>
      </c>
      <c r="H23" s="109">
        <v>4.3</v>
      </c>
      <c r="I23" s="109">
        <v>7.84</v>
      </c>
      <c r="J23" s="109">
        <f t="shared" si="2"/>
        <v>2.4347826086956523</v>
      </c>
      <c r="K23" s="109"/>
      <c r="L23" s="109">
        <f t="shared" si="3"/>
        <v>1.3502799020771539</v>
      </c>
      <c r="M23" s="109"/>
      <c r="N23" s="109">
        <f t="shared" si="4"/>
        <v>7.84</v>
      </c>
      <c r="O23" s="109">
        <f t="shared" si="5"/>
        <v>2.4347826086956523</v>
      </c>
      <c r="P23" s="109"/>
      <c r="Q23" s="109">
        <f t="shared" si="6"/>
        <v>1.3502799020771539</v>
      </c>
      <c r="R23" s="109"/>
      <c r="S23" s="109">
        <v>12.42</v>
      </c>
      <c r="T23" s="108">
        <v>31.8</v>
      </c>
      <c r="U23" s="109">
        <f t="shared" si="7"/>
        <v>3.9056603773584904</v>
      </c>
      <c r="V23" s="109">
        <f t="shared" si="8"/>
        <v>1.6995211363861455</v>
      </c>
      <c r="W23" s="109">
        <v>3.26</v>
      </c>
      <c r="X23" s="108">
        <v>18.100000000000001</v>
      </c>
      <c r="Y23" s="109">
        <f t="shared" si="13"/>
        <v>1.8011049723756902</v>
      </c>
      <c r="Z23" s="111">
        <f t="shared" si="9"/>
        <v>0.87071208495329899</v>
      </c>
      <c r="AA23" s="99">
        <f t="shared" si="10"/>
        <v>40.280162242628919</v>
      </c>
      <c r="AB23" s="99">
        <f t="shared" si="11"/>
        <v>4.3689225219368071</v>
      </c>
      <c r="AE23" s="107">
        <v>25</v>
      </c>
      <c r="AF23" s="107">
        <v>12</v>
      </c>
      <c r="AG23" s="107">
        <f t="shared" si="14"/>
        <v>25</v>
      </c>
      <c r="AH23" s="107">
        <f t="shared" si="14"/>
        <v>12</v>
      </c>
      <c r="AI23" s="108">
        <v>12.8</v>
      </c>
      <c r="AJ23" s="108">
        <f t="shared" si="12"/>
        <v>12.8</v>
      </c>
      <c r="AK23" s="110"/>
    </row>
    <row r="24" spans="1:37" x14ac:dyDescent="0.2">
      <c r="A24" s="112" t="s">
        <v>268</v>
      </c>
      <c r="B24" s="115">
        <f t="shared" si="0"/>
        <v>3.9956499999999999</v>
      </c>
      <c r="C24" s="113">
        <v>45</v>
      </c>
      <c r="D24" s="113">
        <v>45</v>
      </c>
      <c r="E24" s="114">
        <v>6</v>
      </c>
      <c r="F24" s="114">
        <v>7</v>
      </c>
      <c r="G24" s="114">
        <f t="shared" si="1"/>
        <v>3.5</v>
      </c>
      <c r="H24" s="115">
        <v>5.09</v>
      </c>
      <c r="I24" s="115">
        <v>9.16</v>
      </c>
      <c r="J24" s="115">
        <f t="shared" si="2"/>
        <v>2.8805031446540879</v>
      </c>
      <c r="K24" s="115"/>
      <c r="L24" s="115">
        <f t="shared" si="3"/>
        <v>1.3414943431455655</v>
      </c>
      <c r="M24" s="115"/>
      <c r="N24" s="115">
        <f t="shared" si="4"/>
        <v>9.16</v>
      </c>
      <c r="O24" s="115">
        <f t="shared" si="5"/>
        <v>2.8805031446540879</v>
      </c>
      <c r="P24" s="115"/>
      <c r="Q24" s="115">
        <f t="shared" si="6"/>
        <v>1.3414943431455655</v>
      </c>
      <c r="R24" s="115"/>
      <c r="S24" s="115">
        <v>14.5</v>
      </c>
      <c r="T24" s="114">
        <v>31.8</v>
      </c>
      <c r="U24" s="115">
        <f t="shared" si="7"/>
        <v>4.5597484276729556</v>
      </c>
      <c r="V24" s="115">
        <f t="shared" si="8"/>
        <v>1.6878160404047429</v>
      </c>
      <c r="W24" s="115">
        <v>3.83</v>
      </c>
      <c r="X24" s="114">
        <v>18.7</v>
      </c>
      <c r="Y24" s="115">
        <f t="shared" si="13"/>
        <v>2.0481283422459891</v>
      </c>
      <c r="Z24" s="117">
        <f t="shared" si="9"/>
        <v>0.86744209932294591</v>
      </c>
      <c r="AA24" s="99">
        <f t="shared" si="10"/>
        <v>39.454842691576204</v>
      </c>
      <c r="AB24" s="99">
        <f t="shared" si="11"/>
        <v>5.0974781087878647</v>
      </c>
      <c r="AE24" s="113">
        <v>25</v>
      </c>
      <c r="AF24" s="113">
        <v>12</v>
      </c>
      <c r="AG24" s="113">
        <f t="shared" si="14"/>
        <v>25</v>
      </c>
      <c r="AH24" s="113">
        <f t="shared" si="14"/>
        <v>12</v>
      </c>
      <c r="AI24" s="114">
        <v>13.2</v>
      </c>
      <c r="AJ24" s="114">
        <f t="shared" si="12"/>
        <v>13.2</v>
      </c>
      <c r="AK24" s="116"/>
    </row>
    <row r="25" spans="1:37" s="99" customFormat="1" x14ac:dyDescent="0.2">
      <c r="A25" s="93" t="s">
        <v>269</v>
      </c>
      <c r="B25" s="96">
        <f t="shared" si="0"/>
        <v>2.3079000000000001</v>
      </c>
      <c r="C25" s="94">
        <v>50</v>
      </c>
      <c r="D25" s="94">
        <v>50</v>
      </c>
      <c r="E25" s="95">
        <v>3</v>
      </c>
      <c r="F25" s="95">
        <v>5</v>
      </c>
      <c r="G25" s="95">
        <f t="shared" si="1"/>
        <v>2.5</v>
      </c>
      <c r="H25" s="96">
        <v>2.94</v>
      </c>
      <c r="I25" s="96">
        <v>7.01</v>
      </c>
      <c r="J25" s="96">
        <f t="shared" si="2"/>
        <v>1.9100817438692095</v>
      </c>
      <c r="K25" s="96"/>
      <c r="L25" s="96">
        <f t="shared" si="3"/>
        <v>1.5441352730562821</v>
      </c>
      <c r="M25" s="96"/>
      <c r="N25" s="96">
        <f t="shared" si="4"/>
        <v>7.01</v>
      </c>
      <c r="O25" s="96">
        <f t="shared" si="5"/>
        <v>1.9100817438692095</v>
      </c>
      <c r="P25" s="96"/>
      <c r="Q25" s="96">
        <f t="shared" si="6"/>
        <v>1.5441352730562821</v>
      </c>
      <c r="R25" s="96"/>
      <c r="S25" s="96">
        <v>11.12</v>
      </c>
      <c r="T25" s="95">
        <v>35.4</v>
      </c>
      <c r="U25" s="96">
        <f t="shared" si="7"/>
        <v>3.1412429378531073</v>
      </c>
      <c r="V25" s="96">
        <f t="shared" si="8"/>
        <v>1.9448169387297274</v>
      </c>
      <c r="W25" s="96">
        <v>2.89</v>
      </c>
      <c r="X25" s="95">
        <v>18.8</v>
      </c>
      <c r="Y25" s="96">
        <f t="shared" si="13"/>
        <v>1.5372340425531916</v>
      </c>
      <c r="Z25" s="98">
        <f t="shared" si="9"/>
        <v>0.99146013398366739</v>
      </c>
      <c r="AA25" s="99">
        <f t="shared" si="10"/>
        <v>47.074977871437824</v>
      </c>
      <c r="AB25" s="99">
        <f t="shared" si="11"/>
        <v>3.4542369845983991</v>
      </c>
      <c r="AE25" s="94">
        <v>28</v>
      </c>
      <c r="AF25" s="94">
        <v>14</v>
      </c>
      <c r="AG25" s="94">
        <f t="shared" si="14"/>
        <v>28</v>
      </c>
      <c r="AH25" s="94">
        <f t="shared" si="14"/>
        <v>14</v>
      </c>
      <c r="AI25" s="95">
        <v>13.3</v>
      </c>
      <c r="AJ25" s="95">
        <f t="shared" si="12"/>
        <v>13.3</v>
      </c>
      <c r="AK25" s="97"/>
    </row>
    <row r="26" spans="1:37" x14ac:dyDescent="0.2">
      <c r="A26" s="118" t="s">
        <v>270</v>
      </c>
      <c r="B26" s="121">
        <f t="shared" si="0"/>
        <v>3.0379500000000004</v>
      </c>
      <c r="C26" s="119">
        <v>50</v>
      </c>
      <c r="D26" s="119">
        <v>50</v>
      </c>
      <c r="E26" s="120">
        <v>4</v>
      </c>
      <c r="F26" s="120">
        <v>5</v>
      </c>
      <c r="G26" s="120">
        <f t="shared" si="1"/>
        <v>2.5</v>
      </c>
      <c r="H26" s="121">
        <v>3.87</v>
      </c>
      <c r="I26" s="121">
        <v>9.1199999999999992</v>
      </c>
      <c r="J26" s="121">
        <f t="shared" si="2"/>
        <v>2.519337016574585</v>
      </c>
      <c r="K26" s="121"/>
      <c r="L26" s="121">
        <f t="shared" si="3"/>
        <v>1.5351186101688761</v>
      </c>
      <c r="M26" s="121"/>
      <c r="N26" s="121">
        <f t="shared" si="4"/>
        <v>9.1199999999999992</v>
      </c>
      <c r="O26" s="121">
        <f t="shared" si="5"/>
        <v>2.519337016574585</v>
      </c>
      <c r="P26" s="121"/>
      <c r="Q26" s="121">
        <f t="shared" si="6"/>
        <v>1.5351186101688761</v>
      </c>
      <c r="R26" s="121"/>
      <c r="S26" s="121">
        <v>14.49</v>
      </c>
      <c r="T26" s="120">
        <v>35.4</v>
      </c>
      <c r="U26" s="121">
        <f t="shared" si="7"/>
        <v>4.093220338983051</v>
      </c>
      <c r="V26" s="121">
        <f t="shared" si="8"/>
        <v>1.9349899344729491</v>
      </c>
      <c r="W26" s="121">
        <v>3.75</v>
      </c>
      <c r="X26" s="120">
        <v>19.5</v>
      </c>
      <c r="Y26" s="121">
        <f t="shared" si="13"/>
        <v>1.9230769230769231</v>
      </c>
      <c r="Z26" s="123">
        <f t="shared" si="9"/>
        <v>0.98437403869769724</v>
      </c>
      <c r="AA26" s="99">
        <f t="shared" si="10"/>
        <v>46.175022128562176</v>
      </c>
      <c r="AB26" s="99">
        <f t="shared" si="11"/>
        <v>4.4817920914270033</v>
      </c>
      <c r="AE26" s="119">
        <v>28</v>
      </c>
      <c r="AF26" s="119">
        <v>14</v>
      </c>
      <c r="AG26" s="119">
        <f t="shared" si="14"/>
        <v>28</v>
      </c>
      <c r="AH26" s="119">
        <f t="shared" si="14"/>
        <v>14</v>
      </c>
      <c r="AI26" s="120">
        <v>13.8</v>
      </c>
      <c r="AJ26" s="120">
        <f t="shared" si="12"/>
        <v>13.8</v>
      </c>
      <c r="AK26" s="122"/>
    </row>
    <row r="27" spans="1:37" x14ac:dyDescent="0.2">
      <c r="A27" s="118" t="s">
        <v>271</v>
      </c>
      <c r="B27" s="121">
        <f t="shared" si="0"/>
        <v>3.7679999999999998</v>
      </c>
      <c r="C27" s="119">
        <v>50</v>
      </c>
      <c r="D27" s="119">
        <v>50</v>
      </c>
      <c r="E27" s="120">
        <v>5</v>
      </c>
      <c r="F27" s="120">
        <v>7</v>
      </c>
      <c r="G27" s="120">
        <f t="shared" si="1"/>
        <v>3.5</v>
      </c>
      <c r="H27" s="121">
        <v>4.8</v>
      </c>
      <c r="I27" s="121">
        <v>10.96</v>
      </c>
      <c r="J27" s="121">
        <f t="shared" si="2"/>
        <v>3.0444444444444447</v>
      </c>
      <c r="K27" s="121"/>
      <c r="L27" s="121">
        <f t="shared" si="3"/>
        <v>1.5110702608857516</v>
      </c>
      <c r="M27" s="121"/>
      <c r="N27" s="121">
        <f t="shared" si="4"/>
        <v>10.96</v>
      </c>
      <c r="O27" s="121">
        <f t="shared" si="5"/>
        <v>3.0444444444444447</v>
      </c>
      <c r="P27" s="121"/>
      <c r="Q27" s="121">
        <f t="shared" si="6"/>
        <v>1.5110702608857516</v>
      </c>
      <c r="R27" s="121"/>
      <c r="S27" s="121">
        <v>17.38</v>
      </c>
      <c r="T27" s="120">
        <v>35.4</v>
      </c>
      <c r="U27" s="121">
        <f t="shared" si="7"/>
        <v>4.9096045197740112</v>
      </c>
      <c r="V27" s="121">
        <f t="shared" si="8"/>
        <v>1.9028487415801953</v>
      </c>
      <c r="W27" s="121">
        <v>4.55</v>
      </c>
      <c r="X27" s="120">
        <v>19.899999999999999</v>
      </c>
      <c r="Y27" s="121">
        <f t="shared" si="13"/>
        <v>2.2864321608040203</v>
      </c>
      <c r="Z27" s="123">
        <f t="shared" si="9"/>
        <v>0.97361012046232687</v>
      </c>
      <c r="AA27" s="99">
        <f t="shared" si="10"/>
        <v>45.252146018366027</v>
      </c>
      <c r="AB27" s="99">
        <f t="shared" si="11"/>
        <v>5.4666743537333424</v>
      </c>
      <c r="AE27" s="119">
        <v>28</v>
      </c>
      <c r="AF27" s="119">
        <v>14</v>
      </c>
      <c r="AG27" s="119">
        <f t="shared" si="14"/>
        <v>28</v>
      </c>
      <c r="AH27" s="119">
        <f t="shared" si="14"/>
        <v>14</v>
      </c>
      <c r="AI27" s="120">
        <v>14</v>
      </c>
      <c r="AJ27" s="120">
        <f t="shared" si="12"/>
        <v>14</v>
      </c>
      <c r="AK27" s="122"/>
    </row>
    <row r="28" spans="1:37" x14ac:dyDescent="0.2">
      <c r="A28" s="118" t="s">
        <v>272</v>
      </c>
      <c r="B28" s="121">
        <f t="shared" si="0"/>
        <v>4.4666500000000005</v>
      </c>
      <c r="C28" s="119">
        <v>50</v>
      </c>
      <c r="D28" s="119">
        <v>50</v>
      </c>
      <c r="E28" s="120">
        <v>6</v>
      </c>
      <c r="F28" s="120">
        <v>7</v>
      </c>
      <c r="G28" s="120">
        <f t="shared" si="1"/>
        <v>3.5</v>
      </c>
      <c r="H28" s="121">
        <v>5.69</v>
      </c>
      <c r="I28" s="121">
        <v>12.84</v>
      </c>
      <c r="J28" s="121">
        <f t="shared" si="2"/>
        <v>3.6169014084507043</v>
      </c>
      <c r="K28" s="121"/>
      <c r="L28" s="121">
        <f t="shared" si="3"/>
        <v>1.5021952302101351</v>
      </c>
      <c r="M28" s="121"/>
      <c r="N28" s="121">
        <f t="shared" si="4"/>
        <v>12.84</v>
      </c>
      <c r="O28" s="121">
        <f t="shared" si="5"/>
        <v>3.6169014084507043</v>
      </c>
      <c r="P28" s="121"/>
      <c r="Q28" s="121">
        <f t="shared" si="6"/>
        <v>1.5021952302101351</v>
      </c>
      <c r="R28" s="121"/>
      <c r="S28" s="121">
        <v>20.34</v>
      </c>
      <c r="T28" s="120">
        <v>35.4</v>
      </c>
      <c r="U28" s="121">
        <f t="shared" si="7"/>
        <v>5.7457627118644075</v>
      </c>
      <c r="V28" s="121">
        <f t="shared" si="8"/>
        <v>1.8906857070603378</v>
      </c>
      <c r="W28" s="121">
        <v>5.34</v>
      </c>
      <c r="X28" s="120">
        <v>20.399999999999999</v>
      </c>
      <c r="Y28" s="121">
        <f t="shared" si="13"/>
        <v>2.6176470588235294</v>
      </c>
      <c r="Z28" s="123">
        <f t="shared" si="9"/>
        <v>0.968756200728497</v>
      </c>
      <c r="AA28" s="99">
        <f t="shared" si="10"/>
        <v>44.409358422418585</v>
      </c>
      <c r="AB28" s="99">
        <f t="shared" si="11"/>
        <v>6.3930277620024247</v>
      </c>
      <c r="AE28" s="119">
        <v>28</v>
      </c>
      <c r="AF28" s="119">
        <v>14</v>
      </c>
      <c r="AG28" s="119">
        <f t="shared" si="14"/>
        <v>28</v>
      </c>
      <c r="AH28" s="119">
        <f t="shared" si="14"/>
        <v>14</v>
      </c>
      <c r="AI28" s="120">
        <v>14.5</v>
      </c>
      <c r="AJ28" s="120">
        <f t="shared" si="12"/>
        <v>14.5</v>
      </c>
      <c r="AK28" s="122"/>
    </row>
    <row r="29" spans="1:37" x14ac:dyDescent="0.2">
      <c r="A29" s="118" t="s">
        <v>273</v>
      </c>
      <c r="B29" s="121">
        <f t="shared" si="0"/>
        <v>5.1495999999999995</v>
      </c>
      <c r="C29" s="119">
        <v>50</v>
      </c>
      <c r="D29" s="119">
        <v>50</v>
      </c>
      <c r="E29" s="120">
        <v>7</v>
      </c>
      <c r="F29" s="120">
        <v>7</v>
      </c>
      <c r="G29" s="120">
        <f t="shared" si="1"/>
        <v>3.5</v>
      </c>
      <c r="H29" s="121">
        <v>6.56</v>
      </c>
      <c r="I29" s="121">
        <v>14.61</v>
      </c>
      <c r="J29" s="121">
        <f t="shared" si="2"/>
        <v>4.1623931623931618</v>
      </c>
      <c r="K29" s="121"/>
      <c r="L29" s="121">
        <f t="shared" si="3"/>
        <v>1.4923585850396222</v>
      </c>
      <c r="M29" s="121"/>
      <c r="N29" s="121">
        <f t="shared" si="4"/>
        <v>14.61</v>
      </c>
      <c r="O29" s="121">
        <f t="shared" si="5"/>
        <v>4.1623931623931618</v>
      </c>
      <c r="P29" s="121"/>
      <c r="Q29" s="121">
        <f t="shared" si="6"/>
        <v>1.4923585850396222</v>
      </c>
      <c r="R29" s="121"/>
      <c r="S29" s="121">
        <v>23.11</v>
      </c>
      <c r="T29" s="120">
        <v>35.4</v>
      </c>
      <c r="U29" s="121">
        <f t="shared" si="7"/>
        <v>6.528248587570622</v>
      </c>
      <c r="V29" s="121">
        <f t="shared" si="8"/>
        <v>1.8769299011040708</v>
      </c>
      <c r="W29" s="121">
        <v>6.11</v>
      </c>
      <c r="X29" s="120">
        <v>21</v>
      </c>
      <c r="Y29" s="121">
        <f t="shared" si="13"/>
        <v>2.9095238095238094</v>
      </c>
      <c r="Z29" s="123">
        <f t="shared" si="9"/>
        <v>0.96509193293923579</v>
      </c>
      <c r="AA29" s="99">
        <f t="shared" si="10"/>
        <v>43.595154899935253</v>
      </c>
      <c r="AB29" s="99">
        <f t="shared" si="11"/>
        <v>7.2760066958278609</v>
      </c>
      <c r="AE29" s="119">
        <v>28</v>
      </c>
      <c r="AF29" s="119">
        <v>14</v>
      </c>
      <c r="AG29" s="119">
        <f t="shared" si="14"/>
        <v>28</v>
      </c>
      <c r="AH29" s="119">
        <f t="shared" si="14"/>
        <v>14</v>
      </c>
      <c r="AI29" s="120">
        <v>14.9</v>
      </c>
      <c r="AJ29" s="120">
        <f t="shared" si="12"/>
        <v>14.9</v>
      </c>
      <c r="AK29" s="122"/>
    </row>
    <row r="30" spans="1:37" x14ac:dyDescent="0.2">
      <c r="A30" s="118" t="s">
        <v>274</v>
      </c>
      <c r="B30" s="121">
        <f t="shared" si="0"/>
        <v>5.8168500000000005</v>
      </c>
      <c r="C30" s="119">
        <v>50</v>
      </c>
      <c r="D30" s="119">
        <v>50</v>
      </c>
      <c r="E30" s="120">
        <v>8</v>
      </c>
      <c r="F30" s="120">
        <v>7</v>
      </c>
      <c r="G30" s="120">
        <f t="shared" si="1"/>
        <v>3.5</v>
      </c>
      <c r="H30" s="121">
        <v>7.41</v>
      </c>
      <c r="I30" s="121">
        <v>16.28</v>
      </c>
      <c r="J30" s="121">
        <f t="shared" si="2"/>
        <v>4.6781609195402307</v>
      </c>
      <c r="K30" s="121"/>
      <c r="L30" s="121">
        <f t="shared" si="3"/>
        <v>1.4822385230239776</v>
      </c>
      <c r="M30" s="121"/>
      <c r="N30" s="121">
        <f t="shared" si="4"/>
        <v>16.28</v>
      </c>
      <c r="O30" s="121">
        <f t="shared" si="5"/>
        <v>4.6781609195402307</v>
      </c>
      <c r="P30" s="121"/>
      <c r="Q30" s="121">
        <f t="shared" si="6"/>
        <v>1.4822385230239776</v>
      </c>
      <c r="R30" s="121"/>
      <c r="S30" s="121">
        <v>25.69</v>
      </c>
      <c r="T30" s="120">
        <v>35.4</v>
      </c>
      <c r="U30" s="121">
        <f t="shared" si="7"/>
        <v>7.2570621468926566</v>
      </c>
      <c r="V30" s="121">
        <f t="shared" si="8"/>
        <v>1.861971152354335</v>
      </c>
      <c r="W30" s="121">
        <v>6.87</v>
      </c>
      <c r="X30" s="120">
        <v>21.6</v>
      </c>
      <c r="Y30" s="121">
        <f t="shared" si="13"/>
        <v>3.1805555555555554</v>
      </c>
      <c r="Z30" s="123">
        <f t="shared" si="9"/>
        <v>0.962873567023664</v>
      </c>
      <c r="AA30" s="99">
        <f t="shared" si="10"/>
        <v>42.809535450916016</v>
      </c>
      <c r="AB30" s="99">
        <f t="shared" si="11"/>
        <v>8.1205107107260996</v>
      </c>
      <c r="AE30" s="119">
        <v>28</v>
      </c>
      <c r="AF30" s="119">
        <v>14</v>
      </c>
      <c r="AG30" s="119">
        <f t="shared" si="14"/>
        <v>28</v>
      </c>
      <c r="AH30" s="119">
        <f t="shared" si="14"/>
        <v>14</v>
      </c>
      <c r="AI30" s="120">
        <v>15.2</v>
      </c>
      <c r="AJ30" s="120">
        <f t="shared" si="12"/>
        <v>15.2</v>
      </c>
      <c r="AK30" s="122"/>
    </row>
    <row r="31" spans="1:37" s="99" customFormat="1" x14ac:dyDescent="0.2">
      <c r="A31" s="124" t="s">
        <v>275</v>
      </c>
      <c r="B31" s="127">
        <f t="shared" si="0"/>
        <v>4.9376500000000005</v>
      </c>
      <c r="C31" s="125">
        <v>55</v>
      </c>
      <c r="D31" s="125">
        <v>55</v>
      </c>
      <c r="E31" s="126">
        <v>6</v>
      </c>
      <c r="F31" s="126">
        <v>7</v>
      </c>
      <c r="G31" s="126">
        <f t="shared" si="1"/>
        <v>3.5</v>
      </c>
      <c r="H31" s="127">
        <v>6.29</v>
      </c>
      <c r="I31" s="127">
        <v>17.399999999999999</v>
      </c>
      <c r="J31" s="127">
        <f t="shared" si="2"/>
        <v>4.4274809160305351</v>
      </c>
      <c r="K31" s="127"/>
      <c r="L31" s="127">
        <f t="shared" si="3"/>
        <v>1.6632184785746513</v>
      </c>
      <c r="M31" s="127"/>
      <c r="N31" s="127">
        <f t="shared" si="4"/>
        <v>17.399999999999999</v>
      </c>
      <c r="O31" s="127">
        <f t="shared" si="5"/>
        <v>4.4274809160305351</v>
      </c>
      <c r="P31" s="127"/>
      <c r="Q31" s="127">
        <f t="shared" si="6"/>
        <v>1.6632184785746513</v>
      </c>
      <c r="R31" s="127"/>
      <c r="S31" s="127">
        <v>27.59</v>
      </c>
      <c r="T31" s="126">
        <v>38.9</v>
      </c>
      <c r="U31" s="127">
        <f t="shared" si="7"/>
        <v>7.0925449871465291</v>
      </c>
      <c r="V31" s="127">
        <f t="shared" si="8"/>
        <v>2.0943561072498067</v>
      </c>
      <c r="W31" s="127">
        <v>7.21</v>
      </c>
      <c r="X31" s="126">
        <v>22.2</v>
      </c>
      <c r="Y31" s="127">
        <f t="shared" si="13"/>
        <v>3.2477477477477477</v>
      </c>
      <c r="Z31" s="129">
        <f t="shared" si="9"/>
        <v>1.070637151872563</v>
      </c>
      <c r="AA31" s="99">
        <f t="shared" si="10"/>
        <v>49.372144020380532</v>
      </c>
      <c r="AB31" s="99">
        <f t="shared" si="11"/>
        <v>7.8387084072177586</v>
      </c>
      <c r="AE31" s="125">
        <v>32</v>
      </c>
      <c r="AF31" s="125">
        <v>14</v>
      </c>
      <c r="AG31" s="125">
        <f t="shared" si="14"/>
        <v>32</v>
      </c>
      <c r="AH31" s="125">
        <f t="shared" si="14"/>
        <v>14</v>
      </c>
      <c r="AI31" s="126">
        <v>15.7</v>
      </c>
      <c r="AJ31" s="126">
        <f t="shared" si="12"/>
        <v>15.7</v>
      </c>
      <c r="AK31" s="128"/>
    </row>
    <row r="32" spans="1:37" s="99" customFormat="1" x14ac:dyDescent="0.2">
      <c r="A32" s="93" t="s">
        <v>276</v>
      </c>
      <c r="B32" s="96">
        <f t="shared" si="0"/>
        <v>3.66595</v>
      </c>
      <c r="C32" s="94">
        <v>60</v>
      </c>
      <c r="D32" s="94">
        <v>60</v>
      </c>
      <c r="E32" s="95">
        <v>4</v>
      </c>
      <c r="F32" s="95">
        <v>5</v>
      </c>
      <c r="G32" s="95">
        <f t="shared" si="1"/>
        <v>2.5</v>
      </c>
      <c r="H32" s="96">
        <v>4.67</v>
      </c>
      <c r="I32" s="96">
        <v>16.11</v>
      </c>
      <c r="J32" s="96">
        <f t="shared" si="2"/>
        <v>3.6864988558352398</v>
      </c>
      <c r="K32" s="96"/>
      <c r="L32" s="96">
        <f t="shared" si="3"/>
        <v>1.8573310961852039</v>
      </c>
      <c r="M32" s="96"/>
      <c r="N32" s="96">
        <f t="shared" si="4"/>
        <v>16.11</v>
      </c>
      <c r="O32" s="96">
        <f t="shared" si="5"/>
        <v>3.6864988558352398</v>
      </c>
      <c r="P32" s="96"/>
      <c r="Q32" s="96">
        <f t="shared" si="6"/>
        <v>1.8573310961852039</v>
      </c>
      <c r="R32" s="96"/>
      <c r="S32" s="96">
        <v>25.63</v>
      </c>
      <c r="T32" s="95">
        <v>42.4</v>
      </c>
      <c r="U32" s="96">
        <f t="shared" si="7"/>
        <v>6.0448113207547172</v>
      </c>
      <c r="V32" s="96">
        <f t="shared" si="8"/>
        <v>2.3426956050824881</v>
      </c>
      <c r="W32" s="96">
        <v>6.6</v>
      </c>
      <c r="X32" s="95">
        <v>23</v>
      </c>
      <c r="Y32" s="96">
        <f t="shared" si="13"/>
        <v>2.8695652173913042</v>
      </c>
      <c r="Z32" s="98">
        <f t="shared" si="9"/>
        <v>1.1888129504944769</v>
      </c>
      <c r="AA32" s="99">
        <f t="shared" si="10"/>
        <v>56.145851773801816</v>
      </c>
      <c r="AB32" s="99">
        <f t="shared" si="11"/>
        <v>6.5671816246084491</v>
      </c>
      <c r="AE32" s="94">
        <v>35</v>
      </c>
      <c r="AF32" s="94">
        <v>16</v>
      </c>
      <c r="AG32" s="94">
        <f t="shared" si="14"/>
        <v>35</v>
      </c>
      <c r="AH32" s="94">
        <f t="shared" si="14"/>
        <v>16</v>
      </c>
      <c r="AI32" s="95">
        <v>16.3</v>
      </c>
      <c r="AJ32" s="95">
        <f t="shared" si="12"/>
        <v>16.3</v>
      </c>
      <c r="AK32" s="97"/>
    </row>
    <row r="33" spans="1:37" x14ac:dyDescent="0.2">
      <c r="A33" s="118" t="s">
        <v>277</v>
      </c>
      <c r="B33" s="121">
        <f t="shared" si="0"/>
        <v>4.5451500000000005</v>
      </c>
      <c r="C33" s="119">
        <v>60</v>
      </c>
      <c r="D33" s="119">
        <v>60</v>
      </c>
      <c r="E33" s="120">
        <v>5</v>
      </c>
      <c r="F33" s="120">
        <v>6</v>
      </c>
      <c r="G33" s="120">
        <f t="shared" si="1"/>
        <v>3</v>
      </c>
      <c r="H33" s="121">
        <v>5.79</v>
      </c>
      <c r="I33" s="121">
        <v>19.61</v>
      </c>
      <c r="J33" s="121">
        <f t="shared" si="2"/>
        <v>4.5184331797235027</v>
      </c>
      <c r="K33" s="121"/>
      <c r="L33" s="121">
        <f t="shared" si="3"/>
        <v>1.840346141505091</v>
      </c>
      <c r="M33" s="121"/>
      <c r="N33" s="121">
        <f t="shared" si="4"/>
        <v>19.61</v>
      </c>
      <c r="O33" s="121">
        <f t="shared" si="5"/>
        <v>4.5184331797235027</v>
      </c>
      <c r="P33" s="121"/>
      <c r="Q33" s="121">
        <f t="shared" si="6"/>
        <v>1.840346141505091</v>
      </c>
      <c r="R33" s="121"/>
      <c r="S33" s="121">
        <v>31.16</v>
      </c>
      <c r="T33" s="120">
        <v>42.4</v>
      </c>
      <c r="U33" s="121">
        <f t="shared" si="7"/>
        <v>7.3490566037735858</v>
      </c>
      <c r="V33" s="121">
        <f t="shared" si="8"/>
        <v>2.3198475323612149</v>
      </c>
      <c r="W33" s="121">
        <v>8.06</v>
      </c>
      <c r="X33" s="120">
        <v>23.5</v>
      </c>
      <c r="Y33" s="121">
        <f t="shared" si="13"/>
        <v>3.4297872340425535</v>
      </c>
      <c r="Z33" s="123">
        <f t="shared" si="9"/>
        <v>1.1798539179504113</v>
      </c>
      <c r="AA33" s="99">
        <f t="shared" si="10"/>
        <v>55.233370214270302</v>
      </c>
      <c r="AB33" s="99">
        <f t="shared" si="11"/>
        <v>8.031322760950113</v>
      </c>
      <c r="AE33" s="119">
        <v>35</v>
      </c>
      <c r="AF33" s="119">
        <v>16</v>
      </c>
      <c r="AG33" s="119">
        <f t="shared" si="14"/>
        <v>35</v>
      </c>
      <c r="AH33" s="119">
        <f t="shared" si="14"/>
        <v>16</v>
      </c>
      <c r="AI33" s="120">
        <v>16.600000000000001</v>
      </c>
      <c r="AJ33" s="120">
        <f t="shared" si="12"/>
        <v>16.600000000000001</v>
      </c>
      <c r="AK33" s="122"/>
    </row>
    <row r="34" spans="1:37" x14ac:dyDescent="0.2">
      <c r="A34" s="118" t="s">
        <v>278</v>
      </c>
      <c r="B34" s="121">
        <f t="shared" si="0"/>
        <v>5.4243500000000004</v>
      </c>
      <c r="C34" s="119">
        <v>60</v>
      </c>
      <c r="D34" s="119">
        <v>60</v>
      </c>
      <c r="E34" s="120">
        <v>6</v>
      </c>
      <c r="F34" s="120">
        <v>8</v>
      </c>
      <c r="G34" s="120">
        <f t="shared" si="1"/>
        <v>4</v>
      </c>
      <c r="H34" s="121">
        <v>6.91</v>
      </c>
      <c r="I34" s="121">
        <v>22.79</v>
      </c>
      <c r="J34" s="121">
        <f t="shared" si="2"/>
        <v>5.2877030162412986</v>
      </c>
      <c r="K34" s="121"/>
      <c r="L34" s="121">
        <f t="shared" si="3"/>
        <v>1.8160723192087471</v>
      </c>
      <c r="M34" s="121"/>
      <c r="N34" s="121">
        <f t="shared" si="4"/>
        <v>22.79</v>
      </c>
      <c r="O34" s="121">
        <f t="shared" si="5"/>
        <v>5.2877030162412986</v>
      </c>
      <c r="P34" s="121"/>
      <c r="Q34" s="121">
        <f t="shared" si="6"/>
        <v>1.8160723192087471</v>
      </c>
      <c r="R34" s="121"/>
      <c r="S34" s="121">
        <v>36.14</v>
      </c>
      <c r="T34" s="120">
        <v>42.4</v>
      </c>
      <c r="U34" s="121">
        <f t="shared" si="7"/>
        <v>8.5235849056603765</v>
      </c>
      <c r="V34" s="121">
        <f t="shared" si="8"/>
        <v>2.2869414733351188</v>
      </c>
      <c r="W34" s="121">
        <v>9.44</v>
      </c>
      <c r="X34" s="120">
        <v>23.9</v>
      </c>
      <c r="Y34" s="121">
        <f t="shared" si="13"/>
        <v>3.9497907949790796</v>
      </c>
      <c r="Z34" s="123">
        <f t="shared" si="9"/>
        <v>1.1688182214237901</v>
      </c>
      <c r="AA34" s="99">
        <f t="shared" si="10"/>
        <v>54.31430678910683</v>
      </c>
      <c r="AB34" s="99">
        <f t="shared" si="11"/>
        <v>9.4425800523640309</v>
      </c>
      <c r="AE34" s="119">
        <v>35</v>
      </c>
      <c r="AF34" s="119">
        <v>16</v>
      </c>
      <c r="AG34" s="119">
        <f t="shared" si="14"/>
        <v>35</v>
      </c>
      <c r="AH34" s="119">
        <f t="shared" si="14"/>
        <v>16</v>
      </c>
      <c r="AI34" s="120">
        <v>16.899999999999999</v>
      </c>
      <c r="AJ34" s="120">
        <f t="shared" si="12"/>
        <v>16.899999999999999</v>
      </c>
      <c r="AK34" s="122"/>
    </row>
    <row r="35" spans="1:37" x14ac:dyDescent="0.2">
      <c r="A35" s="118" t="s">
        <v>279</v>
      </c>
      <c r="B35" s="121">
        <f t="shared" si="0"/>
        <v>6.2643000000000004</v>
      </c>
      <c r="C35" s="119">
        <v>60</v>
      </c>
      <c r="D35" s="119">
        <v>60</v>
      </c>
      <c r="E35" s="120">
        <v>7</v>
      </c>
      <c r="F35" s="120">
        <v>8</v>
      </c>
      <c r="G35" s="120">
        <f t="shared" si="1"/>
        <v>4</v>
      </c>
      <c r="H35" s="121">
        <v>7.98</v>
      </c>
      <c r="I35" s="121">
        <v>26.05</v>
      </c>
      <c r="J35" s="121">
        <f t="shared" si="2"/>
        <v>6.1007025761124121</v>
      </c>
      <c r="K35" s="121"/>
      <c r="L35" s="121">
        <f t="shared" si="3"/>
        <v>1.8067681167125245</v>
      </c>
      <c r="M35" s="121"/>
      <c r="N35" s="121">
        <f t="shared" si="4"/>
        <v>26.05</v>
      </c>
      <c r="O35" s="121">
        <f t="shared" si="5"/>
        <v>6.1007025761124121</v>
      </c>
      <c r="P35" s="121"/>
      <c r="Q35" s="121">
        <f t="shared" si="6"/>
        <v>1.8067681167125245</v>
      </c>
      <c r="R35" s="121"/>
      <c r="S35" s="121">
        <v>41.29</v>
      </c>
      <c r="T35" s="120">
        <v>42.4</v>
      </c>
      <c r="U35" s="121">
        <f t="shared" si="7"/>
        <v>9.7382075471698109</v>
      </c>
      <c r="V35" s="121">
        <f t="shared" si="8"/>
        <v>2.2746835963841536</v>
      </c>
      <c r="W35" s="121">
        <v>10.81</v>
      </c>
      <c r="X35" s="120">
        <v>24.5</v>
      </c>
      <c r="Y35" s="121">
        <f t="shared" si="13"/>
        <v>4.4122448979591837</v>
      </c>
      <c r="Z35" s="123">
        <f t="shared" si="9"/>
        <v>1.1638885648887081</v>
      </c>
      <c r="AA35" s="99">
        <f t="shared" si="10"/>
        <v>53.46913718703739</v>
      </c>
      <c r="AB35" s="99">
        <f t="shared" si="11"/>
        <v>10.781896756993548</v>
      </c>
      <c r="AE35" s="119">
        <v>35</v>
      </c>
      <c r="AF35" s="119">
        <v>16</v>
      </c>
      <c r="AG35" s="119">
        <f t="shared" si="14"/>
        <v>35</v>
      </c>
      <c r="AH35" s="119">
        <f t="shared" si="14"/>
        <v>16</v>
      </c>
      <c r="AI35" s="120">
        <v>17.3</v>
      </c>
      <c r="AJ35" s="120">
        <f t="shared" si="12"/>
        <v>17.3</v>
      </c>
      <c r="AK35" s="122"/>
    </row>
    <row r="36" spans="1:37" x14ac:dyDescent="0.2">
      <c r="A36" s="118" t="s">
        <v>280</v>
      </c>
      <c r="B36" s="121">
        <f t="shared" si="0"/>
        <v>7.0885499999999997</v>
      </c>
      <c r="C36" s="119">
        <v>60</v>
      </c>
      <c r="D36" s="119">
        <v>60</v>
      </c>
      <c r="E36" s="120">
        <v>8</v>
      </c>
      <c r="F36" s="120">
        <v>8</v>
      </c>
      <c r="G36" s="120">
        <f t="shared" si="1"/>
        <v>4</v>
      </c>
      <c r="H36" s="121">
        <v>9.0299999999999994</v>
      </c>
      <c r="I36" s="121">
        <v>29.15</v>
      </c>
      <c r="J36" s="121">
        <f t="shared" si="2"/>
        <v>6.8912529550827424</v>
      </c>
      <c r="K36" s="121"/>
      <c r="L36" s="121">
        <f t="shared" si="3"/>
        <v>1.7966993239511726</v>
      </c>
      <c r="M36" s="121"/>
      <c r="N36" s="121">
        <f t="shared" si="4"/>
        <v>29.15</v>
      </c>
      <c r="O36" s="121">
        <f t="shared" si="5"/>
        <v>6.8912529550827424</v>
      </c>
      <c r="P36" s="121"/>
      <c r="Q36" s="121">
        <f t="shared" si="6"/>
        <v>1.7966993239511726</v>
      </c>
      <c r="R36" s="121"/>
      <c r="S36" s="121">
        <v>46.15</v>
      </c>
      <c r="T36" s="120">
        <v>42.4</v>
      </c>
      <c r="U36" s="121">
        <f t="shared" si="7"/>
        <v>10.884433962264151</v>
      </c>
      <c r="V36" s="121">
        <f t="shared" si="8"/>
        <v>2.2606950195033138</v>
      </c>
      <c r="W36" s="121">
        <v>12.16</v>
      </c>
      <c r="X36" s="120">
        <v>25</v>
      </c>
      <c r="Y36" s="121">
        <f t="shared" si="13"/>
        <v>4.8639999999999999</v>
      </c>
      <c r="Z36" s="123">
        <f t="shared" si="9"/>
        <v>1.1604405929982731</v>
      </c>
      <c r="AA36" s="99">
        <f t="shared" si="10"/>
        <v>52.647787646188029</v>
      </c>
      <c r="AB36" s="99">
        <f t="shared" si="11"/>
        <v>12.068168594190681</v>
      </c>
      <c r="AE36" s="119">
        <v>35</v>
      </c>
      <c r="AF36" s="119">
        <v>16</v>
      </c>
      <c r="AG36" s="119">
        <f t="shared" si="14"/>
        <v>35</v>
      </c>
      <c r="AH36" s="119">
        <f t="shared" si="14"/>
        <v>16</v>
      </c>
      <c r="AI36" s="120">
        <v>17.7</v>
      </c>
      <c r="AJ36" s="120">
        <f t="shared" si="12"/>
        <v>17.7</v>
      </c>
      <c r="AK36" s="122"/>
    </row>
    <row r="37" spans="1:37" x14ac:dyDescent="0.2">
      <c r="A37" s="118" t="s">
        <v>281</v>
      </c>
      <c r="B37" s="121">
        <f t="shared" ref="B37:B68" si="15">0.1*7.85*H37</f>
        <v>8.7527500000000007</v>
      </c>
      <c r="C37" s="119">
        <v>60</v>
      </c>
      <c r="D37" s="119">
        <v>60</v>
      </c>
      <c r="E37" s="120">
        <v>10</v>
      </c>
      <c r="F37" s="120">
        <v>12</v>
      </c>
      <c r="G37" s="120">
        <f t="shared" si="1"/>
        <v>6</v>
      </c>
      <c r="H37" s="121">
        <v>11.15</v>
      </c>
      <c r="I37" s="121">
        <v>34.26</v>
      </c>
      <c r="J37" s="121">
        <f t="shared" ref="J37:J68" si="16">I37*10/($C37-$AI37)</f>
        <v>8.2158273381294951</v>
      </c>
      <c r="K37" s="121"/>
      <c r="L37" s="121">
        <f t="shared" ref="L37:L68" si="17">SQRT(I37/H37)</f>
        <v>1.7528963859596247</v>
      </c>
      <c r="M37" s="121"/>
      <c r="N37" s="121">
        <f t="shared" si="4"/>
        <v>34.26</v>
      </c>
      <c r="O37" s="121">
        <f t="shared" ref="O37:O68" si="18">N37*10/($D37-$AJ37)</f>
        <v>8.2158273381294951</v>
      </c>
      <c r="P37" s="121"/>
      <c r="Q37" s="121">
        <f t="shared" si="6"/>
        <v>1.7528963859596247</v>
      </c>
      <c r="R37" s="121"/>
      <c r="S37" s="121">
        <v>54.01</v>
      </c>
      <c r="T37" s="120">
        <v>42.4</v>
      </c>
      <c r="U37" s="121">
        <f t="shared" si="7"/>
        <v>12.738207547169813</v>
      </c>
      <c r="V37" s="121">
        <f t="shared" si="8"/>
        <v>2.2008966782520272</v>
      </c>
      <c r="W37" s="121">
        <v>14.5</v>
      </c>
      <c r="X37" s="120">
        <v>25.8</v>
      </c>
      <c r="Y37" s="121">
        <f t="shared" si="13"/>
        <v>5.6201550387596901</v>
      </c>
      <c r="Z37" s="123">
        <f t="shared" si="9"/>
        <v>1.1403720579237608</v>
      </c>
      <c r="AA37" s="99">
        <f t="shared" ref="AA37:AA68" si="19">C37-(C37-E37)*E37/(2*D37)-(D37-2*E37)*E37/(2*D37)-PI()*E37*E37/(4*D37)-(1-PI()/4)*F37*F37/(2*D37)</f>
        <v>50.933480857081193</v>
      </c>
      <c r="AB37" s="99">
        <f t="shared" ref="AB37:AB68" si="20">((C37-2*E37)*(AA37-C37/2)*E37+((AA37-C37+E37)^2+(C37-AA37)^2)*(D37-E37)/2+PI()*E37*E37/4*AA37+(1-PI()/4)*F37*F37*((10-3*PI())/(12-3*PI())*F37+AA37-C37+E37))/1000</f>
        <v>14.562206491243272</v>
      </c>
      <c r="AE37" s="119">
        <v>35</v>
      </c>
      <c r="AF37" s="119">
        <v>16</v>
      </c>
      <c r="AG37" s="119">
        <f t="shared" si="14"/>
        <v>35</v>
      </c>
      <c r="AH37" s="119">
        <f t="shared" si="14"/>
        <v>16</v>
      </c>
      <c r="AI37" s="120">
        <v>18.3</v>
      </c>
      <c r="AJ37" s="120">
        <f t="shared" si="12"/>
        <v>18.3</v>
      </c>
      <c r="AK37" s="122"/>
    </row>
    <row r="38" spans="1:37" s="99" customFormat="1" x14ac:dyDescent="0.2">
      <c r="A38" s="100" t="s">
        <v>282</v>
      </c>
      <c r="B38" s="103">
        <f t="shared" si="15"/>
        <v>4.9455</v>
      </c>
      <c r="C38" s="101">
        <v>65</v>
      </c>
      <c r="D38" s="101">
        <v>65</v>
      </c>
      <c r="E38" s="102">
        <v>5</v>
      </c>
      <c r="F38" s="102">
        <v>7</v>
      </c>
      <c r="G38" s="102">
        <f t="shared" si="1"/>
        <v>3.5</v>
      </c>
      <c r="H38" s="103">
        <v>6.3</v>
      </c>
      <c r="I38" s="103">
        <v>25.07</v>
      </c>
      <c r="J38" s="103">
        <f t="shared" si="16"/>
        <v>5.3114406779661012</v>
      </c>
      <c r="K38" s="103"/>
      <c r="L38" s="103">
        <f t="shared" si="17"/>
        <v>1.9948345995006902</v>
      </c>
      <c r="M38" s="103"/>
      <c r="N38" s="103">
        <f t="shared" si="4"/>
        <v>25.07</v>
      </c>
      <c r="O38" s="103">
        <f t="shared" si="18"/>
        <v>5.3114406779661012</v>
      </c>
      <c r="P38" s="103"/>
      <c r="Q38" s="103">
        <f t="shared" si="6"/>
        <v>1.9948345995006902</v>
      </c>
      <c r="R38" s="103"/>
      <c r="S38" s="103">
        <v>39.81</v>
      </c>
      <c r="T38" s="102">
        <v>46</v>
      </c>
      <c r="U38" s="103">
        <f t="shared" si="7"/>
        <v>8.6543478260869566</v>
      </c>
      <c r="V38" s="103">
        <f t="shared" si="8"/>
        <v>2.5137715924577595</v>
      </c>
      <c r="W38" s="103">
        <v>10.33</v>
      </c>
      <c r="X38" s="102">
        <v>25.1</v>
      </c>
      <c r="Y38" s="103">
        <f t="shared" si="13"/>
        <v>4.1155378486055776</v>
      </c>
      <c r="Z38" s="105">
        <f t="shared" si="9"/>
        <v>1.2805008940576885</v>
      </c>
      <c r="AA38" s="99">
        <f t="shared" si="19"/>
        <v>60.193958475666179</v>
      </c>
      <c r="AB38" s="99">
        <f t="shared" si="20"/>
        <v>9.510295174083609</v>
      </c>
      <c r="AE38" s="101">
        <v>40</v>
      </c>
      <c r="AF38" s="101">
        <v>16</v>
      </c>
      <c r="AG38" s="101">
        <f t="shared" si="14"/>
        <v>40</v>
      </c>
      <c r="AH38" s="101">
        <f t="shared" si="14"/>
        <v>16</v>
      </c>
      <c r="AI38" s="102">
        <v>17.8</v>
      </c>
      <c r="AJ38" s="102">
        <f t="shared" si="12"/>
        <v>17.8</v>
      </c>
      <c r="AK38" s="104"/>
    </row>
    <row r="39" spans="1:37" x14ac:dyDescent="0.2">
      <c r="A39" s="106" t="s">
        <v>283</v>
      </c>
      <c r="B39" s="109">
        <f t="shared" si="15"/>
        <v>5.8953499999999996</v>
      </c>
      <c r="C39" s="107">
        <v>65</v>
      </c>
      <c r="D39" s="107">
        <v>65</v>
      </c>
      <c r="E39" s="108">
        <v>6</v>
      </c>
      <c r="F39" s="108">
        <v>8</v>
      </c>
      <c r="G39" s="108">
        <f t="shared" si="1"/>
        <v>4</v>
      </c>
      <c r="H39" s="109">
        <v>7.51</v>
      </c>
      <c r="I39" s="109">
        <v>29.36</v>
      </c>
      <c r="J39" s="109">
        <f t="shared" si="16"/>
        <v>6.2601279317697234</v>
      </c>
      <c r="K39" s="109"/>
      <c r="L39" s="109">
        <f t="shared" si="17"/>
        <v>1.9772339419632834</v>
      </c>
      <c r="M39" s="109"/>
      <c r="N39" s="109">
        <f t="shared" si="4"/>
        <v>29.36</v>
      </c>
      <c r="O39" s="109">
        <f t="shared" si="18"/>
        <v>6.2601279317697234</v>
      </c>
      <c r="P39" s="109"/>
      <c r="Q39" s="109">
        <f t="shared" si="6"/>
        <v>1.9772339419632834</v>
      </c>
      <c r="R39" s="109"/>
      <c r="S39" s="109">
        <v>46.59</v>
      </c>
      <c r="T39" s="108">
        <v>46</v>
      </c>
      <c r="U39" s="109">
        <f t="shared" si="7"/>
        <v>10.128260869565219</v>
      </c>
      <c r="V39" s="109">
        <f t="shared" si="8"/>
        <v>2.4907284802209486</v>
      </c>
      <c r="W39" s="109">
        <v>12.13</v>
      </c>
      <c r="X39" s="108">
        <v>25.6</v>
      </c>
      <c r="Y39" s="109">
        <f t="shared" si="13"/>
        <v>4.73828125</v>
      </c>
      <c r="Z39" s="111">
        <f t="shared" si="9"/>
        <v>1.270897226497711</v>
      </c>
      <c r="AA39" s="99">
        <f t="shared" si="19"/>
        <v>59.290129343790923</v>
      </c>
      <c r="AB39" s="99">
        <f t="shared" si="20"/>
        <v>11.188438177315774</v>
      </c>
      <c r="AE39" s="107">
        <v>40</v>
      </c>
      <c r="AF39" s="107">
        <v>16</v>
      </c>
      <c r="AG39" s="107">
        <f t="shared" si="14"/>
        <v>40</v>
      </c>
      <c r="AH39" s="107">
        <f t="shared" si="14"/>
        <v>16</v>
      </c>
      <c r="AI39" s="108">
        <v>18.100000000000001</v>
      </c>
      <c r="AJ39" s="108">
        <f t="shared" si="12"/>
        <v>18.100000000000001</v>
      </c>
      <c r="AK39" s="110"/>
    </row>
    <row r="40" spans="1:37" x14ac:dyDescent="0.2">
      <c r="A40" s="106" t="s">
        <v>284</v>
      </c>
      <c r="B40" s="109">
        <f t="shared" si="15"/>
        <v>6.8137999999999996</v>
      </c>
      <c r="C40" s="107">
        <v>65</v>
      </c>
      <c r="D40" s="107">
        <v>65</v>
      </c>
      <c r="E40" s="108">
        <v>7</v>
      </c>
      <c r="F40" s="108">
        <v>8</v>
      </c>
      <c r="G40" s="108">
        <f t="shared" si="1"/>
        <v>4</v>
      </c>
      <c r="H40" s="109">
        <v>8.68</v>
      </c>
      <c r="I40" s="109">
        <v>33.6</v>
      </c>
      <c r="J40" s="109">
        <f t="shared" si="16"/>
        <v>7.225806451612903</v>
      </c>
      <c r="K40" s="109"/>
      <c r="L40" s="109">
        <f t="shared" si="17"/>
        <v>1.9674775073518589</v>
      </c>
      <c r="M40" s="109"/>
      <c r="N40" s="109">
        <f t="shared" si="4"/>
        <v>33.6</v>
      </c>
      <c r="O40" s="109">
        <f t="shared" si="18"/>
        <v>7.225806451612903</v>
      </c>
      <c r="P40" s="109"/>
      <c r="Q40" s="109">
        <f t="shared" si="6"/>
        <v>1.9674775073518589</v>
      </c>
      <c r="R40" s="109"/>
      <c r="S40" s="109">
        <v>53.3</v>
      </c>
      <c r="T40" s="108">
        <v>46</v>
      </c>
      <c r="U40" s="109">
        <f t="shared" si="7"/>
        <v>11.586956521739131</v>
      </c>
      <c r="V40" s="109">
        <f t="shared" si="8"/>
        <v>2.4780139215492123</v>
      </c>
      <c r="W40" s="109">
        <v>13.91</v>
      </c>
      <c r="X40" s="108">
        <v>26.2</v>
      </c>
      <c r="Y40" s="109">
        <f t="shared" si="13"/>
        <v>5.3091603053435117</v>
      </c>
      <c r="Z40" s="111">
        <f t="shared" si="9"/>
        <v>1.2659125412965864</v>
      </c>
      <c r="AA40" s="99">
        <f t="shared" si="19"/>
        <v>58.433049711111444</v>
      </c>
      <c r="AB40" s="99">
        <f t="shared" si="20"/>
        <v>12.793415245365926</v>
      </c>
      <c r="AE40" s="107">
        <v>40</v>
      </c>
      <c r="AF40" s="107">
        <v>16</v>
      </c>
      <c r="AG40" s="107">
        <f t="shared" si="14"/>
        <v>40</v>
      </c>
      <c r="AH40" s="107">
        <f t="shared" si="14"/>
        <v>16</v>
      </c>
      <c r="AI40" s="108">
        <v>18.5</v>
      </c>
      <c r="AJ40" s="108">
        <f t="shared" si="12"/>
        <v>18.5</v>
      </c>
      <c r="AK40" s="110"/>
    </row>
    <row r="41" spans="1:37" x14ac:dyDescent="0.2">
      <c r="A41" s="106" t="s">
        <v>285</v>
      </c>
      <c r="B41" s="109">
        <f t="shared" si="15"/>
        <v>7.7165500000000007</v>
      </c>
      <c r="C41" s="107">
        <v>65</v>
      </c>
      <c r="D41" s="107">
        <v>65</v>
      </c>
      <c r="E41" s="108">
        <v>8</v>
      </c>
      <c r="F41" s="108">
        <v>8</v>
      </c>
      <c r="G41" s="108">
        <f t="shared" si="1"/>
        <v>4</v>
      </c>
      <c r="H41" s="109">
        <v>9.83</v>
      </c>
      <c r="I41" s="109">
        <v>37.659999999999997</v>
      </c>
      <c r="J41" s="109">
        <f t="shared" si="16"/>
        <v>8.1691973969631224</v>
      </c>
      <c r="K41" s="109"/>
      <c r="L41" s="109">
        <f t="shared" si="17"/>
        <v>1.9573270540044505</v>
      </c>
      <c r="M41" s="109"/>
      <c r="N41" s="109">
        <f t="shared" si="4"/>
        <v>37.659999999999997</v>
      </c>
      <c r="O41" s="109">
        <f t="shared" si="18"/>
        <v>8.1691973969631224</v>
      </c>
      <c r="P41" s="109"/>
      <c r="Q41" s="109">
        <f t="shared" si="6"/>
        <v>1.9573270540044505</v>
      </c>
      <c r="R41" s="109"/>
      <c r="S41" s="109">
        <v>59.68</v>
      </c>
      <c r="T41" s="108">
        <v>46</v>
      </c>
      <c r="U41" s="109">
        <f t="shared" si="7"/>
        <v>12.973913043478261</v>
      </c>
      <c r="V41" s="109">
        <f t="shared" si="8"/>
        <v>2.4639826663062343</v>
      </c>
      <c r="W41" s="109">
        <v>15.64</v>
      </c>
      <c r="X41" s="108">
        <v>26.8</v>
      </c>
      <c r="Y41" s="109">
        <f t="shared" si="13"/>
        <v>5.8358208955223878</v>
      </c>
      <c r="Z41" s="111">
        <f t="shared" si="9"/>
        <v>1.2613674376714759</v>
      </c>
      <c r="AA41" s="99">
        <f t="shared" si="19"/>
        <v>57.597957827250482</v>
      </c>
      <c r="AB41" s="99">
        <f t="shared" si="20"/>
        <v>14.338055860181759</v>
      </c>
      <c r="AE41" s="107">
        <v>40</v>
      </c>
      <c r="AF41" s="107">
        <v>16</v>
      </c>
      <c r="AG41" s="107">
        <f t="shared" si="14"/>
        <v>40</v>
      </c>
      <c r="AH41" s="107">
        <f t="shared" si="14"/>
        <v>16</v>
      </c>
      <c r="AI41" s="108">
        <v>18.899999999999999</v>
      </c>
      <c r="AJ41" s="108">
        <f t="shared" si="12"/>
        <v>18.899999999999999</v>
      </c>
      <c r="AK41" s="110"/>
    </row>
    <row r="42" spans="1:37" x14ac:dyDescent="0.2">
      <c r="A42" s="112" t="s">
        <v>286</v>
      </c>
      <c r="B42" s="115">
        <f t="shared" si="15"/>
        <v>8.6193000000000008</v>
      </c>
      <c r="C42" s="113">
        <v>65</v>
      </c>
      <c r="D42" s="113">
        <v>65</v>
      </c>
      <c r="E42" s="114">
        <v>9</v>
      </c>
      <c r="F42" s="114">
        <v>9</v>
      </c>
      <c r="G42" s="114">
        <f t="shared" si="1"/>
        <v>4.5</v>
      </c>
      <c r="H42" s="115">
        <v>10.98</v>
      </c>
      <c r="I42" s="115">
        <v>41.37</v>
      </c>
      <c r="J42" s="115">
        <f t="shared" si="16"/>
        <v>9.052516411378555</v>
      </c>
      <c r="K42" s="115"/>
      <c r="L42" s="115">
        <f t="shared" si="17"/>
        <v>1.9410717562319868</v>
      </c>
      <c r="M42" s="115"/>
      <c r="N42" s="115">
        <f t="shared" si="4"/>
        <v>41.37</v>
      </c>
      <c r="O42" s="115">
        <f t="shared" si="18"/>
        <v>9.052516411378555</v>
      </c>
      <c r="P42" s="115"/>
      <c r="Q42" s="115">
        <f t="shared" si="6"/>
        <v>1.9410717562319868</v>
      </c>
      <c r="R42" s="115"/>
      <c r="S42" s="115">
        <v>65.45</v>
      </c>
      <c r="T42" s="114">
        <v>46</v>
      </c>
      <c r="U42" s="115">
        <f t="shared" si="7"/>
        <v>14.228260869565217</v>
      </c>
      <c r="V42" s="115">
        <f t="shared" si="8"/>
        <v>2.4414827230737055</v>
      </c>
      <c r="W42" s="115">
        <v>17.29</v>
      </c>
      <c r="X42" s="114">
        <v>27.3</v>
      </c>
      <c r="Y42" s="115">
        <f t="shared" si="13"/>
        <v>6.3333333333333321</v>
      </c>
      <c r="Z42" s="117">
        <f t="shared" si="9"/>
        <v>1.2548630357993915</v>
      </c>
      <c r="AA42" s="99">
        <f t="shared" si="19"/>
        <v>56.756790375113901</v>
      </c>
      <c r="AB42" s="99">
        <f t="shared" si="20"/>
        <v>15.838083781678526</v>
      </c>
      <c r="AE42" s="113">
        <v>40</v>
      </c>
      <c r="AF42" s="113">
        <v>16</v>
      </c>
      <c r="AG42" s="113">
        <f t="shared" si="14"/>
        <v>40</v>
      </c>
      <c r="AH42" s="113">
        <f t="shared" si="14"/>
        <v>16</v>
      </c>
      <c r="AI42" s="114">
        <v>19.3</v>
      </c>
      <c r="AJ42" s="114">
        <f t="shared" si="12"/>
        <v>19.3</v>
      </c>
      <c r="AK42" s="116"/>
    </row>
    <row r="43" spans="1:37" s="99" customFormat="1" x14ac:dyDescent="0.2">
      <c r="A43" s="93" t="s">
        <v>287</v>
      </c>
      <c r="B43" s="96">
        <f t="shared" si="15"/>
        <v>5.3301500000000006</v>
      </c>
      <c r="C43" s="94">
        <v>70</v>
      </c>
      <c r="D43" s="94">
        <v>70</v>
      </c>
      <c r="E43" s="95">
        <v>5</v>
      </c>
      <c r="F43" s="95">
        <v>6</v>
      </c>
      <c r="G43" s="95">
        <f t="shared" si="1"/>
        <v>3</v>
      </c>
      <c r="H43" s="96">
        <v>6.79</v>
      </c>
      <c r="I43" s="96">
        <v>31.76</v>
      </c>
      <c r="J43" s="96">
        <f t="shared" si="16"/>
        <v>6.2396856581532418</v>
      </c>
      <c r="K43" s="96"/>
      <c r="L43" s="96">
        <f t="shared" si="17"/>
        <v>2.1627452145442083</v>
      </c>
      <c r="M43" s="96"/>
      <c r="N43" s="96">
        <f t="shared" si="4"/>
        <v>31.76</v>
      </c>
      <c r="O43" s="96">
        <f t="shared" si="18"/>
        <v>6.2396856581532418</v>
      </c>
      <c r="P43" s="96"/>
      <c r="Q43" s="96">
        <f t="shared" si="6"/>
        <v>2.1627452145442083</v>
      </c>
      <c r="R43" s="96"/>
      <c r="S43" s="96">
        <v>50.51</v>
      </c>
      <c r="T43" s="95">
        <v>49.5</v>
      </c>
      <c r="U43" s="96">
        <f t="shared" si="7"/>
        <v>10.204040404040404</v>
      </c>
      <c r="V43" s="96">
        <f t="shared" si="8"/>
        <v>2.7274311553038224</v>
      </c>
      <c r="W43" s="96">
        <v>13.01</v>
      </c>
      <c r="X43" s="95">
        <v>27</v>
      </c>
      <c r="Y43" s="96">
        <f t="shared" si="13"/>
        <v>4.818518518518518</v>
      </c>
      <c r="Z43" s="98">
        <f t="shared" si="9"/>
        <v>1.3842156693036682</v>
      </c>
      <c r="AA43" s="99">
        <f t="shared" si="19"/>
        <v>65.200031612231683</v>
      </c>
      <c r="AB43" s="99">
        <f t="shared" si="20"/>
        <v>11.102199032874985</v>
      </c>
      <c r="AE43" s="94">
        <v>40</v>
      </c>
      <c r="AF43" s="94">
        <v>16</v>
      </c>
      <c r="AG43" s="94">
        <f t="shared" ref="AG43:AH70" si="21">AE43</f>
        <v>40</v>
      </c>
      <c r="AH43" s="94">
        <f t="shared" si="21"/>
        <v>16</v>
      </c>
      <c r="AI43" s="95">
        <v>19.100000000000001</v>
      </c>
      <c r="AJ43" s="95">
        <f t="shared" si="12"/>
        <v>19.100000000000001</v>
      </c>
      <c r="AK43" s="97"/>
    </row>
    <row r="44" spans="1:37" x14ac:dyDescent="0.2">
      <c r="A44" s="118" t="s">
        <v>288</v>
      </c>
      <c r="B44" s="121">
        <f t="shared" si="15"/>
        <v>6.3820500000000004</v>
      </c>
      <c r="C44" s="119">
        <v>70</v>
      </c>
      <c r="D44" s="119">
        <v>70</v>
      </c>
      <c r="E44" s="120">
        <v>6</v>
      </c>
      <c r="F44" s="120">
        <v>9</v>
      </c>
      <c r="G44" s="120">
        <f t="shared" si="1"/>
        <v>4.5</v>
      </c>
      <c r="H44" s="121">
        <v>8.1300000000000008</v>
      </c>
      <c r="I44" s="121">
        <v>36.880000000000003</v>
      </c>
      <c r="J44" s="121">
        <f t="shared" si="16"/>
        <v>7.2741617357001971</v>
      </c>
      <c r="K44" s="121"/>
      <c r="L44" s="121">
        <f t="shared" si="17"/>
        <v>2.1298557140927712</v>
      </c>
      <c r="M44" s="121"/>
      <c r="N44" s="121">
        <f>I44</f>
        <v>36.880000000000003</v>
      </c>
      <c r="O44" s="121">
        <f t="shared" si="18"/>
        <v>7.2741617357001971</v>
      </c>
      <c r="P44" s="121"/>
      <c r="Q44" s="121">
        <f>SQRT(N44/$H44)</f>
        <v>2.1298557140927712</v>
      </c>
      <c r="R44" s="121"/>
      <c r="S44" s="121">
        <v>58.5</v>
      </c>
      <c r="T44" s="120">
        <v>49.5</v>
      </c>
      <c r="U44" s="121">
        <f>S44*10/T44</f>
        <v>11.818181818181818</v>
      </c>
      <c r="V44" s="121">
        <f>SQRT(S44/$H44)</f>
        <v>2.6824563287627918</v>
      </c>
      <c r="W44" s="121">
        <v>15.27</v>
      </c>
      <c r="X44" s="120">
        <v>27.3</v>
      </c>
      <c r="Y44" s="121">
        <f t="shared" si="13"/>
        <v>5.5934065934065931</v>
      </c>
      <c r="Z44" s="123">
        <f>SQRT(W44/$H44)</f>
        <v>1.3704848712363893</v>
      </c>
      <c r="AA44" s="99">
        <f t="shared" si="19"/>
        <v>64.243347024789841</v>
      </c>
      <c r="AB44" s="99">
        <f t="shared" si="20"/>
        <v>13.094642067247646</v>
      </c>
      <c r="AE44" s="119">
        <v>40</v>
      </c>
      <c r="AF44" s="119">
        <v>16</v>
      </c>
      <c r="AG44" s="119">
        <f t="shared" si="21"/>
        <v>40</v>
      </c>
      <c r="AH44" s="119">
        <f t="shared" si="21"/>
        <v>16</v>
      </c>
      <c r="AI44" s="120">
        <v>19.3</v>
      </c>
      <c r="AJ44" s="120">
        <f t="shared" si="12"/>
        <v>19.3</v>
      </c>
      <c r="AK44" s="122"/>
    </row>
    <row r="45" spans="1:37" x14ac:dyDescent="0.2">
      <c r="A45" s="118" t="s">
        <v>289</v>
      </c>
      <c r="B45" s="121">
        <f t="shared" si="15"/>
        <v>7.3790000000000004</v>
      </c>
      <c r="C45" s="119">
        <v>70</v>
      </c>
      <c r="D45" s="119">
        <v>70</v>
      </c>
      <c r="E45" s="120">
        <v>7</v>
      </c>
      <c r="F45" s="120">
        <v>9</v>
      </c>
      <c r="G45" s="120">
        <f t="shared" si="1"/>
        <v>4.5</v>
      </c>
      <c r="H45" s="121">
        <v>9.4</v>
      </c>
      <c r="I45" s="121">
        <v>42.3</v>
      </c>
      <c r="J45" s="121">
        <f t="shared" si="16"/>
        <v>8.4095427435387684</v>
      </c>
      <c r="K45" s="121"/>
      <c r="L45" s="121">
        <f t="shared" si="17"/>
        <v>2.1213203435596424</v>
      </c>
      <c r="M45" s="121"/>
      <c r="N45" s="121">
        <f t="shared" ref="N45:N65" si="22">I45</f>
        <v>42.3</v>
      </c>
      <c r="O45" s="121">
        <f t="shared" si="18"/>
        <v>8.4095427435387684</v>
      </c>
      <c r="P45" s="121"/>
      <c r="Q45" s="121">
        <f t="shared" ref="Q45:Q65" si="23">SQRT(N45/$H45)</f>
        <v>2.1213203435596424</v>
      </c>
      <c r="R45" s="121"/>
      <c r="S45" s="121">
        <v>67.09</v>
      </c>
      <c r="T45" s="120">
        <v>49.5</v>
      </c>
      <c r="U45" s="121">
        <f t="shared" ref="U45:U65" si="24">S45*10/T45</f>
        <v>13.553535353535356</v>
      </c>
      <c r="V45" s="121">
        <f t="shared" ref="V45:V65" si="25">SQRT(S45/$H45)</f>
        <v>2.6715602262635203</v>
      </c>
      <c r="W45" s="121">
        <v>17.5</v>
      </c>
      <c r="X45" s="120">
        <v>27.9</v>
      </c>
      <c r="Y45" s="121">
        <f t="shared" si="13"/>
        <v>6.2724014336917566</v>
      </c>
      <c r="Z45" s="123">
        <f t="shared" ref="Z45:Z65" si="26">SQRT(W45/$H45)</f>
        <v>1.3644420572745384</v>
      </c>
      <c r="AA45" s="99">
        <f t="shared" si="19"/>
        <v>63.376058794444596</v>
      </c>
      <c r="AB45" s="99">
        <f t="shared" si="20"/>
        <v>14.990460836009236</v>
      </c>
      <c r="AE45" s="119">
        <v>40</v>
      </c>
      <c r="AF45" s="119">
        <v>16</v>
      </c>
      <c r="AG45" s="119">
        <f t="shared" si="21"/>
        <v>40</v>
      </c>
      <c r="AH45" s="119">
        <f t="shared" si="21"/>
        <v>16</v>
      </c>
      <c r="AI45" s="120">
        <v>19.7</v>
      </c>
      <c r="AJ45" s="120">
        <f t="shared" si="12"/>
        <v>19.7</v>
      </c>
      <c r="AK45" s="122"/>
    </row>
    <row r="46" spans="1:37" x14ac:dyDescent="0.2">
      <c r="A46" s="118" t="s">
        <v>290</v>
      </c>
      <c r="B46" s="121">
        <f t="shared" si="15"/>
        <v>9.325800000000001</v>
      </c>
      <c r="C46" s="119">
        <v>70</v>
      </c>
      <c r="D46" s="119">
        <v>70</v>
      </c>
      <c r="E46" s="120">
        <v>9</v>
      </c>
      <c r="F46" s="120">
        <v>9</v>
      </c>
      <c r="G46" s="120">
        <f t="shared" si="1"/>
        <v>4.5</v>
      </c>
      <c r="H46" s="121">
        <v>11.88</v>
      </c>
      <c r="I46" s="121">
        <v>52.47</v>
      </c>
      <c r="J46" s="121">
        <f t="shared" si="16"/>
        <v>10.600000000000001</v>
      </c>
      <c r="K46" s="121"/>
      <c r="L46" s="121">
        <f t="shared" si="17"/>
        <v>2.1015867021530816</v>
      </c>
      <c r="M46" s="121"/>
      <c r="N46" s="121">
        <f t="shared" si="22"/>
        <v>52.47</v>
      </c>
      <c r="O46" s="121">
        <f t="shared" si="18"/>
        <v>10.600000000000001</v>
      </c>
      <c r="P46" s="121"/>
      <c r="Q46" s="121">
        <f t="shared" si="23"/>
        <v>2.1015867021530816</v>
      </c>
      <c r="R46" s="121"/>
      <c r="S46" s="121">
        <v>83.09</v>
      </c>
      <c r="T46" s="120">
        <v>49.5</v>
      </c>
      <c r="U46" s="121">
        <f t="shared" si="24"/>
        <v>16.785858585858588</v>
      </c>
      <c r="V46" s="121">
        <f t="shared" si="25"/>
        <v>2.6446375449402786</v>
      </c>
      <c r="W46" s="121">
        <v>21.84</v>
      </c>
      <c r="X46" s="120">
        <v>29</v>
      </c>
      <c r="Y46" s="121">
        <f t="shared" si="13"/>
        <v>7.5310344827586206</v>
      </c>
      <c r="Z46" s="123">
        <f t="shared" si="26"/>
        <v>1.3558701406786118</v>
      </c>
      <c r="AA46" s="99">
        <f t="shared" si="19"/>
        <v>61.702733919748617</v>
      </c>
      <c r="AB46" s="99">
        <f t="shared" si="20"/>
        <v>18.584220996909934</v>
      </c>
      <c r="AE46" s="119">
        <v>40</v>
      </c>
      <c r="AF46" s="119">
        <v>16</v>
      </c>
      <c r="AG46" s="119">
        <f t="shared" si="21"/>
        <v>40</v>
      </c>
      <c r="AH46" s="119">
        <f t="shared" si="21"/>
        <v>16</v>
      </c>
      <c r="AI46" s="120">
        <v>20.5</v>
      </c>
      <c r="AJ46" s="120">
        <f t="shared" si="12"/>
        <v>20.5</v>
      </c>
      <c r="AK46" s="122"/>
    </row>
    <row r="47" spans="1:37" s="99" customFormat="1" x14ac:dyDescent="0.2">
      <c r="A47" s="100" t="s">
        <v>291</v>
      </c>
      <c r="B47" s="103">
        <f t="shared" si="15"/>
        <v>5.7226500000000007</v>
      </c>
      <c r="C47" s="101">
        <v>75</v>
      </c>
      <c r="D47" s="101">
        <v>75</v>
      </c>
      <c r="E47" s="102">
        <v>5</v>
      </c>
      <c r="F47" s="102">
        <v>6</v>
      </c>
      <c r="G47" s="102">
        <f t="shared" si="1"/>
        <v>3</v>
      </c>
      <c r="H47" s="103">
        <v>7.29</v>
      </c>
      <c r="I47" s="103">
        <v>39.369999999999997</v>
      </c>
      <c r="J47" s="103">
        <f t="shared" si="16"/>
        <v>7.2106227106227099</v>
      </c>
      <c r="K47" s="103"/>
      <c r="L47" s="103">
        <f t="shared" si="17"/>
        <v>2.3239080654890358</v>
      </c>
      <c r="M47" s="103"/>
      <c r="N47" s="103">
        <f t="shared" si="22"/>
        <v>39.369999999999997</v>
      </c>
      <c r="O47" s="103">
        <f t="shared" si="18"/>
        <v>7.2106227106227099</v>
      </c>
      <c r="P47" s="103"/>
      <c r="Q47" s="103">
        <f t="shared" si="23"/>
        <v>2.3239080654890358</v>
      </c>
      <c r="R47" s="103"/>
      <c r="S47" s="103">
        <v>62.64</v>
      </c>
      <c r="T47" s="102">
        <v>53</v>
      </c>
      <c r="U47" s="103">
        <f t="shared" si="24"/>
        <v>11.818867924528302</v>
      </c>
      <c r="V47" s="103">
        <f t="shared" si="25"/>
        <v>2.9313124351717601</v>
      </c>
      <c r="W47" s="103">
        <v>16.100000000000001</v>
      </c>
      <c r="X47" s="102">
        <v>28.8</v>
      </c>
      <c r="Y47" s="103">
        <f t="shared" si="13"/>
        <v>5.5902777777777777</v>
      </c>
      <c r="Z47" s="105">
        <f t="shared" si="26"/>
        <v>1.4861038998325096</v>
      </c>
      <c r="AA47" s="99">
        <f t="shared" si="19"/>
        <v>70.186696171416244</v>
      </c>
      <c r="AB47" s="99">
        <f t="shared" si="20"/>
        <v>12.825181383635186</v>
      </c>
      <c r="AE47" s="101">
        <v>40</v>
      </c>
      <c r="AF47" s="101">
        <v>16</v>
      </c>
      <c r="AG47" s="101">
        <f t="shared" si="21"/>
        <v>40</v>
      </c>
      <c r="AH47" s="101">
        <f t="shared" si="21"/>
        <v>16</v>
      </c>
      <c r="AI47" s="102">
        <v>20.399999999999999</v>
      </c>
      <c r="AJ47" s="102">
        <f t="shared" si="12"/>
        <v>20.399999999999999</v>
      </c>
      <c r="AK47" s="104"/>
    </row>
    <row r="48" spans="1:37" x14ac:dyDescent="0.2">
      <c r="A48" s="106" t="s">
        <v>292</v>
      </c>
      <c r="B48" s="109">
        <f t="shared" si="15"/>
        <v>6.8530500000000005</v>
      </c>
      <c r="C48" s="107">
        <v>75</v>
      </c>
      <c r="D48" s="107">
        <v>75</v>
      </c>
      <c r="E48" s="108">
        <v>6</v>
      </c>
      <c r="F48" s="108">
        <v>9</v>
      </c>
      <c r="G48" s="108">
        <f t="shared" si="1"/>
        <v>4.5</v>
      </c>
      <c r="H48" s="109">
        <v>8.73</v>
      </c>
      <c r="I48" s="109">
        <v>45.83</v>
      </c>
      <c r="J48" s="109">
        <f t="shared" si="16"/>
        <v>8.4091743119266038</v>
      </c>
      <c r="K48" s="109"/>
      <c r="L48" s="109">
        <f t="shared" si="17"/>
        <v>2.2912253558209699</v>
      </c>
      <c r="M48" s="109"/>
      <c r="N48" s="109">
        <f t="shared" si="22"/>
        <v>45.83</v>
      </c>
      <c r="O48" s="109">
        <f t="shared" si="18"/>
        <v>8.4091743119266038</v>
      </c>
      <c r="P48" s="109"/>
      <c r="Q48" s="109">
        <f t="shared" si="23"/>
        <v>2.2912253558209699</v>
      </c>
      <c r="R48" s="109"/>
      <c r="S48" s="109">
        <v>72.72</v>
      </c>
      <c r="T48" s="108">
        <v>53</v>
      </c>
      <c r="U48" s="109">
        <f t="shared" si="24"/>
        <v>13.720754716981133</v>
      </c>
      <c r="V48" s="109">
        <f t="shared" si="25"/>
        <v>2.8861560781109006</v>
      </c>
      <c r="W48" s="109">
        <v>18.940000000000001</v>
      </c>
      <c r="X48" s="108">
        <v>29</v>
      </c>
      <c r="Y48" s="109">
        <f t="shared" si="13"/>
        <v>6.5310344827586206</v>
      </c>
      <c r="Z48" s="111">
        <f t="shared" si="26"/>
        <v>1.4729325697727529</v>
      </c>
      <c r="AA48" s="99">
        <f t="shared" si="19"/>
        <v>69.227123889803835</v>
      </c>
      <c r="AB48" s="99">
        <f t="shared" si="20"/>
        <v>15.140626513968547</v>
      </c>
      <c r="AE48" s="107">
        <v>40</v>
      </c>
      <c r="AF48" s="107">
        <v>16</v>
      </c>
      <c r="AG48" s="107">
        <f t="shared" si="21"/>
        <v>40</v>
      </c>
      <c r="AH48" s="107">
        <f t="shared" si="21"/>
        <v>16</v>
      </c>
      <c r="AI48" s="108">
        <v>20.5</v>
      </c>
      <c r="AJ48" s="108">
        <f t="shared" si="12"/>
        <v>20.5</v>
      </c>
      <c r="AK48" s="110"/>
    </row>
    <row r="49" spans="1:37" x14ac:dyDescent="0.2">
      <c r="A49" s="106" t="s">
        <v>293</v>
      </c>
      <c r="B49" s="109">
        <f t="shared" si="15"/>
        <v>7.9284999999999997</v>
      </c>
      <c r="C49" s="107">
        <v>75</v>
      </c>
      <c r="D49" s="107">
        <v>75</v>
      </c>
      <c r="E49" s="108">
        <v>7</v>
      </c>
      <c r="F49" s="108">
        <v>9</v>
      </c>
      <c r="G49" s="108">
        <f t="shared" si="1"/>
        <v>4.5</v>
      </c>
      <c r="H49" s="109">
        <v>10.1</v>
      </c>
      <c r="I49" s="109">
        <v>52.61</v>
      </c>
      <c r="J49" s="109">
        <f t="shared" si="16"/>
        <v>9.7425925925925938</v>
      </c>
      <c r="K49" s="109"/>
      <c r="L49" s="109">
        <f t="shared" si="17"/>
        <v>2.2823038559948823</v>
      </c>
      <c r="M49" s="109"/>
      <c r="N49" s="109">
        <f t="shared" si="22"/>
        <v>52.61</v>
      </c>
      <c r="O49" s="109">
        <f t="shared" si="18"/>
        <v>9.7425925925925938</v>
      </c>
      <c r="P49" s="109"/>
      <c r="Q49" s="109">
        <f t="shared" si="23"/>
        <v>2.2823038559948823</v>
      </c>
      <c r="R49" s="109"/>
      <c r="S49" s="109">
        <v>83.49</v>
      </c>
      <c r="T49" s="108">
        <v>53</v>
      </c>
      <c r="U49" s="109">
        <f t="shared" si="24"/>
        <v>15.752830188679244</v>
      </c>
      <c r="V49" s="109">
        <f t="shared" si="25"/>
        <v>2.8751237597125043</v>
      </c>
      <c r="W49" s="109">
        <v>21.73</v>
      </c>
      <c r="X49" s="108">
        <v>29.6</v>
      </c>
      <c r="Y49" s="109">
        <f t="shared" si="13"/>
        <v>7.3412162162162167</v>
      </c>
      <c r="Z49" s="111">
        <f t="shared" si="26"/>
        <v>1.4667941738754118</v>
      </c>
      <c r="AA49" s="99">
        <f t="shared" si="19"/>
        <v>68.350988208148294</v>
      </c>
      <c r="AB49" s="99">
        <f t="shared" si="20"/>
        <v>17.352178851288201</v>
      </c>
      <c r="AE49" s="107">
        <v>40</v>
      </c>
      <c r="AF49" s="107">
        <v>16</v>
      </c>
      <c r="AG49" s="107">
        <f t="shared" si="21"/>
        <v>40</v>
      </c>
      <c r="AH49" s="107">
        <f t="shared" si="21"/>
        <v>16</v>
      </c>
      <c r="AI49" s="108">
        <v>21</v>
      </c>
      <c r="AJ49" s="108">
        <f t="shared" si="12"/>
        <v>21</v>
      </c>
      <c r="AK49" s="110"/>
    </row>
    <row r="50" spans="1:37" x14ac:dyDescent="0.2">
      <c r="A50" s="106" t="s">
        <v>294</v>
      </c>
      <c r="B50" s="109">
        <f t="shared" si="15"/>
        <v>8.988249999999999</v>
      </c>
      <c r="C50" s="107">
        <v>75</v>
      </c>
      <c r="D50" s="107">
        <v>75</v>
      </c>
      <c r="E50" s="108">
        <v>8</v>
      </c>
      <c r="F50" s="108">
        <v>9</v>
      </c>
      <c r="G50" s="108">
        <f t="shared" si="1"/>
        <v>4.5</v>
      </c>
      <c r="H50" s="109">
        <v>11.45</v>
      </c>
      <c r="I50" s="109">
        <v>59.13</v>
      </c>
      <c r="J50" s="109">
        <f t="shared" si="16"/>
        <v>11.031716417910449</v>
      </c>
      <c r="K50" s="109"/>
      <c r="L50" s="109">
        <f t="shared" si="17"/>
        <v>2.2724858942880135</v>
      </c>
      <c r="M50" s="109"/>
      <c r="N50" s="109">
        <f t="shared" si="22"/>
        <v>59.13</v>
      </c>
      <c r="O50" s="109">
        <f t="shared" si="18"/>
        <v>11.031716417910449</v>
      </c>
      <c r="P50" s="109"/>
      <c r="Q50" s="109">
        <f t="shared" si="23"/>
        <v>2.2724858942880135</v>
      </c>
      <c r="R50" s="109"/>
      <c r="S50" s="109">
        <v>93.8</v>
      </c>
      <c r="T50" s="108">
        <v>53</v>
      </c>
      <c r="U50" s="109">
        <f t="shared" si="24"/>
        <v>17.69811320754717</v>
      </c>
      <c r="V50" s="109">
        <f t="shared" si="25"/>
        <v>2.8621914223180926</v>
      </c>
      <c r="W50" s="109">
        <v>24.46</v>
      </c>
      <c r="X50" s="108">
        <v>30.2</v>
      </c>
      <c r="Y50" s="109">
        <f t="shared" si="13"/>
        <v>8.0993377483443716</v>
      </c>
      <c r="Z50" s="111">
        <f t="shared" si="26"/>
        <v>1.4615897309042358</v>
      </c>
      <c r="AA50" s="99">
        <f t="shared" si="19"/>
        <v>67.493908575468794</v>
      </c>
      <c r="AB50" s="99">
        <f t="shared" si="20"/>
        <v>19.488878316839227</v>
      </c>
      <c r="AE50" s="107">
        <v>40</v>
      </c>
      <c r="AF50" s="107">
        <v>16</v>
      </c>
      <c r="AG50" s="107">
        <f t="shared" si="21"/>
        <v>40</v>
      </c>
      <c r="AH50" s="107">
        <f t="shared" si="21"/>
        <v>16</v>
      </c>
      <c r="AI50" s="108">
        <v>21.4</v>
      </c>
      <c r="AJ50" s="108">
        <f t="shared" si="12"/>
        <v>21.4</v>
      </c>
      <c r="AK50" s="110"/>
    </row>
    <row r="51" spans="1:37" x14ac:dyDescent="0.2">
      <c r="A51" s="112" t="s">
        <v>295</v>
      </c>
      <c r="B51" s="115">
        <f t="shared" si="15"/>
        <v>11.07635</v>
      </c>
      <c r="C51" s="113">
        <v>75</v>
      </c>
      <c r="D51" s="113">
        <v>75</v>
      </c>
      <c r="E51" s="114">
        <v>10</v>
      </c>
      <c r="F51" s="114">
        <v>10</v>
      </c>
      <c r="G51" s="114">
        <f t="shared" si="1"/>
        <v>5</v>
      </c>
      <c r="H51" s="115">
        <v>14.11</v>
      </c>
      <c r="I51" s="115">
        <v>71.17</v>
      </c>
      <c r="J51" s="115">
        <f t="shared" si="16"/>
        <v>13.453686200378073</v>
      </c>
      <c r="K51" s="115"/>
      <c r="L51" s="115">
        <f t="shared" si="17"/>
        <v>2.2458718725148517</v>
      </c>
      <c r="M51" s="115"/>
      <c r="N51" s="115">
        <f t="shared" si="22"/>
        <v>71.17</v>
      </c>
      <c r="O51" s="115">
        <f t="shared" si="18"/>
        <v>13.453686200378073</v>
      </c>
      <c r="P51" s="115"/>
      <c r="Q51" s="115">
        <f t="shared" si="23"/>
        <v>2.2458718725148517</v>
      </c>
      <c r="R51" s="115"/>
      <c r="S51" s="115">
        <v>112.66</v>
      </c>
      <c r="T51" s="114">
        <v>53</v>
      </c>
      <c r="U51" s="115">
        <f t="shared" si="24"/>
        <v>21.256603773584903</v>
      </c>
      <c r="V51" s="115">
        <f t="shared" si="25"/>
        <v>2.8256695173214741</v>
      </c>
      <c r="W51" s="115">
        <v>29.69</v>
      </c>
      <c r="X51" s="114">
        <v>31.3</v>
      </c>
      <c r="Y51" s="115">
        <f t="shared" si="13"/>
        <v>9.4856230031948883</v>
      </c>
      <c r="Z51" s="117">
        <f t="shared" si="26"/>
        <v>1.4505796881277457</v>
      </c>
      <c r="AA51" s="99">
        <f t="shared" si="19"/>
        <v>65.809734557735027</v>
      </c>
      <c r="AB51" s="99">
        <f t="shared" si="20"/>
        <v>23.570641785528672</v>
      </c>
      <c r="AE51" s="113">
        <v>40</v>
      </c>
      <c r="AF51" s="113">
        <v>16</v>
      </c>
      <c r="AG51" s="113">
        <f t="shared" si="21"/>
        <v>40</v>
      </c>
      <c r="AH51" s="113">
        <f t="shared" si="21"/>
        <v>16</v>
      </c>
      <c r="AI51" s="114">
        <v>22.1</v>
      </c>
      <c r="AJ51" s="114">
        <f t="shared" si="12"/>
        <v>22.1</v>
      </c>
      <c r="AK51" s="116"/>
    </row>
    <row r="52" spans="1:37" s="99" customFormat="1" x14ac:dyDescent="0.2">
      <c r="A52" s="93" t="s">
        <v>296</v>
      </c>
      <c r="B52" s="96">
        <f t="shared" si="15"/>
        <v>6.1151499999999999</v>
      </c>
      <c r="C52" s="94">
        <v>80</v>
      </c>
      <c r="D52" s="94">
        <v>80</v>
      </c>
      <c r="E52" s="95">
        <v>5</v>
      </c>
      <c r="F52" s="95">
        <v>6</v>
      </c>
      <c r="G52" s="95">
        <f t="shared" si="1"/>
        <v>3</v>
      </c>
      <c r="H52" s="96">
        <v>7.79</v>
      </c>
      <c r="I52" s="96">
        <v>48.11</v>
      </c>
      <c r="J52" s="96">
        <f t="shared" si="16"/>
        <v>8.2380136986301373</v>
      </c>
      <c r="K52" s="96"/>
      <c r="L52" s="96">
        <f t="shared" si="17"/>
        <v>2.4851290701907338</v>
      </c>
      <c r="M52" s="96"/>
      <c r="N52" s="96">
        <f t="shared" si="22"/>
        <v>48.11</v>
      </c>
      <c r="O52" s="96">
        <f t="shared" si="18"/>
        <v>8.2380136986301373</v>
      </c>
      <c r="P52" s="96"/>
      <c r="Q52" s="96">
        <f t="shared" si="23"/>
        <v>2.4851290701907338</v>
      </c>
      <c r="R52" s="96"/>
      <c r="S52" s="96">
        <v>76.58</v>
      </c>
      <c r="T52" s="95">
        <v>56.6</v>
      </c>
      <c r="U52" s="96">
        <f t="shared" si="24"/>
        <v>13.530035335689044</v>
      </c>
      <c r="V52" s="96">
        <f t="shared" si="25"/>
        <v>3.1353711087733176</v>
      </c>
      <c r="W52" s="96">
        <v>19.649999999999999</v>
      </c>
      <c r="X52" s="95">
        <v>30.5</v>
      </c>
      <c r="Y52" s="96">
        <f t="shared" si="13"/>
        <v>6.442622950819672</v>
      </c>
      <c r="Z52" s="98">
        <f t="shared" si="26"/>
        <v>1.5882269039187045</v>
      </c>
      <c r="AA52" s="99">
        <f t="shared" si="19"/>
        <v>75.175027660702725</v>
      </c>
      <c r="AB52" s="99">
        <f t="shared" si="20"/>
        <v>14.673186328059071</v>
      </c>
      <c r="AE52" s="94">
        <v>45</v>
      </c>
      <c r="AF52" s="94">
        <v>20</v>
      </c>
      <c r="AG52" s="94">
        <f t="shared" si="21"/>
        <v>45</v>
      </c>
      <c r="AH52" s="94">
        <f t="shared" si="21"/>
        <v>20</v>
      </c>
      <c r="AI52" s="95">
        <v>21.6</v>
      </c>
      <c r="AJ52" s="95">
        <f t="shared" si="12"/>
        <v>21.6</v>
      </c>
      <c r="AK52" s="97"/>
    </row>
    <row r="53" spans="1:37" x14ac:dyDescent="0.2">
      <c r="A53" s="118" t="s">
        <v>297</v>
      </c>
      <c r="B53" s="121">
        <f t="shared" si="15"/>
        <v>6.7510000000000003</v>
      </c>
      <c r="C53" s="119">
        <v>80</v>
      </c>
      <c r="D53" s="119">
        <v>80</v>
      </c>
      <c r="E53" s="120">
        <v>5.5</v>
      </c>
      <c r="F53" s="119">
        <v>10</v>
      </c>
      <c r="G53" s="120">
        <f t="shared" si="1"/>
        <v>5</v>
      </c>
      <c r="H53" s="121">
        <v>8.6</v>
      </c>
      <c r="I53" s="121">
        <v>51.52</v>
      </c>
      <c r="J53" s="121">
        <f t="shared" si="16"/>
        <v>8.7918088737201376</v>
      </c>
      <c r="K53" s="121"/>
      <c r="L53" s="121">
        <f t="shared" si="17"/>
        <v>2.4475901769737933</v>
      </c>
      <c r="M53" s="121"/>
      <c r="N53" s="121">
        <f t="shared" si="22"/>
        <v>51.52</v>
      </c>
      <c r="O53" s="121">
        <f t="shared" si="18"/>
        <v>8.7918088737201376</v>
      </c>
      <c r="P53" s="121"/>
      <c r="Q53" s="121">
        <f t="shared" si="23"/>
        <v>2.4475901769737933</v>
      </c>
      <c r="R53" s="121"/>
      <c r="S53" s="121">
        <v>81.66</v>
      </c>
      <c r="T53" s="120">
        <v>56.6</v>
      </c>
      <c r="U53" s="121">
        <f t="shared" si="24"/>
        <v>14.427561837455828</v>
      </c>
      <c r="V53" s="121">
        <f t="shared" si="25"/>
        <v>3.0814523908717626</v>
      </c>
      <c r="W53" s="121">
        <v>21.39</v>
      </c>
      <c r="X53" s="120">
        <v>30.3</v>
      </c>
      <c r="Y53" s="121">
        <f t="shared" si="13"/>
        <v>7.0594059405940595</v>
      </c>
      <c r="Z53" s="123">
        <f t="shared" si="26"/>
        <v>1.5770888695078604</v>
      </c>
      <c r="AA53" s="99">
        <f t="shared" si="19"/>
        <v>74.636082671588738</v>
      </c>
      <c r="AB53" s="99">
        <f t="shared" si="20"/>
        <v>16.04090718417859</v>
      </c>
      <c r="AE53" s="119">
        <v>45</v>
      </c>
      <c r="AF53" s="119">
        <v>20</v>
      </c>
      <c r="AG53" s="119">
        <f t="shared" si="21"/>
        <v>45</v>
      </c>
      <c r="AH53" s="119">
        <f t="shared" si="21"/>
        <v>20</v>
      </c>
      <c r="AI53" s="120">
        <v>21.4</v>
      </c>
      <c r="AJ53" s="120">
        <f t="shared" si="12"/>
        <v>21.4</v>
      </c>
      <c r="AK53" s="122"/>
    </row>
    <row r="54" spans="1:37" x14ac:dyDescent="0.2">
      <c r="A54" s="118" t="s">
        <v>298</v>
      </c>
      <c r="B54" s="121">
        <f t="shared" si="15"/>
        <v>7.3397500000000004</v>
      </c>
      <c r="C54" s="119">
        <v>80</v>
      </c>
      <c r="D54" s="119">
        <v>80</v>
      </c>
      <c r="E54" s="120">
        <v>6</v>
      </c>
      <c r="F54" s="119">
        <v>10</v>
      </c>
      <c r="G54" s="120">
        <f t="shared" si="1"/>
        <v>5</v>
      </c>
      <c r="H54" s="121">
        <v>9.35</v>
      </c>
      <c r="I54" s="121">
        <v>55.82</v>
      </c>
      <c r="J54" s="121">
        <f t="shared" si="16"/>
        <v>9.5746140651801035</v>
      </c>
      <c r="K54" s="121"/>
      <c r="L54" s="121">
        <f t="shared" si="17"/>
        <v>2.443369287671397</v>
      </c>
      <c r="M54" s="121"/>
      <c r="N54" s="121">
        <f t="shared" si="22"/>
        <v>55.82</v>
      </c>
      <c r="O54" s="121">
        <f t="shared" si="18"/>
        <v>9.5746140651801035</v>
      </c>
      <c r="P54" s="121"/>
      <c r="Q54" s="121">
        <f t="shared" si="23"/>
        <v>2.443369287671397</v>
      </c>
      <c r="R54" s="121"/>
      <c r="S54" s="121">
        <v>88.52</v>
      </c>
      <c r="T54" s="120">
        <v>56.6</v>
      </c>
      <c r="U54" s="121">
        <f t="shared" si="24"/>
        <v>15.639575971731448</v>
      </c>
      <c r="V54" s="121">
        <f t="shared" si="25"/>
        <v>3.0769107362977537</v>
      </c>
      <c r="W54" s="121">
        <v>23.13</v>
      </c>
      <c r="X54" s="120">
        <v>30.7</v>
      </c>
      <c r="Y54" s="121">
        <f t="shared" si="13"/>
        <v>7.5342019543973935</v>
      </c>
      <c r="Z54" s="123">
        <f t="shared" si="26"/>
        <v>1.572830820986113</v>
      </c>
      <c r="AA54" s="99">
        <f t="shared" si="19"/>
        <v>74.187444678594545</v>
      </c>
      <c r="AB54" s="99">
        <f t="shared" si="20"/>
        <v>17.349410367010577</v>
      </c>
      <c r="AE54" s="119">
        <v>45</v>
      </c>
      <c r="AF54" s="119">
        <v>20</v>
      </c>
      <c r="AG54" s="119">
        <f t="shared" si="21"/>
        <v>45</v>
      </c>
      <c r="AH54" s="119">
        <f t="shared" si="21"/>
        <v>20</v>
      </c>
      <c r="AI54" s="120">
        <v>21.7</v>
      </c>
      <c r="AJ54" s="120">
        <f t="shared" si="12"/>
        <v>21.7</v>
      </c>
      <c r="AK54" s="122"/>
    </row>
    <row r="55" spans="1:37" x14ac:dyDescent="0.2">
      <c r="A55" s="118" t="s">
        <v>299</v>
      </c>
      <c r="B55" s="121">
        <f t="shared" si="15"/>
        <v>7.9128000000000007</v>
      </c>
      <c r="C55" s="119">
        <v>80</v>
      </c>
      <c r="D55" s="119">
        <v>80</v>
      </c>
      <c r="E55" s="120">
        <v>6.5</v>
      </c>
      <c r="F55" s="119">
        <v>10</v>
      </c>
      <c r="G55" s="120">
        <f t="shared" si="1"/>
        <v>5</v>
      </c>
      <c r="H55" s="121">
        <v>10.08</v>
      </c>
      <c r="I55" s="121">
        <v>60.04</v>
      </c>
      <c r="J55" s="121">
        <f t="shared" si="16"/>
        <v>10.333907056798623</v>
      </c>
      <c r="K55" s="121"/>
      <c r="L55" s="121">
        <f t="shared" si="17"/>
        <v>2.4405632969356086</v>
      </c>
      <c r="M55" s="121"/>
      <c r="N55" s="121">
        <f t="shared" si="22"/>
        <v>60.04</v>
      </c>
      <c r="O55" s="121">
        <f t="shared" si="18"/>
        <v>10.333907056798623</v>
      </c>
      <c r="P55" s="121"/>
      <c r="Q55" s="121">
        <f t="shared" si="23"/>
        <v>2.4405632969356086</v>
      </c>
      <c r="R55" s="121"/>
      <c r="S55" s="121">
        <v>95.24</v>
      </c>
      <c r="T55" s="120">
        <v>56.6</v>
      </c>
      <c r="U55" s="121">
        <f t="shared" si="24"/>
        <v>16.82685512367491</v>
      </c>
      <c r="V55" s="121">
        <f t="shared" si="25"/>
        <v>3.0738270443231999</v>
      </c>
      <c r="W55" s="121">
        <v>24.85</v>
      </c>
      <c r="X55" s="120">
        <v>31</v>
      </c>
      <c r="Y55" s="121">
        <f t="shared" si="13"/>
        <v>8.0161290322580641</v>
      </c>
      <c r="Z55" s="123">
        <f t="shared" si="26"/>
        <v>1.5701203067847311</v>
      </c>
      <c r="AA55" s="99">
        <f t="shared" si="19"/>
        <v>73.74327294707912</v>
      </c>
      <c r="AB55" s="99">
        <f t="shared" si="20"/>
        <v>18.636193292441153</v>
      </c>
      <c r="AE55" s="119">
        <v>45</v>
      </c>
      <c r="AF55" s="119">
        <v>20</v>
      </c>
      <c r="AG55" s="119">
        <f t="shared" si="21"/>
        <v>45</v>
      </c>
      <c r="AH55" s="119">
        <f t="shared" si="21"/>
        <v>20</v>
      </c>
      <c r="AI55" s="120">
        <v>21.9</v>
      </c>
      <c r="AJ55" s="120">
        <f t="shared" si="12"/>
        <v>21.9</v>
      </c>
      <c r="AK55" s="122"/>
    </row>
    <row r="56" spans="1:37" x14ac:dyDescent="0.2">
      <c r="A56" s="118" t="s">
        <v>300</v>
      </c>
      <c r="B56" s="121">
        <f t="shared" si="15"/>
        <v>9.6319499999999998</v>
      </c>
      <c r="C56" s="119">
        <v>80</v>
      </c>
      <c r="D56" s="119">
        <v>80</v>
      </c>
      <c r="E56" s="120">
        <v>8</v>
      </c>
      <c r="F56" s="119">
        <v>10</v>
      </c>
      <c r="G56" s="120">
        <f t="shared" si="1"/>
        <v>5</v>
      </c>
      <c r="H56" s="121">
        <v>12.27</v>
      </c>
      <c r="I56" s="121">
        <v>72.25</v>
      </c>
      <c r="J56" s="121">
        <f t="shared" si="16"/>
        <v>12.587108013937282</v>
      </c>
      <c r="K56" s="121"/>
      <c r="L56" s="121">
        <f t="shared" si="17"/>
        <v>2.4265913455446531</v>
      </c>
      <c r="M56" s="121"/>
      <c r="N56" s="121">
        <f t="shared" si="22"/>
        <v>72.25</v>
      </c>
      <c r="O56" s="121">
        <f t="shared" si="18"/>
        <v>12.587108013937282</v>
      </c>
      <c r="P56" s="121"/>
      <c r="Q56" s="121">
        <f t="shared" si="23"/>
        <v>2.4265913455446531</v>
      </c>
      <c r="R56" s="121"/>
      <c r="S56" s="121">
        <v>114.61</v>
      </c>
      <c r="T56" s="120">
        <v>56.6</v>
      </c>
      <c r="U56" s="121">
        <f t="shared" si="24"/>
        <v>20.24911660777385</v>
      </c>
      <c r="V56" s="121">
        <f t="shared" si="25"/>
        <v>3.0562506927047912</v>
      </c>
      <c r="W56" s="121">
        <v>29.88</v>
      </c>
      <c r="X56" s="120">
        <v>31.9</v>
      </c>
      <c r="Y56" s="121">
        <f t="shared" si="13"/>
        <v>9.3667711598746095</v>
      </c>
      <c r="Z56" s="123">
        <f t="shared" si="26"/>
        <v>1.5605152431043023</v>
      </c>
      <c r="AA56" s="99">
        <f t="shared" si="19"/>
        <v>72.437555321405441</v>
      </c>
      <c r="AB56" s="99">
        <f t="shared" si="20"/>
        <v>22.37221504866142</v>
      </c>
      <c r="AE56" s="119">
        <v>45</v>
      </c>
      <c r="AF56" s="119">
        <v>20</v>
      </c>
      <c r="AG56" s="119">
        <f t="shared" si="21"/>
        <v>45</v>
      </c>
      <c r="AH56" s="119">
        <f t="shared" si="21"/>
        <v>20</v>
      </c>
      <c r="AI56" s="120">
        <v>22.6</v>
      </c>
      <c r="AJ56" s="120">
        <f t="shared" si="12"/>
        <v>22.6</v>
      </c>
      <c r="AK56" s="122"/>
    </row>
    <row r="57" spans="1:37" x14ac:dyDescent="0.2">
      <c r="A57" s="118" t="s">
        <v>301</v>
      </c>
      <c r="B57" s="121">
        <f t="shared" si="15"/>
        <v>11.86135</v>
      </c>
      <c r="C57" s="119">
        <v>80</v>
      </c>
      <c r="D57" s="119">
        <v>80</v>
      </c>
      <c r="E57" s="120">
        <v>10</v>
      </c>
      <c r="F57" s="119">
        <v>10</v>
      </c>
      <c r="G57" s="120">
        <f t="shared" si="1"/>
        <v>5</v>
      </c>
      <c r="H57" s="121">
        <v>15.11</v>
      </c>
      <c r="I57" s="121">
        <v>87.5</v>
      </c>
      <c r="J57" s="121">
        <f t="shared" si="16"/>
        <v>15.459363957597173</v>
      </c>
      <c r="K57" s="121"/>
      <c r="L57" s="121">
        <f t="shared" si="17"/>
        <v>2.4064220277235049</v>
      </c>
      <c r="M57" s="121"/>
      <c r="N57" s="121">
        <f t="shared" si="22"/>
        <v>87.5</v>
      </c>
      <c r="O57" s="121">
        <f t="shared" si="18"/>
        <v>15.459363957597173</v>
      </c>
      <c r="P57" s="121"/>
      <c r="Q57" s="121">
        <f t="shared" si="23"/>
        <v>2.4064220277235049</v>
      </c>
      <c r="R57" s="121"/>
      <c r="S57" s="121">
        <v>138.63</v>
      </c>
      <c r="T57" s="120">
        <v>56.6</v>
      </c>
      <c r="U57" s="121">
        <f t="shared" si="24"/>
        <v>24.492932862190813</v>
      </c>
      <c r="V57" s="121">
        <f t="shared" si="25"/>
        <v>3.028979816591443</v>
      </c>
      <c r="W57" s="121">
        <v>36.369999999999997</v>
      </c>
      <c r="X57" s="120">
        <v>33</v>
      </c>
      <c r="Y57" s="121">
        <f t="shared" si="13"/>
        <v>11.021212121212121</v>
      </c>
      <c r="Z57" s="123">
        <f t="shared" si="26"/>
        <v>1.5514558394319442</v>
      </c>
      <c r="AA57" s="99">
        <f t="shared" si="19"/>
        <v>70.759126147876586</v>
      </c>
      <c r="AB57" s="99">
        <f t="shared" si="20"/>
        <v>27.086061389305321</v>
      </c>
      <c r="AE57" s="119">
        <v>45</v>
      </c>
      <c r="AF57" s="119">
        <v>20</v>
      </c>
      <c r="AG57" s="119">
        <f t="shared" si="21"/>
        <v>45</v>
      </c>
      <c r="AH57" s="119">
        <f t="shared" si="21"/>
        <v>20</v>
      </c>
      <c r="AI57" s="120">
        <v>23.4</v>
      </c>
      <c r="AJ57" s="120">
        <f t="shared" si="12"/>
        <v>23.4</v>
      </c>
      <c r="AK57" s="122"/>
    </row>
    <row r="58" spans="1:37" s="99" customFormat="1" x14ac:dyDescent="0.2">
      <c r="A58" s="100" t="s">
        <v>302</v>
      </c>
      <c r="B58" s="103">
        <f t="shared" si="15"/>
        <v>8.2974500000000013</v>
      </c>
      <c r="C58" s="101">
        <v>90</v>
      </c>
      <c r="D58" s="101">
        <v>90</v>
      </c>
      <c r="E58" s="102">
        <v>6</v>
      </c>
      <c r="F58" s="101">
        <v>11</v>
      </c>
      <c r="G58" s="102">
        <f t="shared" si="1"/>
        <v>5.5</v>
      </c>
      <c r="H58" s="103">
        <v>10.57</v>
      </c>
      <c r="I58" s="103">
        <v>80.31</v>
      </c>
      <c r="J58" s="103">
        <f t="shared" si="16"/>
        <v>12.186646433990894</v>
      </c>
      <c r="K58" s="103"/>
      <c r="L58" s="103">
        <f t="shared" si="17"/>
        <v>2.7564322298314785</v>
      </c>
      <c r="M58" s="103"/>
      <c r="N58" s="103">
        <f t="shared" si="22"/>
        <v>80.31</v>
      </c>
      <c r="O58" s="103">
        <f t="shared" si="18"/>
        <v>12.186646433990894</v>
      </c>
      <c r="P58" s="103"/>
      <c r="Q58" s="103">
        <f t="shared" si="23"/>
        <v>2.7564322298314785</v>
      </c>
      <c r="R58" s="103"/>
      <c r="S58" s="103">
        <v>127.29</v>
      </c>
      <c r="T58" s="102">
        <v>63.6</v>
      </c>
      <c r="U58" s="103">
        <f t="shared" si="24"/>
        <v>20.014150943396228</v>
      </c>
      <c r="V58" s="103">
        <f t="shared" si="25"/>
        <v>3.4702411041192827</v>
      </c>
      <c r="W58" s="103">
        <v>33.340000000000003</v>
      </c>
      <c r="X58" s="102">
        <v>34</v>
      </c>
      <c r="Y58" s="103">
        <f t="shared" si="13"/>
        <v>9.8058823529411772</v>
      </c>
      <c r="Z58" s="105">
        <f t="shared" si="26"/>
        <v>1.7760095800367222</v>
      </c>
      <c r="AA58" s="99">
        <f t="shared" si="19"/>
        <v>84.141580611147091</v>
      </c>
      <c r="AB58" s="99">
        <f t="shared" si="20"/>
        <v>22.207112137162838</v>
      </c>
      <c r="AE58" s="101">
        <v>50</v>
      </c>
      <c r="AF58" s="101">
        <v>22</v>
      </c>
      <c r="AG58" s="101">
        <f t="shared" si="21"/>
        <v>50</v>
      </c>
      <c r="AH58" s="101">
        <f t="shared" si="21"/>
        <v>22</v>
      </c>
      <c r="AI58" s="102">
        <v>24.1</v>
      </c>
      <c r="AJ58" s="102">
        <f t="shared" si="12"/>
        <v>24.1</v>
      </c>
      <c r="AK58" s="104"/>
    </row>
    <row r="59" spans="1:37" x14ac:dyDescent="0.2">
      <c r="A59" s="106" t="s">
        <v>303</v>
      </c>
      <c r="B59" s="109">
        <f t="shared" si="15"/>
        <v>9.6084000000000014</v>
      </c>
      <c r="C59" s="107">
        <v>90</v>
      </c>
      <c r="D59" s="107">
        <v>90</v>
      </c>
      <c r="E59" s="108">
        <v>7</v>
      </c>
      <c r="F59" s="107">
        <v>11</v>
      </c>
      <c r="G59" s="108">
        <f t="shared" si="1"/>
        <v>5.5</v>
      </c>
      <c r="H59" s="109">
        <v>12.24</v>
      </c>
      <c r="I59" s="109">
        <v>92.55</v>
      </c>
      <c r="J59" s="109">
        <f t="shared" si="16"/>
        <v>14.129770992366412</v>
      </c>
      <c r="K59" s="109"/>
      <c r="L59" s="109">
        <f t="shared" si="17"/>
        <v>2.7497771745732273</v>
      </c>
      <c r="M59" s="109"/>
      <c r="N59" s="109">
        <f t="shared" si="22"/>
        <v>92.55</v>
      </c>
      <c r="O59" s="109">
        <f t="shared" si="18"/>
        <v>14.129770992366412</v>
      </c>
      <c r="P59" s="109"/>
      <c r="Q59" s="109">
        <f t="shared" si="23"/>
        <v>2.7497771745732273</v>
      </c>
      <c r="R59" s="109"/>
      <c r="S59" s="109">
        <v>146.81</v>
      </c>
      <c r="T59" s="108">
        <v>63.6</v>
      </c>
      <c r="U59" s="109">
        <f t="shared" si="24"/>
        <v>23.083333333333332</v>
      </c>
      <c r="V59" s="109">
        <f t="shared" si="25"/>
        <v>3.4632760568212917</v>
      </c>
      <c r="W59" s="109">
        <v>38.29</v>
      </c>
      <c r="X59" s="108">
        <v>34.700000000000003</v>
      </c>
      <c r="Y59" s="109">
        <f t="shared" si="13"/>
        <v>11.034582132564839</v>
      </c>
      <c r="Z59" s="111">
        <f t="shared" si="26"/>
        <v>1.7686910340294624</v>
      </c>
      <c r="AA59" s="99">
        <f t="shared" si="19"/>
        <v>83.244800876434113</v>
      </c>
      <c r="AB59" s="99">
        <f t="shared" si="20"/>
        <v>25.516272521330929</v>
      </c>
      <c r="AE59" s="107">
        <v>50</v>
      </c>
      <c r="AF59" s="107">
        <v>22</v>
      </c>
      <c r="AG59" s="107">
        <f t="shared" si="21"/>
        <v>50</v>
      </c>
      <c r="AH59" s="107">
        <f t="shared" si="21"/>
        <v>22</v>
      </c>
      <c r="AI59" s="108">
        <v>24.5</v>
      </c>
      <c r="AJ59" s="108">
        <f t="shared" si="12"/>
        <v>24.5</v>
      </c>
      <c r="AK59" s="110"/>
    </row>
    <row r="60" spans="1:37" x14ac:dyDescent="0.2">
      <c r="A60" s="106" t="s">
        <v>304</v>
      </c>
      <c r="B60" s="109">
        <f t="shared" si="15"/>
        <v>10.903650000000001</v>
      </c>
      <c r="C60" s="107">
        <v>90</v>
      </c>
      <c r="D60" s="107">
        <v>90</v>
      </c>
      <c r="E60" s="108">
        <v>8</v>
      </c>
      <c r="F60" s="107">
        <v>11</v>
      </c>
      <c r="G60" s="108">
        <f t="shared" si="1"/>
        <v>5.5</v>
      </c>
      <c r="H60" s="109">
        <v>13.89</v>
      </c>
      <c r="I60" s="109">
        <v>104.38</v>
      </c>
      <c r="J60" s="109">
        <f t="shared" si="16"/>
        <v>16.058461538461536</v>
      </c>
      <c r="K60" s="109"/>
      <c r="L60" s="109">
        <f t="shared" si="17"/>
        <v>2.7413060426180906</v>
      </c>
      <c r="M60" s="109"/>
      <c r="N60" s="109">
        <f t="shared" si="22"/>
        <v>104.38</v>
      </c>
      <c r="O60" s="109">
        <f t="shared" si="18"/>
        <v>16.058461538461536</v>
      </c>
      <c r="P60" s="109"/>
      <c r="Q60" s="109">
        <f t="shared" si="23"/>
        <v>2.7413060426180906</v>
      </c>
      <c r="R60" s="109"/>
      <c r="S60" s="109">
        <v>165.63</v>
      </c>
      <c r="T60" s="108">
        <v>63.6</v>
      </c>
      <c r="U60" s="109">
        <f t="shared" si="24"/>
        <v>26.04245283018868</v>
      </c>
      <c r="V60" s="109">
        <f t="shared" si="25"/>
        <v>3.4531733300713707</v>
      </c>
      <c r="W60" s="109">
        <v>43.13</v>
      </c>
      <c r="X60" s="108">
        <v>35.299999999999997</v>
      </c>
      <c r="Y60" s="109">
        <f t="shared" si="13"/>
        <v>12.218130311614733</v>
      </c>
      <c r="Z60" s="111">
        <f t="shared" si="26"/>
        <v>1.762132682595926</v>
      </c>
      <c r="AA60" s="99">
        <f t="shared" si="19"/>
        <v>82.363901182534548</v>
      </c>
      <c r="AB60" s="99">
        <f t="shared" si="20"/>
        <v>28.728881396628257</v>
      </c>
      <c r="AE60" s="107">
        <v>50</v>
      </c>
      <c r="AF60" s="107">
        <v>22</v>
      </c>
      <c r="AG60" s="107">
        <f t="shared" si="21"/>
        <v>50</v>
      </c>
      <c r="AH60" s="107">
        <f t="shared" si="21"/>
        <v>22</v>
      </c>
      <c r="AI60" s="108">
        <v>25</v>
      </c>
      <c r="AJ60" s="108">
        <f t="shared" si="12"/>
        <v>25</v>
      </c>
      <c r="AK60" s="110"/>
    </row>
    <row r="61" spans="1:37" x14ac:dyDescent="0.2">
      <c r="A61" s="106" t="s">
        <v>305</v>
      </c>
      <c r="B61" s="109">
        <f t="shared" si="15"/>
        <v>12.183199999999999</v>
      </c>
      <c r="C61" s="107">
        <v>90</v>
      </c>
      <c r="D61" s="107">
        <v>90</v>
      </c>
      <c r="E61" s="108">
        <v>9</v>
      </c>
      <c r="F61" s="107">
        <v>11</v>
      </c>
      <c r="G61" s="108">
        <f t="shared" si="1"/>
        <v>5.5</v>
      </c>
      <c r="H61" s="109">
        <v>15.52</v>
      </c>
      <c r="I61" s="109">
        <v>115.83</v>
      </c>
      <c r="J61" s="109">
        <f t="shared" si="16"/>
        <v>17.930340557275542</v>
      </c>
      <c r="K61" s="109"/>
      <c r="L61" s="109">
        <f t="shared" si="17"/>
        <v>2.7318991921145788</v>
      </c>
      <c r="M61" s="109"/>
      <c r="N61" s="109">
        <f t="shared" si="22"/>
        <v>115.83</v>
      </c>
      <c r="O61" s="109">
        <f t="shared" si="18"/>
        <v>17.930340557275542</v>
      </c>
      <c r="P61" s="109"/>
      <c r="Q61" s="109">
        <f t="shared" si="23"/>
        <v>2.7318991921145788</v>
      </c>
      <c r="R61" s="109"/>
      <c r="S61" s="109">
        <v>183.78</v>
      </c>
      <c r="T61" s="108">
        <v>63.6</v>
      </c>
      <c r="U61" s="109">
        <f t="shared" si="24"/>
        <v>28.89622641509434</v>
      </c>
      <c r="V61" s="109">
        <f t="shared" si="25"/>
        <v>3.4411473152657712</v>
      </c>
      <c r="W61" s="109">
        <v>47.88</v>
      </c>
      <c r="X61" s="108">
        <v>35.9</v>
      </c>
      <c r="Y61" s="109">
        <f t="shared" si="13"/>
        <v>13.337047353760447</v>
      </c>
      <c r="Z61" s="111">
        <f t="shared" si="26"/>
        <v>1.7564314806993619</v>
      </c>
      <c r="AA61" s="99">
        <f t="shared" si="19"/>
        <v>81.498881529448369</v>
      </c>
      <c r="AB61" s="99">
        <f t="shared" si="20"/>
        <v>31.849741002148392</v>
      </c>
      <c r="AE61" s="107">
        <v>50</v>
      </c>
      <c r="AF61" s="107">
        <v>22</v>
      </c>
      <c r="AG61" s="107">
        <f t="shared" si="21"/>
        <v>50</v>
      </c>
      <c r="AH61" s="107">
        <f t="shared" si="21"/>
        <v>22</v>
      </c>
      <c r="AI61" s="108">
        <v>25.4</v>
      </c>
      <c r="AJ61" s="108">
        <f t="shared" si="12"/>
        <v>25.4</v>
      </c>
      <c r="AK61" s="110"/>
    </row>
    <row r="62" spans="1:37" x14ac:dyDescent="0.2">
      <c r="A62" s="106" t="s">
        <v>306</v>
      </c>
      <c r="B62" s="109">
        <f t="shared" si="15"/>
        <v>13.447049999999999</v>
      </c>
      <c r="C62" s="107">
        <v>90</v>
      </c>
      <c r="D62" s="107">
        <v>90</v>
      </c>
      <c r="E62" s="107">
        <v>10</v>
      </c>
      <c r="F62" s="107">
        <v>11</v>
      </c>
      <c r="G62" s="108">
        <f t="shared" si="1"/>
        <v>5.5</v>
      </c>
      <c r="H62" s="109">
        <v>17.13</v>
      </c>
      <c r="I62" s="109">
        <v>126.91</v>
      </c>
      <c r="J62" s="109">
        <f t="shared" si="16"/>
        <v>19.767912772585667</v>
      </c>
      <c r="K62" s="109"/>
      <c r="L62" s="109">
        <f t="shared" si="17"/>
        <v>2.7218816677425983</v>
      </c>
      <c r="M62" s="109"/>
      <c r="N62" s="109">
        <f t="shared" si="22"/>
        <v>126.91</v>
      </c>
      <c r="O62" s="109">
        <f t="shared" si="18"/>
        <v>19.767912772585667</v>
      </c>
      <c r="P62" s="109"/>
      <c r="Q62" s="109">
        <f t="shared" si="23"/>
        <v>2.7218816677425983</v>
      </c>
      <c r="R62" s="109"/>
      <c r="S62" s="109">
        <v>201.28</v>
      </c>
      <c r="T62" s="108">
        <v>63.6</v>
      </c>
      <c r="U62" s="109">
        <f t="shared" si="24"/>
        <v>31.647798742138363</v>
      </c>
      <c r="V62" s="109">
        <f t="shared" si="25"/>
        <v>3.4278485880783047</v>
      </c>
      <c r="W62" s="109">
        <v>52.55</v>
      </c>
      <c r="X62" s="108">
        <v>36.5</v>
      </c>
      <c r="Y62" s="109">
        <f t="shared" si="13"/>
        <v>14.397260273972602</v>
      </c>
      <c r="Z62" s="111">
        <f t="shared" si="26"/>
        <v>1.7514900669880304</v>
      </c>
      <c r="AA62" s="99">
        <f t="shared" si="19"/>
        <v>80.649741917175575</v>
      </c>
      <c r="AB62" s="99">
        <f t="shared" si="20"/>
        <v>34.883688335062658</v>
      </c>
      <c r="AE62" s="107">
        <v>50</v>
      </c>
      <c r="AF62" s="107">
        <v>22</v>
      </c>
      <c r="AG62" s="107">
        <f t="shared" si="21"/>
        <v>50</v>
      </c>
      <c r="AH62" s="107">
        <f t="shared" si="21"/>
        <v>22</v>
      </c>
      <c r="AI62" s="108">
        <v>25.8</v>
      </c>
      <c r="AJ62" s="108">
        <f t="shared" si="12"/>
        <v>25.8</v>
      </c>
      <c r="AK62" s="110"/>
    </row>
    <row r="63" spans="1:37" x14ac:dyDescent="0.2">
      <c r="A63" s="106" t="s">
        <v>307</v>
      </c>
      <c r="B63" s="109">
        <f t="shared" si="15"/>
        <v>13.9102</v>
      </c>
      <c r="C63" s="107">
        <v>90</v>
      </c>
      <c r="D63" s="107">
        <v>90</v>
      </c>
      <c r="E63" s="107">
        <v>11</v>
      </c>
      <c r="F63" s="107">
        <v>11</v>
      </c>
      <c r="G63" s="108">
        <f t="shared" si="1"/>
        <v>5.5</v>
      </c>
      <c r="H63" s="109">
        <v>17.72</v>
      </c>
      <c r="I63" s="109">
        <v>137.63999999999999</v>
      </c>
      <c r="J63" s="109">
        <f t="shared" si="16"/>
        <v>21.573667711598745</v>
      </c>
      <c r="K63" s="109"/>
      <c r="L63" s="109">
        <f t="shared" si="17"/>
        <v>2.7870224894426565</v>
      </c>
      <c r="M63" s="109"/>
      <c r="N63" s="109">
        <f t="shared" si="22"/>
        <v>137.63999999999999</v>
      </c>
      <c r="O63" s="109">
        <f t="shared" si="18"/>
        <v>21.573667711598745</v>
      </c>
      <c r="P63" s="109"/>
      <c r="Q63" s="109">
        <f t="shared" si="23"/>
        <v>2.7870224894426565</v>
      </c>
      <c r="R63" s="109"/>
      <c r="S63" s="109">
        <v>218.13</v>
      </c>
      <c r="T63" s="108">
        <v>63.6</v>
      </c>
      <c r="U63" s="109">
        <f t="shared" si="24"/>
        <v>34.297169811320757</v>
      </c>
      <c r="V63" s="109">
        <f t="shared" si="25"/>
        <v>3.508535223293697</v>
      </c>
      <c r="W63" s="109">
        <v>57.15</v>
      </c>
      <c r="X63" s="108">
        <v>37</v>
      </c>
      <c r="Y63" s="109">
        <f t="shared" si="13"/>
        <v>15.445945945945946</v>
      </c>
      <c r="Z63" s="111">
        <f t="shared" si="26"/>
        <v>1.7958756360688604</v>
      </c>
      <c r="AA63" s="99">
        <f t="shared" si="19"/>
        <v>79.816482345716167</v>
      </c>
      <c r="AB63" s="99">
        <f t="shared" si="20"/>
        <v>37.835587585349295</v>
      </c>
      <c r="AE63" s="107">
        <v>50</v>
      </c>
      <c r="AF63" s="107">
        <v>22</v>
      </c>
      <c r="AG63" s="107">
        <f t="shared" si="21"/>
        <v>50</v>
      </c>
      <c r="AH63" s="107">
        <f t="shared" si="21"/>
        <v>22</v>
      </c>
      <c r="AI63" s="108">
        <v>26.2</v>
      </c>
      <c r="AJ63" s="108">
        <f t="shared" si="12"/>
        <v>26.2</v>
      </c>
      <c r="AK63" s="110"/>
    </row>
    <row r="64" spans="1:37" x14ac:dyDescent="0.2">
      <c r="A64" s="112" t="s">
        <v>308</v>
      </c>
      <c r="B64" s="115">
        <f t="shared" si="15"/>
        <v>15.92765</v>
      </c>
      <c r="C64" s="113">
        <v>90</v>
      </c>
      <c r="D64" s="113">
        <v>90</v>
      </c>
      <c r="E64" s="113">
        <v>12</v>
      </c>
      <c r="F64" s="113">
        <v>11</v>
      </c>
      <c r="G64" s="114">
        <f t="shared" si="1"/>
        <v>5.5</v>
      </c>
      <c r="H64" s="115">
        <v>20.29</v>
      </c>
      <c r="I64" s="115">
        <v>148.03</v>
      </c>
      <c r="J64" s="115">
        <f t="shared" si="16"/>
        <v>23.348580441640379</v>
      </c>
      <c r="K64" s="115"/>
      <c r="L64" s="115">
        <f t="shared" si="17"/>
        <v>2.7010576027705286</v>
      </c>
      <c r="M64" s="115"/>
      <c r="N64" s="115">
        <f t="shared" si="22"/>
        <v>148.03</v>
      </c>
      <c r="O64" s="115">
        <f t="shared" si="18"/>
        <v>23.348580441640379</v>
      </c>
      <c r="P64" s="115"/>
      <c r="Q64" s="115">
        <f t="shared" si="23"/>
        <v>2.7010576027705286</v>
      </c>
      <c r="R64" s="115"/>
      <c r="S64" s="115">
        <v>234.36</v>
      </c>
      <c r="T64" s="114">
        <v>63.6</v>
      </c>
      <c r="U64" s="115">
        <f t="shared" si="24"/>
        <v>36.84905660377359</v>
      </c>
      <c r="V64" s="115">
        <f t="shared" si="25"/>
        <v>3.3986052280757173</v>
      </c>
      <c r="W64" s="115">
        <v>61.7</v>
      </c>
      <c r="X64" s="114">
        <v>37.6</v>
      </c>
      <c r="Y64" s="115">
        <f t="shared" si="13"/>
        <v>16.409574468085104</v>
      </c>
      <c r="Z64" s="117">
        <f t="shared" si="26"/>
        <v>1.7438196152886205</v>
      </c>
      <c r="AA64" s="99">
        <f t="shared" si="19"/>
        <v>78.999102815070145</v>
      </c>
      <c r="AB64" s="99">
        <f t="shared" si="20"/>
        <v>40.710322570522543</v>
      </c>
      <c r="AE64" s="113">
        <v>50</v>
      </c>
      <c r="AF64" s="113">
        <v>22</v>
      </c>
      <c r="AG64" s="113">
        <f t="shared" si="21"/>
        <v>50</v>
      </c>
      <c r="AH64" s="113">
        <f t="shared" si="21"/>
        <v>22</v>
      </c>
      <c r="AI64" s="114">
        <v>26.6</v>
      </c>
      <c r="AJ64" s="114">
        <f t="shared" si="12"/>
        <v>26.6</v>
      </c>
      <c r="AK64" s="116"/>
    </row>
    <row r="65" spans="1:37" s="99" customFormat="1" x14ac:dyDescent="0.2">
      <c r="A65" s="93" t="s">
        <v>309</v>
      </c>
      <c r="B65" s="96">
        <f t="shared" si="15"/>
        <v>10.723100000000001</v>
      </c>
      <c r="C65" s="94">
        <v>100</v>
      </c>
      <c r="D65" s="94">
        <v>100</v>
      </c>
      <c r="E65" s="94">
        <v>7</v>
      </c>
      <c r="F65" s="94">
        <v>12</v>
      </c>
      <c r="G65" s="95">
        <f t="shared" si="1"/>
        <v>6</v>
      </c>
      <c r="H65" s="96">
        <v>13.66</v>
      </c>
      <c r="I65" s="96">
        <v>128.19999999999999</v>
      </c>
      <c r="J65" s="96">
        <f t="shared" si="16"/>
        <v>17.537619699042409</v>
      </c>
      <c r="K65" s="96"/>
      <c r="L65" s="96">
        <f t="shared" si="17"/>
        <v>3.0635054897613534</v>
      </c>
      <c r="M65" s="96"/>
      <c r="N65" s="96">
        <f t="shared" si="22"/>
        <v>128.19999999999999</v>
      </c>
      <c r="O65" s="96">
        <f t="shared" si="18"/>
        <v>17.537619699042409</v>
      </c>
      <c r="P65" s="96"/>
      <c r="Q65" s="96">
        <f t="shared" si="23"/>
        <v>3.0635054897613534</v>
      </c>
      <c r="R65" s="96"/>
      <c r="S65" s="96">
        <v>203.3</v>
      </c>
      <c r="T65" s="95">
        <v>70.7</v>
      </c>
      <c r="U65" s="96">
        <f t="shared" si="24"/>
        <v>28.755304101838753</v>
      </c>
      <c r="V65" s="96">
        <f t="shared" si="25"/>
        <v>3.8578322530318685</v>
      </c>
      <c r="W65" s="96">
        <v>53.11</v>
      </c>
      <c r="X65" s="95">
        <v>38.1</v>
      </c>
      <c r="Y65" s="96">
        <f t="shared" si="13"/>
        <v>13.939632545931758</v>
      </c>
      <c r="Z65" s="98">
        <f t="shared" si="26"/>
        <v>1.9717997219506413</v>
      </c>
      <c r="AA65" s="99">
        <f t="shared" si="19"/>
        <v>93.195641577581412</v>
      </c>
      <c r="AB65" s="99">
        <f t="shared" si="20"/>
        <v>31.833939616528241</v>
      </c>
      <c r="AE65" s="94">
        <v>55</v>
      </c>
      <c r="AF65" s="94">
        <v>24</v>
      </c>
      <c r="AG65" s="94">
        <f t="shared" si="21"/>
        <v>55</v>
      </c>
      <c r="AH65" s="94">
        <f t="shared" si="21"/>
        <v>24</v>
      </c>
      <c r="AI65" s="95">
        <v>26.9</v>
      </c>
      <c r="AJ65" s="95">
        <f t="shared" si="12"/>
        <v>26.9</v>
      </c>
      <c r="AK65" s="97"/>
    </row>
    <row r="66" spans="1:37" x14ac:dyDescent="0.2">
      <c r="A66" s="118" t="s">
        <v>310</v>
      </c>
      <c r="B66" s="121">
        <f t="shared" si="15"/>
        <v>12.17535</v>
      </c>
      <c r="C66" s="119">
        <v>100</v>
      </c>
      <c r="D66" s="119">
        <v>100</v>
      </c>
      <c r="E66" s="119">
        <v>8</v>
      </c>
      <c r="F66" s="119">
        <v>12</v>
      </c>
      <c r="G66" s="120">
        <f t="shared" si="1"/>
        <v>6</v>
      </c>
      <c r="H66" s="121">
        <v>15.51</v>
      </c>
      <c r="I66" s="121">
        <v>144.84</v>
      </c>
      <c r="J66" s="121">
        <f t="shared" si="16"/>
        <v>19.950413223140497</v>
      </c>
      <c r="K66" s="121"/>
      <c r="L66" s="121">
        <f t="shared" si="17"/>
        <v>3.0558945164940012</v>
      </c>
      <c r="M66" s="121"/>
      <c r="N66" s="121">
        <f>I66</f>
        <v>144.84</v>
      </c>
      <c r="O66" s="121">
        <f t="shared" si="18"/>
        <v>19.950413223140497</v>
      </c>
      <c r="P66" s="121"/>
      <c r="Q66" s="121">
        <f>SQRT(N66/$H66)</f>
        <v>3.0558945164940012</v>
      </c>
      <c r="R66" s="121"/>
      <c r="S66" s="121">
        <v>229.82</v>
      </c>
      <c r="T66" s="120">
        <v>70.7</v>
      </c>
      <c r="U66" s="121">
        <f>S66*10/T66</f>
        <v>32.506364922206501</v>
      </c>
      <c r="V66" s="121">
        <f>SQRT(S66/$H66)</f>
        <v>3.8493554100467553</v>
      </c>
      <c r="W66" s="121">
        <v>59.86</v>
      </c>
      <c r="X66" s="120">
        <v>38.700000000000003</v>
      </c>
      <c r="Y66" s="121">
        <f t="shared" si="13"/>
        <v>15.467700258397933</v>
      </c>
      <c r="Z66" s="123">
        <f>SQRT(W66/$H66)</f>
        <v>1.9645471536768944</v>
      </c>
      <c r="AA66" s="99">
        <f t="shared" si="19"/>
        <v>92.302831853071794</v>
      </c>
      <c r="AB66" s="99">
        <f t="shared" si="20"/>
        <v>35.888892477555068</v>
      </c>
      <c r="AE66" s="119">
        <v>55</v>
      </c>
      <c r="AF66" s="119">
        <v>24</v>
      </c>
      <c r="AG66" s="119">
        <f t="shared" si="21"/>
        <v>55</v>
      </c>
      <c r="AH66" s="119">
        <f t="shared" si="21"/>
        <v>24</v>
      </c>
      <c r="AI66" s="120">
        <v>27.4</v>
      </c>
      <c r="AJ66" s="120">
        <f t="shared" si="12"/>
        <v>27.4</v>
      </c>
      <c r="AK66" s="122"/>
    </row>
    <row r="67" spans="1:37" x14ac:dyDescent="0.2">
      <c r="A67" s="118" t="s">
        <v>311</v>
      </c>
      <c r="B67" s="121">
        <f t="shared" si="15"/>
        <v>13.6119</v>
      </c>
      <c r="C67" s="119">
        <v>100</v>
      </c>
      <c r="D67" s="119">
        <v>100</v>
      </c>
      <c r="E67" s="119">
        <v>9</v>
      </c>
      <c r="F67" s="119">
        <v>12</v>
      </c>
      <c r="G67" s="120">
        <f t="shared" si="1"/>
        <v>6</v>
      </c>
      <c r="H67" s="121">
        <v>17.34</v>
      </c>
      <c r="I67" s="121">
        <v>161</v>
      </c>
      <c r="J67" s="121">
        <f t="shared" si="16"/>
        <v>22.29916897506925</v>
      </c>
      <c r="K67" s="121"/>
      <c r="L67" s="121">
        <f t="shared" si="17"/>
        <v>3.0471118172392262</v>
      </c>
      <c r="M67" s="121"/>
      <c r="N67" s="121">
        <f t="shared" ref="N67:N73" si="27">I67</f>
        <v>161</v>
      </c>
      <c r="O67" s="121">
        <f t="shared" si="18"/>
        <v>22.29916897506925</v>
      </c>
      <c r="P67" s="121"/>
      <c r="Q67" s="121">
        <f t="shared" ref="Q67:Q73" si="28">SQRT(N67/$H67)</f>
        <v>3.0471118172392262</v>
      </c>
      <c r="R67" s="121"/>
      <c r="S67" s="121">
        <v>255.5</v>
      </c>
      <c r="T67" s="120">
        <v>70.7</v>
      </c>
      <c r="U67" s="121">
        <f t="shared" ref="U67:U73" si="29">S67*10/T67</f>
        <v>36.138613861386141</v>
      </c>
      <c r="V67" s="121">
        <f t="shared" ref="V67:V73" si="30">SQRT(S67/$H67)</f>
        <v>3.8385827353827242</v>
      </c>
      <c r="W67" s="121">
        <v>66.489999999999995</v>
      </c>
      <c r="X67" s="120">
        <v>39.299999999999997</v>
      </c>
      <c r="Y67" s="121">
        <f t="shared" si="13"/>
        <v>16.918575063613233</v>
      </c>
      <c r="Z67" s="123">
        <f t="shared" ref="Z67:Z73" si="31">SQRT(W67/$H67)</f>
        <v>1.958184551024448</v>
      </c>
      <c r="AA67" s="99">
        <f t="shared" si="19"/>
        <v>91.424314165294234</v>
      </c>
      <c r="AB67" s="99">
        <f t="shared" si="20"/>
        <v>39.837622396288538</v>
      </c>
      <c r="AE67" s="119">
        <v>55</v>
      </c>
      <c r="AF67" s="119">
        <v>24</v>
      </c>
      <c r="AG67" s="119">
        <f t="shared" si="21"/>
        <v>55</v>
      </c>
      <c r="AH67" s="119">
        <f t="shared" si="21"/>
        <v>24</v>
      </c>
      <c r="AI67" s="120">
        <v>27.8</v>
      </c>
      <c r="AJ67" s="120">
        <f t="shared" si="12"/>
        <v>27.8</v>
      </c>
      <c r="AK67" s="122"/>
    </row>
    <row r="68" spans="1:37" x14ac:dyDescent="0.2">
      <c r="A68" s="118" t="s">
        <v>312</v>
      </c>
      <c r="B68" s="121">
        <f t="shared" si="15"/>
        <v>15.03275</v>
      </c>
      <c r="C68" s="119">
        <v>100</v>
      </c>
      <c r="D68" s="119">
        <v>100</v>
      </c>
      <c r="E68" s="119">
        <v>10</v>
      </c>
      <c r="F68" s="119">
        <v>12</v>
      </c>
      <c r="G68" s="120">
        <f t="shared" si="1"/>
        <v>6</v>
      </c>
      <c r="H68" s="121">
        <v>19.149999999999999</v>
      </c>
      <c r="I68" s="121">
        <v>175.68</v>
      </c>
      <c r="J68" s="121">
        <f t="shared" si="16"/>
        <v>24.46796657381616</v>
      </c>
      <c r="K68" s="121"/>
      <c r="L68" s="121">
        <f t="shared" si="17"/>
        <v>3.0288430694616038</v>
      </c>
      <c r="M68" s="121"/>
      <c r="N68" s="121">
        <f t="shared" si="27"/>
        <v>175.68</v>
      </c>
      <c r="O68" s="121">
        <f t="shared" si="18"/>
        <v>24.46796657381616</v>
      </c>
      <c r="P68" s="121"/>
      <c r="Q68" s="121">
        <f t="shared" si="28"/>
        <v>3.0288430694616038</v>
      </c>
      <c r="R68" s="121"/>
      <c r="S68" s="121">
        <v>280.35000000000002</v>
      </c>
      <c r="T68" s="120">
        <v>70.7</v>
      </c>
      <c r="U68" s="121">
        <f t="shared" si="29"/>
        <v>39.653465346534652</v>
      </c>
      <c r="V68" s="121">
        <f t="shared" si="30"/>
        <v>3.8261843505081021</v>
      </c>
      <c r="W68" s="121">
        <v>73.010000000000005</v>
      </c>
      <c r="X68" s="120">
        <v>39.9</v>
      </c>
      <c r="Y68" s="121">
        <f t="shared" si="13"/>
        <v>18.298245614035089</v>
      </c>
      <c r="Z68" s="123">
        <f t="shared" si="31"/>
        <v>1.9525707764574678</v>
      </c>
      <c r="AA68" s="99">
        <f t="shared" si="19"/>
        <v>90.560088514248719</v>
      </c>
      <c r="AB68" s="99">
        <f t="shared" si="20"/>
        <v>43.684936992215626</v>
      </c>
      <c r="AE68" s="119">
        <v>55</v>
      </c>
      <c r="AF68" s="119">
        <v>24</v>
      </c>
      <c r="AG68" s="119">
        <f t="shared" si="21"/>
        <v>55</v>
      </c>
      <c r="AH68" s="119">
        <f t="shared" si="21"/>
        <v>24</v>
      </c>
      <c r="AI68" s="120">
        <v>28.2</v>
      </c>
      <c r="AJ68" s="120">
        <f t="shared" si="12"/>
        <v>28.2</v>
      </c>
      <c r="AK68" s="122"/>
    </row>
    <row r="69" spans="1:37" x14ac:dyDescent="0.2">
      <c r="A69" s="118" t="s">
        <v>313</v>
      </c>
      <c r="B69" s="121">
        <f t="shared" ref="B69:B97" si="32">0.1*7.85*H69</f>
        <v>16.437900000000003</v>
      </c>
      <c r="C69" s="119">
        <v>100</v>
      </c>
      <c r="D69" s="119">
        <v>100</v>
      </c>
      <c r="E69" s="119">
        <v>11</v>
      </c>
      <c r="F69" s="119">
        <v>12</v>
      </c>
      <c r="G69" s="120">
        <f t="shared" si="1"/>
        <v>6</v>
      </c>
      <c r="H69" s="121">
        <v>20.94</v>
      </c>
      <c r="I69" s="121">
        <v>191.9</v>
      </c>
      <c r="J69" s="121">
        <f t="shared" ref="J69:J97" si="33">I69*10/($C69-$AI69)</f>
        <v>26.876750700280109</v>
      </c>
      <c r="K69" s="121"/>
      <c r="L69" s="121">
        <f t="shared" ref="L69:L97" si="34">SQRT(I69/H69)</f>
        <v>3.0272560004189581</v>
      </c>
      <c r="M69" s="121"/>
      <c r="N69" s="121">
        <f t="shared" si="27"/>
        <v>191.9</v>
      </c>
      <c r="O69" s="121">
        <f t="shared" ref="O69:O97" si="35">N69*10/($D69-$AJ69)</f>
        <v>26.876750700280109</v>
      </c>
      <c r="P69" s="121"/>
      <c r="Q69" s="121">
        <f t="shared" si="28"/>
        <v>3.0272560004189581</v>
      </c>
      <c r="R69" s="121"/>
      <c r="S69" s="121">
        <v>304.38</v>
      </c>
      <c r="T69" s="120">
        <v>70.7</v>
      </c>
      <c r="U69" s="121">
        <f t="shared" si="29"/>
        <v>43.052333804809052</v>
      </c>
      <c r="V69" s="121">
        <f t="shared" si="30"/>
        <v>3.8125866047751851</v>
      </c>
      <c r="W69" s="121">
        <v>79.42</v>
      </c>
      <c r="X69" s="120">
        <v>40.5</v>
      </c>
      <c r="Y69" s="121">
        <f t="shared" si="13"/>
        <v>19.609876543209879</v>
      </c>
      <c r="Z69" s="123">
        <f t="shared" si="31"/>
        <v>1.9474961271422344</v>
      </c>
      <c r="AA69" s="99">
        <f t="shared" ref="AA69:AA97" si="36">C69-(C69-E69)*E69/(2*D69)-(D69-2*E69)*E69/(2*D69)-PI()*E69*E69/(4*D69)-(1-PI()/4)*F69*F69/(2*D69)</f>
        <v>89.710154899935247</v>
      </c>
      <c r="AB69" s="99">
        <f t="shared" ref="AB69:AB97" si="37">((C69-2*E69)*(AA69-C69/2)*E69+((AA69-C69+E69)^2+(C69-AA69)^2)*(D69-E69)/2+PI()*E69*E69/4*AA69+(1-PI()/4)*F69*F69*((10-3*PI())/(12-3*PI())*F69+AA69-C69+E69))/1000</f>
        <v>47.435674486218971</v>
      </c>
      <c r="AE69" s="119">
        <v>55</v>
      </c>
      <c r="AF69" s="119">
        <v>24</v>
      </c>
      <c r="AG69" s="119">
        <f t="shared" si="21"/>
        <v>55</v>
      </c>
      <c r="AH69" s="119">
        <f t="shared" si="21"/>
        <v>24</v>
      </c>
      <c r="AI69" s="120">
        <v>28.6</v>
      </c>
      <c r="AJ69" s="120">
        <f t="shared" ref="AJ69:AJ97" si="38">AI69</f>
        <v>28.6</v>
      </c>
      <c r="AK69" s="122"/>
    </row>
    <row r="70" spans="1:37" x14ac:dyDescent="0.2">
      <c r="A70" s="118" t="s">
        <v>314</v>
      </c>
      <c r="B70" s="121">
        <f t="shared" si="32"/>
        <v>17.827350000000003</v>
      </c>
      <c r="C70" s="119">
        <v>100</v>
      </c>
      <c r="D70" s="119">
        <v>100</v>
      </c>
      <c r="E70" s="119">
        <v>12</v>
      </c>
      <c r="F70" s="119">
        <v>12</v>
      </c>
      <c r="G70" s="120">
        <f t="shared" si="1"/>
        <v>6</v>
      </c>
      <c r="H70" s="121">
        <v>22.71</v>
      </c>
      <c r="I70" s="121">
        <v>206.69</v>
      </c>
      <c r="J70" s="121">
        <f t="shared" si="33"/>
        <v>29.111267605633802</v>
      </c>
      <c r="K70" s="121"/>
      <c r="L70" s="121">
        <f t="shared" si="34"/>
        <v>3.0168322741739519</v>
      </c>
      <c r="M70" s="121"/>
      <c r="N70" s="121">
        <f t="shared" si="27"/>
        <v>206.69</v>
      </c>
      <c r="O70" s="121">
        <f t="shared" si="35"/>
        <v>29.111267605633802</v>
      </c>
      <c r="P70" s="121"/>
      <c r="Q70" s="121">
        <f t="shared" si="28"/>
        <v>3.0168322741739519</v>
      </c>
      <c r="R70" s="121"/>
      <c r="S70" s="121">
        <v>327.63</v>
      </c>
      <c r="T70" s="120">
        <v>70.7</v>
      </c>
      <c r="U70" s="121">
        <f t="shared" si="29"/>
        <v>46.340876944837341</v>
      </c>
      <c r="V70" s="121">
        <f t="shared" si="30"/>
        <v>3.7982475274859113</v>
      </c>
      <c r="W70" s="121">
        <v>85.75</v>
      </c>
      <c r="X70" s="120">
        <v>41.1</v>
      </c>
      <c r="Y70" s="121">
        <f t="shared" ref="Y70:Y128" si="39">W70*10/X70</f>
        <v>20.863746958637471</v>
      </c>
      <c r="Z70" s="123">
        <f t="shared" si="31"/>
        <v>1.9431597106111262</v>
      </c>
      <c r="AA70" s="99">
        <f t="shared" si="36"/>
        <v>88.874513322353835</v>
      </c>
      <c r="AB70" s="99">
        <f t="shared" si="37"/>
        <v>51.094697572707418</v>
      </c>
      <c r="AE70" s="119">
        <v>55</v>
      </c>
      <c r="AF70" s="119">
        <v>24</v>
      </c>
      <c r="AG70" s="119">
        <f t="shared" si="21"/>
        <v>55</v>
      </c>
      <c r="AH70" s="119">
        <f t="shared" si="21"/>
        <v>24</v>
      </c>
      <c r="AI70" s="120">
        <v>29</v>
      </c>
      <c r="AJ70" s="120">
        <f t="shared" si="38"/>
        <v>29</v>
      </c>
      <c r="AK70" s="122"/>
    </row>
    <row r="71" spans="1:37" s="99" customFormat="1" x14ac:dyDescent="0.2">
      <c r="A71" s="100" t="s">
        <v>315</v>
      </c>
      <c r="B71" s="103">
        <f t="shared" si="32"/>
        <v>16.626300000000001</v>
      </c>
      <c r="C71" s="101">
        <v>110</v>
      </c>
      <c r="D71" s="101">
        <v>110</v>
      </c>
      <c r="E71" s="101">
        <v>10</v>
      </c>
      <c r="F71" s="101">
        <v>13</v>
      </c>
      <c r="G71" s="102">
        <f t="shared" si="1"/>
        <v>6.5</v>
      </c>
      <c r="H71" s="103">
        <v>21.18</v>
      </c>
      <c r="I71" s="103">
        <v>237.98</v>
      </c>
      <c r="J71" s="103">
        <f t="shared" si="33"/>
        <v>29.972292191435763</v>
      </c>
      <c r="K71" s="103"/>
      <c r="L71" s="103">
        <f t="shared" si="34"/>
        <v>3.3520250246405991</v>
      </c>
      <c r="M71" s="103"/>
      <c r="N71" s="103">
        <f t="shared" si="27"/>
        <v>237.98</v>
      </c>
      <c r="O71" s="103">
        <f t="shared" si="35"/>
        <v>29.972292191435763</v>
      </c>
      <c r="P71" s="103"/>
      <c r="Q71" s="103">
        <f t="shared" si="28"/>
        <v>3.3520250246405991</v>
      </c>
      <c r="R71" s="103"/>
      <c r="S71" s="103">
        <v>377.71</v>
      </c>
      <c r="T71" s="102">
        <v>77.8</v>
      </c>
      <c r="U71" s="103">
        <f t="shared" si="29"/>
        <v>48.548843187660673</v>
      </c>
      <c r="V71" s="103">
        <f t="shared" si="30"/>
        <v>4.2229531531066424</v>
      </c>
      <c r="W71" s="103">
        <v>98.25</v>
      </c>
      <c r="X71" s="102">
        <v>43.3</v>
      </c>
      <c r="Y71" s="103">
        <f t="shared" si="39"/>
        <v>22.690531177829101</v>
      </c>
      <c r="Z71" s="105">
        <f t="shared" si="31"/>
        <v>2.1537897293608501</v>
      </c>
      <c r="AA71" s="99">
        <f t="shared" si="36"/>
        <v>100.48478480424853</v>
      </c>
      <c r="AB71" s="99">
        <f t="shared" si="37"/>
        <v>53.489975296911716</v>
      </c>
      <c r="AE71" s="101">
        <v>55</v>
      </c>
      <c r="AF71" s="101">
        <v>24</v>
      </c>
      <c r="AG71" s="101">
        <f t="shared" ref="AG71:AH86" si="40">AE71</f>
        <v>55</v>
      </c>
      <c r="AH71" s="101">
        <f t="shared" si="40"/>
        <v>24</v>
      </c>
      <c r="AI71" s="102">
        <v>30.6</v>
      </c>
      <c r="AJ71" s="102">
        <f t="shared" si="38"/>
        <v>30.6</v>
      </c>
      <c r="AK71" s="104"/>
    </row>
    <row r="72" spans="1:37" x14ac:dyDescent="0.2">
      <c r="A72" s="112" t="s">
        <v>316</v>
      </c>
      <c r="B72" s="115">
        <f t="shared" si="32"/>
        <v>19.7349</v>
      </c>
      <c r="C72" s="113">
        <v>110</v>
      </c>
      <c r="D72" s="113">
        <v>110</v>
      </c>
      <c r="E72" s="113">
        <v>12</v>
      </c>
      <c r="F72" s="113">
        <v>13</v>
      </c>
      <c r="G72" s="114">
        <f t="shared" si="1"/>
        <v>6.5</v>
      </c>
      <c r="H72" s="115">
        <v>25.14</v>
      </c>
      <c r="I72" s="115">
        <v>279.11</v>
      </c>
      <c r="J72" s="115">
        <f t="shared" si="33"/>
        <v>35.555414012738858</v>
      </c>
      <c r="K72" s="115"/>
      <c r="L72" s="115">
        <f t="shared" si="34"/>
        <v>3.3320005290898758</v>
      </c>
      <c r="M72" s="115"/>
      <c r="N72" s="115">
        <f t="shared" si="27"/>
        <v>279.11</v>
      </c>
      <c r="O72" s="115">
        <f t="shared" si="35"/>
        <v>35.555414012738858</v>
      </c>
      <c r="P72" s="115"/>
      <c r="Q72" s="115">
        <f t="shared" si="28"/>
        <v>3.3320005290898758</v>
      </c>
      <c r="R72" s="115"/>
      <c r="S72" s="115">
        <v>442.77</v>
      </c>
      <c r="T72" s="114">
        <v>77.8</v>
      </c>
      <c r="U72" s="115">
        <f t="shared" si="29"/>
        <v>56.911311053984576</v>
      </c>
      <c r="V72" s="115">
        <f t="shared" si="30"/>
        <v>4.1966858159396239</v>
      </c>
      <c r="W72" s="115">
        <v>115.46</v>
      </c>
      <c r="X72" s="114">
        <v>44.5</v>
      </c>
      <c r="Y72" s="115">
        <f t="shared" si="39"/>
        <v>25.946067415730337</v>
      </c>
      <c r="Z72" s="117">
        <f t="shared" si="31"/>
        <v>2.143054125885703</v>
      </c>
      <c r="AA72" s="99">
        <f t="shared" si="36"/>
        <v>98.770625538889561</v>
      </c>
      <c r="AB72" s="99">
        <f t="shared" si="37"/>
        <v>62.683185536289891</v>
      </c>
      <c r="AE72" s="113">
        <v>55</v>
      </c>
      <c r="AF72" s="113">
        <v>24</v>
      </c>
      <c r="AG72" s="113">
        <f t="shared" si="40"/>
        <v>55</v>
      </c>
      <c r="AH72" s="113">
        <f t="shared" si="40"/>
        <v>24</v>
      </c>
      <c r="AI72" s="114">
        <v>31.5</v>
      </c>
      <c r="AJ72" s="114">
        <f t="shared" si="38"/>
        <v>31.5</v>
      </c>
      <c r="AK72" s="116"/>
    </row>
    <row r="73" spans="1:37" s="99" customFormat="1" x14ac:dyDescent="0.2">
      <c r="A73" s="93" t="s">
        <v>317</v>
      </c>
      <c r="B73" s="96">
        <f t="shared" si="32"/>
        <v>14.710899999999999</v>
      </c>
      <c r="C73" s="94">
        <v>120</v>
      </c>
      <c r="D73" s="94">
        <v>120</v>
      </c>
      <c r="E73" s="94">
        <v>8</v>
      </c>
      <c r="F73" s="94">
        <v>13</v>
      </c>
      <c r="G73" s="95">
        <f t="shared" si="1"/>
        <v>6.5</v>
      </c>
      <c r="H73" s="96">
        <v>18.739999999999998</v>
      </c>
      <c r="I73" s="96">
        <v>255.43</v>
      </c>
      <c r="J73" s="96">
        <f t="shared" si="33"/>
        <v>29.125427594070697</v>
      </c>
      <c r="K73" s="96"/>
      <c r="L73" s="96">
        <f t="shared" si="34"/>
        <v>3.6919104505409166</v>
      </c>
      <c r="M73" s="96"/>
      <c r="N73" s="96">
        <f t="shared" si="27"/>
        <v>255.43</v>
      </c>
      <c r="O73" s="96">
        <f t="shared" si="35"/>
        <v>29.125427594070697</v>
      </c>
      <c r="P73" s="96"/>
      <c r="Q73" s="96">
        <f t="shared" si="28"/>
        <v>3.6919104505409166</v>
      </c>
      <c r="R73" s="96"/>
      <c r="S73" s="96">
        <v>405.39</v>
      </c>
      <c r="T73" s="95">
        <v>84.9</v>
      </c>
      <c r="U73" s="96">
        <f t="shared" si="29"/>
        <v>47.749116607773843</v>
      </c>
      <c r="V73" s="96">
        <f t="shared" si="30"/>
        <v>4.6510576481625643</v>
      </c>
      <c r="W73" s="96">
        <v>105.47</v>
      </c>
      <c r="X73" s="95">
        <v>45.6</v>
      </c>
      <c r="Y73" s="96">
        <f t="shared" si="39"/>
        <v>23.129385964912281</v>
      </c>
      <c r="Z73" s="98">
        <f t="shared" si="31"/>
        <v>2.3723550120281289</v>
      </c>
      <c r="AA73" s="99">
        <f t="shared" si="36"/>
        <v>112.23000551958039</v>
      </c>
      <c r="AB73" s="99">
        <f t="shared" si="37"/>
        <v>52.59415544668196</v>
      </c>
      <c r="AE73" s="94">
        <v>65</v>
      </c>
      <c r="AF73" s="94">
        <v>24</v>
      </c>
      <c r="AG73" s="94">
        <f t="shared" si="40"/>
        <v>65</v>
      </c>
      <c r="AH73" s="94">
        <f t="shared" si="40"/>
        <v>24</v>
      </c>
      <c r="AI73" s="95">
        <v>32.299999999999997</v>
      </c>
      <c r="AJ73" s="95">
        <f t="shared" si="38"/>
        <v>32.299999999999997</v>
      </c>
      <c r="AK73" s="97"/>
    </row>
    <row r="74" spans="1:37" x14ac:dyDescent="0.2">
      <c r="A74" s="118" t="s">
        <v>318</v>
      </c>
      <c r="B74" s="121">
        <f t="shared" si="32"/>
        <v>16.461449999999999</v>
      </c>
      <c r="C74" s="119">
        <v>120</v>
      </c>
      <c r="D74" s="119">
        <v>120</v>
      </c>
      <c r="E74" s="119">
        <v>9</v>
      </c>
      <c r="F74" s="119">
        <v>13</v>
      </c>
      <c r="G74" s="120">
        <f t="shared" si="1"/>
        <v>6.5</v>
      </c>
      <c r="H74" s="121">
        <v>20.97</v>
      </c>
      <c r="I74" s="121">
        <v>284.54000000000002</v>
      </c>
      <c r="J74" s="121">
        <f t="shared" si="33"/>
        <v>32.593356242840784</v>
      </c>
      <c r="K74" s="121"/>
      <c r="L74" s="121">
        <f t="shared" si="34"/>
        <v>3.6835998647732833</v>
      </c>
      <c r="M74" s="121"/>
      <c r="N74" s="121">
        <f>I74</f>
        <v>284.54000000000002</v>
      </c>
      <c r="O74" s="121">
        <f t="shared" si="35"/>
        <v>32.593356242840784</v>
      </c>
      <c r="P74" s="121"/>
      <c r="Q74" s="121">
        <f>SQRT(N74/$H74)</f>
        <v>3.6835998647732833</v>
      </c>
      <c r="R74" s="121"/>
      <c r="S74" s="121">
        <v>451.8</v>
      </c>
      <c r="T74" s="120">
        <v>84.9</v>
      </c>
      <c r="U74" s="121">
        <f>S74*10/T74</f>
        <v>53.215547703180206</v>
      </c>
      <c r="V74" s="121">
        <f>SQRT(S74/$H74)</f>
        <v>4.6416661208753913</v>
      </c>
      <c r="W74" s="121">
        <v>117.28</v>
      </c>
      <c r="X74" s="120">
        <v>46.2</v>
      </c>
      <c r="Y74" s="121">
        <f t="shared" si="39"/>
        <v>25.385281385281381</v>
      </c>
      <c r="Z74" s="123">
        <f>SQRT(W74/$H74)</f>
        <v>2.3648999027090123</v>
      </c>
      <c r="AA74" s="99">
        <f t="shared" si="36"/>
        <v>111.33124077976576</v>
      </c>
      <c r="AB74" s="99">
        <f t="shared" si="37"/>
        <v>58.498762895282759</v>
      </c>
      <c r="AE74" s="119">
        <v>65</v>
      </c>
      <c r="AF74" s="119">
        <v>24</v>
      </c>
      <c r="AG74" s="119">
        <f t="shared" si="40"/>
        <v>65</v>
      </c>
      <c r="AH74" s="119">
        <f t="shared" si="40"/>
        <v>24</v>
      </c>
      <c r="AI74" s="120">
        <v>32.700000000000003</v>
      </c>
      <c r="AJ74" s="120">
        <f t="shared" si="38"/>
        <v>32.700000000000003</v>
      </c>
      <c r="AK74" s="122"/>
    </row>
    <row r="75" spans="1:37" x14ac:dyDescent="0.2">
      <c r="A75" s="118" t="s">
        <v>319</v>
      </c>
      <c r="B75" s="121">
        <f t="shared" si="32"/>
        <v>18.196300000000001</v>
      </c>
      <c r="C75" s="119">
        <v>120</v>
      </c>
      <c r="D75" s="119">
        <v>120</v>
      </c>
      <c r="E75" s="119">
        <v>10</v>
      </c>
      <c r="F75" s="119">
        <v>13</v>
      </c>
      <c r="G75" s="120">
        <f t="shared" si="1"/>
        <v>6.5</v>
      </c>
      <c r="H75" s="121">
        <v>23.18</v>
      </c>
      <c r="I75" s="121">
        <v>312.94</v>
      </c>
      <c r="J75" s="121">
        <f t="shared" si="33"/>
        <v>36.011507479861912</v>
      </c>
      <c r="K75" s="121"/>
      <c r="L75" s="121">
        <f t="shared" si="34"/>
        <v>3.674293320678796</v>
      </c>
      <c r="M75" s="121"/>
      <c r="N75" s="121">
        <f t="shared" ref="N75:N83" si="41">I75</f>
        <v>312.94</v>
      </c>
      <c r="O75" s="121">
        <f t="shared" si="35"/>
        <v>36.011507479861912</v>
      </c>
      <c r="P75" s="121"/>
      <c r="Q75" s="121">
        <f t="shared" ref="Q75:Q83" si="42">SQRT(N75/$H75)</f>
        <v>3.674293320678796</v>
      </c>
      <c r="R75" s="121"/>
      <c r="S75" s="121">
        <v>496.98</v>
      </c>
      <c r="T75" s="120">
        <v>84.9</v>
      </c>
      <c r="U75" s="121">
        <f t="shared" ref="U75:U83" si="43">S75*10/T75</f>
        <v>58.53710247349823</v>
      </c>
      <c r="V75" s="121">
        <f t="shared" ref="V75:V83" si="44">SQRT(S75/$H75)</f>
        <v>4.6303384878981344</v>
      </c>
      <c r="W75" s="121">
        <v>128.9</v>
      </c>
      <c r="X75" s="120">
        <v>46.9</v>
      </c>
      <c r="Y75" s="121">
        <f t="shared" si="39"/>
        <v>27.484008528784649</v>
      </c>
      <c r="Z75" s="123">
        <f t="shared" ref="Z75:Z82" si="45">SQRT(W75/$H75)</f>
        <v>2.358140856746866</v>
      </c>
      <c r="AA75" s="99">
        <f t="shared" si="36"/>
        <v>110.44438607056117</v>
      </c>
      <c r="AB75" s="99">
        <f t="shared" si="37"/>
        <v>64.272996312105349</v>
      </c>
      <c r="AE75" s="119">
        <v>65</v>
      </c>
      <c r="AF75" s="119">
        <v>24</v>
      </c>
      <c r="AG75" s="119">
        <f t="shared" si="40"/>
        <v>65</v>
      </c>
      <c r="AH75" s="119">
        <f t="shared" si="40"/>
        <v>24</v>
      </c>
      <c r="AI75" s="120">
        <v>33.1</v>
      </c>
      <c r="AJ75" s="120">
        <f t="shared" si="38"/>
        <v>33.1</v>
      </c>
      <c r="AK75" s="122"/>
    </row>
    <row r="76" spans="1:37" x14ac:dyDescent="0.2">
      <c r="A76" s="118" t="s">
        <v>320</v>
      </c>
      <c r="B76" s="121">
        <f t="shared" si="32"/>
        <v>19.91545</v>
      </c>
      <c r="C76" s="119">
        <v>120</v>
      </c>
      <c r="D76" s="119">
        <v>120</v>
      </c>
      <c r="E76" s="119">
        <v>11</v>
      </c>
      <c r="F76" s="119">
        <v>13</v>
      </c>
      <c r="G76" s="120">
        <f t="shared" si="1"/>
        <v>6.5</v>
      </c>
      <c r="H76" s="121">
        <v>25.37</v>
      </c>
      <c r="I76" s="121">
        <v>340.64</v>
      </c>
      <c r="J76" s="121">
        <f t="shared" si="33"/>
        <v>39.425925925925917</v>
      </c>
      <c r="K76" s="121"/>
      <c r="L76" s="121">
        <f t="shared" si="34"/>
        <v>3.664271024946828</v>
      </c>
      <c r="M76" s="121"/>
      <c r="N76" s="121">
        <f t="shared" si="41"/>
        <v>340.64</v>
      </c>
      <c r="O76" s="121">
        <f t="shared" si="35"/>
        <v>39.425925925925917</v>
      </c>
      <c r="P76" s="121"/>
      <c r="Q76" s="121">
        <f t="shared" si="42"/>
        <v>3.664271024946828</v>
      </c>
      <c r="R76" s="121"/>
      <c r="S76" s="121">
        <v>540.94000000000005</v>
      </c>
      <c r="T76" s="120">
        <v>84.9</v>
      </c>
      <c r="U76" s="121">
        <f t="shared" si="43"/>
        <v>63.714958775029451</v>
      </c>
      <c r="V76" s="121">
        <f t="shared" si="44"/>
        <v>4.6175787917809359</v>
      </c>
      <c r="W76" s="121">
        <v>140.34</v>
      </c>
      <c r="X76" s="120">
        <v>47.5</v>
      </c>
      <c r="Y76" s="121">
        <f t="shared" si="39"/>
        <v>29.545263157894738</v>
      </c>
      <c r="Z76" s="123">
        <f t="shared" si="45"/>
        <v>2.3519630928704376</v>
      </c>
      <c r="AA76" s="99">
        <f t="shared" si="36"/>
        <v>109.56944139196661</v>
      </c>
      <c r="AB76" s="99">
        <f t="shared" si="37"/>
        <v>69.921640418867099</v>
      </c>
      <c r="AE76" s="119">
        <v>65</v>
      </c>
      <c r="AF76" s="119">
        <v>24</v>
      </c>
      <c r="AG76" s="119">
        <f t="shared" si="40"/>
        <v>65</v>
      </c>
      <c r="AH76" s="119">
        <f t="shared" si="40"/>
        <v>24</v>
      </c>
      <c r="AI76" s="120">
        <v>33.6</v>
      </c>
      <c r="AJ76" s="120">
        <f t="shared" si="38"/>
        <v>33.6</v>
      </c>
      <c r="AK76" s="122"/>
    </row>
    <row r="77" spans="1:37" x14ac:dyDescent="0.2">
      <c r="A77" s="118" t="s">
        <v>321</v>
      </c>
      <c r="B77" s="121">
        <f t="shared" si="32"/>
        <v>21.6189</v>
      </c>
      <c r="C77" s="119">
        <v>120</v>
      </c>
      <c r="D77" s="119">
        <v>120</v>
      </c>
      <c r="E77" s="119">
        <v>12</v>
      </c>
      <c r="F77" s="119">
        <v>13</v>
      </c>
      <c r="G77" s="120">
        <f t="shared" si="1"/>
        <v>6.5</v>
      </c>
      <c r="H77" s="121">
        <v>27.54</v>
      </c>
      <c r="I77" s="121">
        <v>367.67</v>
      </c>
      <c r="J77" s="121">
        <f t="shared" si="33"/>
        <v>42.752325581395354</v>
      </c>
      <c r="K77" s="121"/>
      <c r="L77" s="121">
        <f t="shared" si="34"/>
        <v>3.6538198394319981</v>
      </c>
      <c r="M77" s="121"/>
      <c r="N77" s="121">
        <f t="shared" si="41"/>
        <v>367.67</v>
      </c>
      <c r="O77" s="121">
        <f t="shared" si="35"/>
        <v>42.752325581395354</v>
      </c>
      <c r="P77" s="121"/>
      <c r="Q77" s="121">
        <f t="shared" si="42"/>
        <v>3.6538198394319981</v>
      </c>
      <c r="R77" s="121"/>
      <c r="S77" s="121">
        <v>583.71</v>
      </c>
      <c r="T77" s="120">
        <v>84.9</v>
      </c>
      <c r="U77" s="121">
        <f t="shared" si="43"/>
        <v>68.752650176678443</v>
      </c>
      <c r="V77" s="121">
        <f t="shared" si="44"/>
        <v>4.6038015928962244</v>
      </c>
      <c r="W77" s="121">
        <v>151.62</v>
      </c>
      <c r="X77" s="120">
        <v>48</v>
      </c>
      <c r="Y77" s="121">
        <f t="shared" si="39"/>
        <v>31.587500000000002</v>
      </c>
      <c r="Z77" s="123">
        <f t="shared" si="45"/>
        <v>2.3463688165106702</v>
      </c>
      <c r="AA77" s="99">
        <f t="shared" si="36"/>
        <v>108.70640674398209</v>
      </c>
      <c r="AB77" s="99">
        <f t="shared" si="37"/>
        <v>75.449508842820308</v>
      </c>
      <c r="AE77" s="119">
        <v>65</v>
      </c>
      <c r="AF77" s="119">
        <v>24</v>
      </c>
      <c r="AG77" s="119">
        <f t="shared" si="40"/>
        <v>65</v>
      </c>
      <c r="AH77" s="119">
        <f t="shared" si="40"/>
        <v>24</v>
      </c>
      <c r="AI77" s="120">
        <v>34</v>
      </c>
      <c r="AJ77" s="120">
        <f t="shared" si="38"/>
        <v>34</v>
      </c>
      <c r="AK77" s="122"/>
    </row>
    <row r="78" spans="1:37" x14ac:dyDescent="0.2">
      <c r="A78" s="118" t="s">
        <v>322</v>
      </c>
      <c r="B78" s="121">
        <f t="shared" si="32"/>
        <v>23.306650000000001</v>
      </c>
      <c r="C78" s="119">
        <v>120</v>
      </c>
      <c r="D78" s="119">
        <v>120</v>
      </c>
      <c r="E78" s="119">
        <v>13</v>
      </c>
      <c r="F78" s="119">
        <v>13</v>
      </c>
      <c r="G78" s="120">
        <f t="shared" si="1"/>
        <v>6.5</v>
      </c>
      <c r="H78" s="121">
        <v>29.69</v>
      </c>
      <c r="I78" s="121">
        <v>394.04</v>
      </c>
      <c r="J78" s="121">
        <f t="shared" si="33"/>
        <v>46.032710280373834</v>
      </c>
      <c r="K78" s="121"/>
      <c r="L78" s="121">
        <f t="shared" si="34"/>
        <v>3.6430493669170261</v>
      </c>
      <c r="M78" s="121"/>
      <c r="N78" s="121">
        <f t="shared" si="41"/>
        <v>394.04</v>
      </c>
      <c r="O78" s="121">
        <f t="shared" si="35"/>
        <v>46.032710280373834</v>
      </c>
      <c r="P78" s="121"/>
      <c r="Q78" s="121">
        <f t="shared" si="42"/>
        <v>3.6430493669170261</v>
      </c>
      <c r="R78" s="121"/>
      <c r="S78" s="121">
        <v>625.32000000000005</v>
      </c>
      <c r="T78" s="120">
        <v>84.9</v>
      </c>
      <c r="U78" s="121">
        <f t="shared" si="43"/>
        <v>73.653710247349821</v>
      </c>
      <c r="V78" s="121">
        <f t="shared" si="44"/>
        <v>4.5892959062132963</v>
      </c>
      <c r="W78" s="121">
        <v>162.76</v>
      </c>
      <c r="X78" s="120">
        <v>48.6</v>
      </c>
      <c r="Y78" s="121">
        <f t="shared" si="39"/>
        <v>33.489711934156375</v>
      </c>
      <c r="Z78" s="123">
        <f t="shared" si="45"/>
        <v>2.34136295024991</v>
      </c>
      <c r="AA78" s="99">
        <f t="shared" si="36"/>
        <v>107.85528212660762</v>
      </c>
      <c r="AB78" s="99">
        <f t="shared" si="37"/>
        <v>80.861439861287309</v>
      </c>
      <c r="AE78" s="119">
        <v>65</v>
      </c>
      <c r="AF78" s="119">
        <v>24</v>
      </c>
      <c r="AG78" s="119">
        <f t="shared" si="40"/>
        <v>65</v>
      </c>
      <c r="AH78" s="119">
        <f t="shared" si="40"/>
        <v>24</v>
      </c>
      <c r="AI78" s="120">
        <v>34.4</v>
      </c>
      <c r="AJ78" s="120">
        <f t="shared" si="38"/>
        <v>34.4</v>
      </c>
      <c r="AK78" s="122"/>
    </row>
    <row r="79" spans="1:37" x14ac:dyDescent="0.2">
      <c r="A79" s="118" t="s">
        <v>323</v>
      </c>
      <c r="B79" s="121">
        <f t="shared" si="32"/>
        <v>24.9787</v>
      </c>
      <c r="C79" s="119">
        <v>120</v>
      </c>
      <c r="D79" s="119">
        <v>120</v>
      </c>
      <c r="E79" s="119">
        <v>14</v>
      </c>
      <c r="F79" s="119">
        <v>13</v>
      </c>
      <c r="G79" s="120">
        <f t="shared" si="1"/>
        <v>6.5</v>
      </c>
      <c r="H79" s="121">
        <v>31.82</v>
      </c>
      <c r="I79" s="121">
        <v>419.77</v>
      </c>
      <c r="J79" s="121">
        <f t="shared" si="33"/>
        <v>49.268779342723001</v>
      </c>
      <c r="K79" s="121"/>
      <c r="L79" s="121">
        <f t="shared" si="34"/>
        <v>3.6320817170039472</v>
      </c>
      <c r="M79" s="121"/>
      <c r="N79" s="121">
        <f t="shared" si="41"/>
        <v>419.77</v>
      </c>
      <c r="O79" s="121">
        <f t="shared" si="35"/>
        <v>49.268779342723001</v>
      </c>
      <c r="P79" s="121"/>
      <c r="Q79" s="121">
        <f t="shared" si="42"/>
        <v>3.6320817170039472</v>
      </c>
      <c r="R79" s="121"/>
      <c r="S79" s="121">
        <v>665.78</v>
      </c>
      <c r="T79" s="120">
        <v>84.9</v>
      </c>
      <c r="U79" s="121">
        <f t="shared" si="43"/>
        <v>78.419316843345101</v>
      </c>
      <c r="V79" s="121">
        <f t="shared" si="44"/>
        <v>4.5742014240197939</v>
      </c>
      <c r="W79" s="121">
        <v>173.76</v>
      </c>
      <c r="X79" s="120">
        <v>49.2</v>
      </c>
      <c r="Y79" s="121">
        <f t="shared" si="39"/>
        <v>35.317073170731703</v>
      </c>
      <c r="Z79" s="123">
        <f t="shared" si="45"/>
        <v>2.3368176074490647</v>
      </c>
      <c r="AA79" s="99">
        <f t="shared" si="36"/>
        <v>107.01606753984321</v>
      </c>
      <c r="AB79" s="99">
        <f t="shared" si="37"/>
        <v>86.162292146195583</v>
      </c>
      <c r="AE79" s="119">
        <v>65</v>
      </c>
      <c r="AF79" s="119">
        <v>24</v>
      </c>
      <c r="AG79" s="119">
        <f t="shared" si="40"/>
        <v>65</v>
      </c>
      <c r="AH79" s="119">
        <f t="shared" si="40"/>
        <v>24</v>
      </c>
      <c r="AI79" s="120">
        <v>34.799999999999997</v>
      </c>
      <c r="AJ79" s="120">
        <f t="shared" si="38"/>
        <v>34.799999999999997</v>
      </c>
      <c r="AK79" s="122"/>
    </row>
    <row r="80" spans="1:37" x14ac:dyDescent="0.2">
      <c r="A80" s="118" t="s">
        <v>324</v>
      </c>
      <c r="B80" s="121">
        <f t="shared" si="32"/>
        <v>26.63505</v>
      </c>
      <c r="C80" s="119">
        <v>120</v>
      </c>
      <c r="D80" s="119">
        <v>120</v>
      </c>
      <c r="E80" s="119">
        <v>15</v>
      </c>
      <c r="F80" s="119">
        <v>13</v>
      </c>
      <c r="G80" s="120">
        <f t="shared" si="1"/>
        <v>6.5</v>
      </c>
      <c r="H80" s="121">
        <v>33.93</v>
      </c>
      <c r="I80" s="121">
        <v>444.89</v>
      </c>
      <c r="J80" s="121">
        <f t="shared" si="33"/>
        <v>52.401648998822139</v>
      </c>
      <c r="K80" s="121"/>
      <c r="L80" s="121">
        <f t="shared" si="34"/>
        <v>3.6210489204661509</v>
      </c>
      <c r="M80" s="121"/>
      <c r="N80" s="121">
        <f t="shared" si="41"/>
        <v>444.89</v>
      </c>
      <c r="O80" s="121">
        <f t="shared" si="35"/>
        <v>52.401648998822139</v>
      </c>
      <c r="P80" s="121"/>
      <c r="Q80" s="121">
        <f t="shared" si="42"/>
        <v>3.6210489204661509</v>
      </c>
      <c r="R80" s="121"/>
      <c r="S80" s="121">
        <v>705.11</v>
      </c>
      <c r="T80" s="120">
        <v>84.9</v>
      </c>
      <c r="U80" s="121">
        <f t="shared" si="43"/>
        <v>83.051825677267374</v>
      </c>
      <c r="V80" s="121">
        <f t="shared" si="44"/>
        <v>4.5586527034826467</v>
      </c>
      <c r="W80" s="121">
        <v>184.66</v>
      </c>
      <c r="X80" s="120">
        <v>49.7</v>
      </c>
      <c r="Y80" s="121">
        <f t="shared" si="39"/>
        <v>37.154929577464785</v>
      </c>
      <c r="Z80" s="123">
        <f t="shared" si="45"/>
        <v>2.3328912047962835</v>
      </c>
      <c r="AA80" s="99">
        <f t="shared" si="36"/>
        <v>106.18876298368882</v>
      </c>
      <c r="AB80" s="99">
        <f t="shared" si="37"/>
        <v>91.356940508612936</v>
      </c>
      <c r="AE80" s="119">
        <v>65</v>
      </c>
      <c r="AF80" s="119">
        <v>24</v>
      </c>
      <c r="AG80" s="119">
        <f t="shared" si="40"/>
        <v>65</v>
      </c>
      <c r="AH80" s="119">
        <f t="shared" si="40"/>
        <v>24</v>
      </c>
      <c r="AI80" s="120">
        <v>35.1</v>
      </c>
      <c r="AJ80" s="120">
        <f t="shared" si="38"/>
        <v>35.1</v>
      </c>
      <c r="AK80" s="122"/>
    </row>
    <row r="81" spans="1:37" s="99" customFormat="1" x14ac:dyDescent="0.2">
      <c r="A81" s="124" t="s">
        <v>325</v>
      </c>
      <c r="B81" s="127">
        <f t="shared" si="32"/>
        <v>23.526450000000001</v>
      </c>
      <c r="C81" s="125">
        <v>130</v>
      </c>
      <c r="D81" s="125">
        <v>130</v>
      </c>
      <c r="E81" s="125">
        <v>12</v>
      </c>
      <c r="F81" s="125">
        <v>14</v>
      </c>
      <c r="G81" s="126">
        <f t="shared" si="1"/>
        <v>7</v>
      </c>
      <c r="H81" s="127">
        <v>29.97</v>
      </c>
      <c r="I81" s="127">
        <v>472.17</v>
      </c>
      <c r="J81" s="127">
        <f t="shared" si="33"/>
        <v>50.445512820512825</v>
      </c>
      <c r="K81" s="127"/>
      <c r="L81" s="127">
        <f t="shared" si="34"/>
        <v>3.9692259641842962</v>
      </c>
      <c r="M81" s="127"/>
      <c r="N81" s="127">
        <f t="shared" si="41"/>
        <v>472.17</v>
      </c>
      <c r="O81" s="127">
        <f t="shared" si="35"/>
        <v>50.445512820512825</v>
      </c>
      <c r="P81" s="127"/>
      <c r="Q81" s="127">
        <f t="shared" si="42"/>
        <v>3.9692259641842962</v>
      </c>
      <c r="R81" s="127"/>
      <c r="S81" s="127">
        <v>749.83</v>
      </c>
      <c r="T81" s="126">
        <v>91.9</v>
      </c>
      <c r="U81" s="127">
        <f t="shared" si="43"/>
        <v>81.591947769314473</v>
      </c>
      <c r="V81" s="127">
        <f t="shared" si="44"/>
        <v>5.001934894220371</v>
      </c>
      <c r="W81" s="127">
        <v>194.52</v>
      </c>
      <c r="X81" s="126">
        <v>51.5</v>
      </c>
      <c r="Y81" s="127">
        <f t="shared" si="39"/>
        <v>37.770873786407769</v>
      </c>
      <c r="Z81" s="129">
        <f t="shared" si="45"/>
        <v>2.5476441059320849</v>
      </c>
      <c r="AA81" s="99">
        <f t="shared" si="36"/>
        <v>118.62978218833628</v>
      </c>
      <c r="AB81" s="99">
        <f t="shared" si="37"/>
        <v>89.442849445655867</v>
      </c>
      <c r="AE81" s="125">
        <v>70</v>
      </c>
      <c r="AF81" s="125">
        <v>24</v>
      </c>
      <c r="AG81" s="125">
        <f t="shared" si="40"/>
        <v>70</v>
      </c>
      <c r="AH81" s="125">
        <f t="shared" si="40"/>
        <v>24</v>
      </c>
      <c r="AI81" s="126">
        <v>36.4</v>
      </c>
      <c r="AJ81" s="126">
        <f t="shared" si="38"/>
        <v>36.4</v>
      </c>
      <c r="AK81" s="128"/>
    </row>
    <row r="82" spans="1:37" s="99" customFormat="1" x14ac:dyDescent="0.2">
      <c r="A82" s="93" t="s">
        <v>326</v>
      </c>
      <c r="B82" s="96">
        <f t="shared" si="32"/>
        <v>27.435750000000002</v>
      </c>
      <c r="C82" s="94">
        <v>140</v>
      </c>
      <c r="D82" s="94">
        <v>140</v>
      </c>
      <c r="E82" s="94">
        <v>13</v>
      </c>
      <c r="F82" s="94">
        <v>15</v>
      </c>
      <c r="G82" s="95">
        <f t="shared" si="1"/>
        <v>7.5</v>
      </c>
      <c r="H82" s="96">
        <v>34.950000000000003</v>
      </c>
      <c r="I82" s="96">
        <v>638.54</v>
      </c>
      <c r="J82" s="96">
        <f t="shared" si="33"/>
        <v>63.347222222222221</v>
      </c>
      <c r="K82" s="96"/>
      <c r="L82" s="96">
        <f t="shared" si="34"/>
        <v>4.2743537690581386</v>
      </c>
      <c r="M82" s="96"/>
      <c r="N82" s="96">
        <f t="shared" si="41"/>
        <v>638.54</v>
      </c>
      <c r="O82" s="96">
        <f t="shared" si="35"/>
        <v>63.347222222222221</v>
      </c>
      <c r="P82" s="96"/>
      <c r="Q82" s="96">
        <f t="shared" si="42"/>
        <v>4.2743537690581386</v>
      </c>
      <c r="R82" s="96"/>
      <c r="S82" s="95">
        <v>1014.04</v>
      </c>
      <c r="T82" s="95">
        <v>99</v>
      </c>
      <c r="U82" s="96">
        <f t="shared" si="43"/>
        <v>102.42828282828282</v>
      </c>
      <c r="V82" s="96">
        <f t="shared" si="44"/>
        <v>5.3864663768199925</v>
      </c>
      <c r="W82" s="96">
        <v>263.02999999999997</v>
      </c>
      <c r="X82" s="95">
        <v>55.5</v>
      </c>
      <c r="Y82" s="96">
        <f t="shared" si="39"/>
        <v>47.39279279279279</v>
      </c>
      <c r="Z82" s="98">
        <f t="shared" si="45"/>
        <v>2.7433363145042615</v>
      </c>
      <c r="AA82" s="99">
        <f t="shared" si="36"/>
        <v>127.69017859834317</v>
      </c>
      <c r="AB82" s="99">
        <f t="shared" si="37"/>
        <v>112.29307234603777</v>
      </c>
      <c r="AE82" s="94">
        <v>70</v>
      </c>
      <c r="AF82" s="94">
        <v>24</v>
      </c>
      <c r="AG82" s="94">
        <f t="shared" si="40"/>
        <v>70</v>
      </c>
      <c r="AH82" s="94">
        <f t="shared" si="40"/>
        <v>24</v>
      </c>
      <c r="AI82" s="95">
        <v>39.200000000000003</v>
      </c>
      <c r="AJ82" s="95">
        <f t="shared" si="38"/>
        <v>39.200000000000003</v>
      </c>
      <c r="AK82" s="97"/>
    </row>
    <row r="83" spans="1:37" s="99" customFormat="1" x14ac:dyDescent="0.2">
      <c r="A83" s="100" t="s">
        <v>327</v>
      </c>
      <c r="B83" s="103">
        <f t="shared" si="32"/>
        <v>22.976950000000002</v>
      </c>
      <c r="C83" s="101">
        <v>150</v>
      </c>
      <c r="D83" s="101">
        <v>150</v>
      </c>
      <c r="E83" s="101">
        <v>10</v>
      </c>
      <c r="F83" s="101">
        <v>16</v>
      </c>
      <c r="G83" s="102">
        <f t="shared" si="1"/>
        <v>8</v>
      </c>
      <c r="H83" s="103">
        <v>29.27</v>
      </c>
      <c r="I83" s="103">
        <v>624.04</v>
      </c>
      <c r="J83" s="103">
        <f t="shared" si="33"/>
        <v>56.886052871467633</v>
      </c>
      <c r="K83" s="103"/>
      <c r="L83" s="103">
        <f t="shared" si="34"/>
        <v>4.6173718707534723</v>
      </c>
      <c r="M83" s="103"/>
      <c r="N83" s="103">
        <f t="shared" si="41"/>
        <v>624.04</v>
      </c>
      <c r="O83" s="103">
        <f t="shared" si="35"/>
        <v>56.886052871467633</v>
      </c>
      <c r="P83" s="103"/>
      <c r="Q83" s="103">
        <f t="shared" si="42"/>
        <v>4.6173718707534723</v>
      </c>
      <c r="R83" s="103"/>
      <c r="S83" s="103">
        <v>990.57</v>
      </c>
      <c r="T83" s="130">
        <v>106.1</v>
      </c>
      <c r="U83" s="103">
        <f t="shared" si="43"/>
        <v>93.361922714420373</v>
      </c>
      <c r="V83" s="103">
        <f t="shared" si="44"/>
        <v>5.8174307777675223</v>
      </c>
      <c r="W83" s="103">
        <v>257.52</v>
      </c>
      <c r="X83" s="102">
        <v>57.1</v>
      </c>
      <c r="Y83" s="103">
        <f t="shared" si="39"/>
        <v>45.099824868651481</v>
      </c>
      <c r="Z83" s="105">
        <f>SQRT(W83/$H83)</f>
        <v>2.966156903852402</v>
      </c>
      <c r="AA83" s="99">
        <f t="shared" si="36"/>
        <v>140.2932743238342</v>
      </c>
      <c r="AB83" s="99">
        <f t="shared" si="37"/>
        <v>102.71377632421415</v>
      </c>
      <c r="AE83" s="101">
        <v>85</v>
      </c>
      <c r="AF83" s="101">
        <v>27</v>
      </c>
      <c r="AG83" s="101">
        <f t="shared" si="40"/>
        <v>85</v>
      </c>
      <c r="AH83" s="101">
        <f t="shared" si="40"/>
        <v>27</v>
      </c>
      <c r="AI83" s="102">
        <v>40.299999999999997</v>
      </c>
      <c r="AJ83" s="102">
        <f t="shared" si="38"/>
        <v>40.299999999999997</v>
      </c>
      <c r="AK83" s="104"/>
    </row>
    <row r="84" spans="1:37" x14ac:dyDescent="0.2">
      <c r="A84" s="106" t="s">
        <v>328</v>
      </c>
      <c r="B84" s="109">
        <f t="shared" si="32"/>
        <v>27.341549999999998</v>
      </c>
      <c r="C84" s="107">
        <v>150</v>
      </c>
      <c r="D84" s="107">
        <v>150</v>
      </c>
      <c r="E84" s="107">
        <v>12</v>
      </c>
      <c r="F84" s="107">
        <v>16</v>
      </c>
      <c r="G84" s="108">
        <f t="shared" si="1"/>
        <v>8</v>
      </c>
      <c r="H84" s="109">
        <v>34.83</v>
      </c>
      <c r="I84" s="109">
        <v>736.91</v>
      </c>
      <c r="J84" s="109">
        <f t="shared" si="33"/>
        <v>67.730698529411768</v>
      </c>
      <c r="K84" s="109"/>
      <c r="L84" s="109">
        <f t="shared" si="34"/>
        <v>4.5997103854703552</v>
      </c>
      <c r="M84" s="109"/>
      <c r="N84" s="109">
        <f>I84</f>
        <v>736.91</v>
      </c>
      <c r="O84" s="109">
        <f t="shared" si="35"/>
        <v>67.730698529411768</v>
      </c>
      <c r="P84" s="109"/>
      <c r="Q84" s="109">
        <f>SQRT(N84/$H84)</f>
        <v>4.5997103854703552</v>
      </c>
      <c r="R84" s="109"/>
      <c r="S84" s="108">
        <v>1170.3800000000001</v>
      </c>
      <c r="T84" s="131">
        <v>106.1</v>
      </c>
      <c r="U84" s="109">
        <f>S84*10/T84</f>
        <v>110.30914231856741</v>
      </c>
      <c r="V84" s="109">
        <f>SQRT(S84/$H84)</f>
        <v>5.7967785364882642</v>
      </c>
      <c r="W84" s="109">
        <v>303.45</v>
      </c>
      <c r="X84" s="108">
        <v>58.3</v>
      </c>
      <c r="Y84" s="109">
        <f t="shared" si="39"/>
        <v>52.049742710120071</v>
      </c>
      <c r="Z84" s="111">
        <f>SQRT(W84/$H84)</f>
        <v>2.9516634239240291</v>
      </c>
      <c r="AA84" s="99">
        <f t="shared" si="36"/>
        <v>138.50289086257092</v>
      </c>
      <c r="AB84" s="99">
        <f t="shared" si="37"/>
        <v>121.04276203730863</v>
      </c>
      <c r="AE84" s="107">
        <v>85</v>
      </c>
      <c r="AF84" s="107">
        <v>27</v>
      </c>
      <c r="AG84" s="107">
        <f t="shared" si="40"/>
        <v>85</v>
      </c>
      <c r="AH84" s="107">
        <f t="shared" si="40"/>
        <v>27</v>
      </c>
      <c r="AI84" s="108">
        <v>41.2</v>
      </c>
      <c r="AJ84" s="108">
        <f t="shared" si="38"/>
        <v>41.2</v>
      </c>
      <c r="AK84" s="110"/>
    </row>
    <row r="85" spans="1:37" x14ac:dyDescent="0.2">
      <c r="A85" s="106" t="s">
        <v>329</v>
      </c>
      <c r="B85" s="109">
        <f t="shared" si="32"/>
        <v>31.643350000000002</v>
      </c>
      <c r="C85" s="107">
        <v>150</v>
      </c>
      <c r="D85" s="107">
        <v>150</v>
      </c>
      <c r="E85" s="107">
        <v>14</v>
      </c>
      <c r="F85" s="107">
        <v>16</v>
      </c>
      <c r="G85" s="108">
        <f t="shared" si="1"/>
        <v>8</v>
      </c>
      <c r="H85" s="109">
        <v>40.31</v>
      </c>
      <c r="I85" s="109">
        <v>845.5</v>
      </c>
      <c r="J85" s="109">
        <f t="shared" si="33"/>
        <v>78.359592215013905</v>
      </c>
      <c r="K85" s="109"/>
      <c r="L85" s="109">
        <f t="shared" si="34"/>
        <v>4.57984106521012</v>
      </c>
      <c r="M85" s="109"/>
      <c r="N85" s="109">
        <f t="shared" ref="N85:N97" si="46">I85</f>
        <v>845.5</v>
      </c>
      <c r="O85" s="109">
        <f t="shared" si="35"/>
        <v>78.359592215013905</v>
      </c>
      <c r="P85" s="109"/>
      <c r="Q85" s="109">
        <f t="shared" ref="Q85:Q97" si="47">SQRT(N85/$H85)</f>
        <v>4.57984106521012</v>
      </c>
      <c r="R85" s="109"/>
      <c r="S85" s="108">
        <v>1342.57</v>
      </c>
      <c r="T85" s="131">
        <v>106.1</v>
      </c>
      <c r="U85" s="109">
        <f t="shared" ref="U85:U128" si="48">S85*10/T85</f>
        <v>126.53817153628651</v>
      </c>
      <c r="V85" s="109">
        <f t="shared" ref="V85:V97" si="49">SQRT(S85/$H85)</f>
        <v>5.7711461176947925</v>
      </c>
      <c r="W85" s="109">
        <v>348.23</v>
      </c>
      <c r="X85" s="108">
        <v>59.5</v>
      </c>
      <c r="Y85" s="109">
        <f t="shared" si="39"/>
        <v>58.526050420168069</v>
      </c>
      <c r="Z85" s="111">
        <f t="shared" ref="Z85:Z97" si="50">SQRT(W85/$H85)</f>
        <v>2.9391834419415335</v>
      </c>
      <c r="AA85" s="99">
        <f t="shared" si="36"/>
        <v>136.75061949925984</v>
      </c>
      <c r="AB85" s="99">
        <f t="shared" si="37"/>
        <v>138.73420738901061</v>
      </c>
      <c r="AE85" s="107">
        <v>85</v>
      </c>
      <c r="AF85" s="107">
        <v>27</v>
      </c>
      <c r="AG85" s="107">
        <f t="shared" si="40"/>
        <v>85</v>
      </c>
      <c r="AH85" s="107">
        <f t="shared" si="40"/>
        <v>27</v>
      </c>
      <c r="AI85" s="108">
        <v>42.1</v>
      </c>
      <c r="AJ85" s="108">
        <f t="shared" si="38"/>
        <v>42.1</v>
      </c>
      <c r="AK85" s="110"/>
    </row>
    <row r="86" spans="1:37" x14ac:dyDescent="0.2">
      <c r="A86" s="106" t="s">
        <v>330</v>
      </c>
      <c r="B86" s="109">
        <f t="shared" si="32"/>
        <v>33.770700000000005</v>
      </c>
      <c r="C86" s="107">
        <v>150</v>
      </c>
      <c r="D86" s="107">
        <v>150</v>
      </c>
      <c r="E86" s="107">
        <v>15</v>
      </c>
      <c r="F86" s="107">
        <v>16</v>
      </c>
      <c r="G86" s="108">
        <f t="shared" ref="G86:G97" si="51">F86/2</f>
        <v>8</v>
      </c>
      <c r="H86" s="109">
        <v>43.02</v>
      </c>
      <c r="I86" s="109">
        <v>898.05</v>
      </c>
      <c r="J86" s="109">
        <f t="shared" si="33"/>
        <v>83.539534883720933</v>
      </c>
      <c r="K86" s="109"/>
      <c r="L86" s="109">
        <f t="shared" si="34"/>
        <v>4.5689357992334969</v>
      </c>
      <c r="M86" s="109"/>
      <c r="N86" s="109">
        <f t="shared" si="46"/>
        <v>898.05</v>
      </c>
      <c r="O86" s="109">
        <f t="shared" si="35"/>
        <v>83.539534883720933</v>
      </c>
      <c r="P86" s="109"/>
      <c r="Q86" s="109">
        <f t="shared" si="47"/>
        <v>4.5689357992334969</v>
      </c>
      <c r="R86" s="109"/>
      <c r="S86" s="108">
        <v>1425.87</v>
      </c>
      <c r="T86" s="131">
        <v>106.1</v>
      </c>
      <c r="U86" s="109">
        <f t="shared" si="48"/>
        <v>134.38925541941563</v>
      </c>
      <c r="V86" s="109">
        <f t="shared" si="49"/>
        <v>5.7571131189542504</v>
      </c>
      <c r="W86" s="109">
        <v>370.24</v>
      </c>
      <c r="X86" s="108">
        <v>60.1</v>
      </c>
      <c r="Y86" s="109">
        <f t="shared" si="39"/>
        <v>61.603993344425959</v>
      </c>
      <c r="Z86" s="111">
        <f t="shared" si="50"/>
        <v>2.9336376157635704</v>
      </c>
      <c r="AA86" s="99">
        <f t="shared" si="36"/>
        <v>135.8887758543363</v>
      </c>
      <c r="AB86" s="99">
        <f t="shared" si="37"/>
        <v>147.35286393020451</v>
      </c>
      <c r="AE86" s="107">
        <v>85</v>
      </c>
      <c r="AF86" s="107">
        <v>27</v>
      </c>
      <c r="AG86" s="107">
        <f t="shared" si="40"/>
        <v>85</v>
      </c>
      <c r="AH86" s="107">
        <f t="shared" si="40"/>
        <v>27</v>
      </c>
      <c r="AI86" s="108">
        <v>42.5</v>
      </c>
      <c r="AJ86" s="108">
        <f t="shared" si="38"/>
        <v>42.5</v>
      </c>
      <c r="AK86" s="110"/>
    </row>
    <row r="87" spans="1:37" x14ac:dyDescent="0.2">
      <c r="A87" s="106" t="s">
        <v>331</v>
      </c>
      <c r="B87" s="109">
        <f t="shared" si="32"/>
        <v>35.882350000000002</v>
      </c>
      <c r="C87" s="107">
        <v>150</v>
      </c>
      <c r="D87" s="107">
        <v>150</v>
      </c>
      <c r="E87" s="107">
        <v>16</v>
      </c>
      <c r="F87" s="107">
        <v>16</v>
      </c>
      <c r="G87" s="108">
        <f t="shared" si="51"/>
        <v>8</v>
      </c>
      <c r="H87" s="109">
        <v>45.71</v>
      </c>
      <c r="I87" s="109">
        <v>949.68</v>
      </c>
      <c r="J87" s="109">
        <f t="shared" si="33"/>
        <v>88.672268907563023</v>
      </c>
      <c r="K87" s="109"/>
      <c r="L87" s="109">
        <f t="shared" si="34"/>
        <v>4.5580914611864474</v>
      </c>
      <c r="M87" s="109"/>
      <c r="N87" s="109">
        <f t="shared" si="46"/>
        <v>949.68</v>
      </c>
      <c r="O87" s="109">
        <f t="shared" si="35"/>
        <v>88.672268907563023</v>
      </c>
      <c r="P87" s="109"/>
      <c r="Q87" s="109">
        <f t="shared" si="47"/>
        <v>4.5580914611864474</v>
      </c>
      <c r="R87" s="109"/>
      <c r="S87" s="108">
        <v>1507.34</v>
      </c>
      <c r="T87" s="131">
        <v>106.1</v>
      </c>
      <c r="U87" s="109">
        <f t="shared" si="48"/>
        <v>142.06786050895383</v>
      </c>
      <c r="V87" s="109">
        <f t="shared" si="49"/>
        <v>5.7424867448204751</v>
      </c>
      <c r="W87" s="109">
        <v>392.02</v>
      </c>
      <c r="X87" s="108">
        <v>60.6</v>
      </c>
      <c r="Y87" s="109">
        <f t="shared" si="39"/>
        <v>64.689768976897682</v>
      </c>
      <c r="Z87" s="111">
        <f t="shared" si="50"/>
        <v>2.9285220713941609</v>
      </c>
      <c r="AA87" s="99">
        <f t="shared" si="36"/>
        <v>135.03646023390084</v>
      </c>
      <c r="AB87" s="99">
        <f t="shared" si="37"/>
        <v>155.82659052864881</v>
      </c>
      <c r="AE87" s="107">
        <v>85</v>
      </c>
      <c r="AF87" s="107">
        <v>27</v>
      </c>
      <c r="AG87" s="107">
        <f t="shared" ref="AG87:AH97" si="52">AE87</f>
        <v>85</v>
      </c>
      <c r="AH87" s="107">
        <f t="shared" si="52"/>
        <v>27</v>
      </c>
      <c r="AI87" s="108">
        <v>42.9</v>
      </c>
      <c r="AJ87" s="108">
        <f t="shared" si="38"/>
        <v>42.9</v>
      </c>
      <c r="AK87" s="110"/>
    </row>
    <row r="88" spans="1:37" x14ac:dyDescent="0.2">
      <c r="A88" s="112" t="s">
        <v>332</v>
      </c>
      <c r="B88" s="115">
        <f t="shared" si="32"/>
        <v>40.058550000000004</v>
      </c>
      <c r="C88" s="113">
        <v>150</v>
      </c>
      <c r="D88" s="113">
        <v>150</v>
      </c>
      <c r="E88" s="113">
        <v>18</v>
      </c>
      <c r="F88" s="113">
        <v>16</v>
      </c>
      <c r="G88" s="114">
        <f t="shared" si="51"/>
        <v>8</v>
      </c>
      <c r="H88" s="115">
        <v>51.03</v>
      </c>
      <c r="I88" s="114">
        <v>1049.97</v>
      </c>
      <c r="J88" s="115">
        <f t="shared" si="33"/>
        <v>98.774223894637828</v>
      </c>
      <c r="K88" s="115"/>
      <c r="L88" s="115">
        <f t="shared" si="34"/>
        <v>4.5360273144863248</v>
      </c>
      <c r="M88" s="115"/>
      <c r="N88" s="114">
        <f t="shared" si="46"/>
        <v>1049.97</v>
      </c>
      <c r="O88" s="115">
        <f t="shared" si="35"/>
        <v>98.774223894637828</v>
      </c>
      <c r="P88" s="115"/>
      <c r="Q88" s="115">
        <f t="shared" si="47"/>
        <v>4.5360273144863248</v>
      </c>
      <c r="R88" s="115"/>
      <c r="S88" s="114">
        <v>1664.92</v>
      </c>
      <c r="T88" s="132">
        <v>106.1</v>
      </c>
      <c r="U88" s="115">
        <f t="shared" si="48"/>
        <v>156.91988689915175</v>
      </c>
      <c r="V88" s="115">
        <f t="shared" si="49"/>
        <v>5.7119434745039177</v>
      </c>
      <c r="W88" s="115">
        <v>435.01</v>
      </c>
      <c r="X88" s="114">
        <v>61.7</v>
      </c>
      <c r="Y88" s="115">
        <f t="shared" si="39"/>
        <v>70.50405186385737</v>
      </c>
      <c r="Z88" s="117">
        <f t="shared" si="50"/>
        <v>2.9196906302629442</v>
      </c>
      <c r="AA88" s="99">
        <f t="shared" si="36"/>
        <v>133.360413066494</v>
      </c>
      <c r="AB88" s="99">
        <f t="shared" si="37"/>
        <v>172.3586942324585</v>
      </c>
      <c r="AE88" s="113">
        <v>85</v>
      </c>
      <c r="AF88" s="113">
        <v>27</v>
      </c>
      <c r="AG88" s="113">
        <f t="shared" si="52"/>
        <v>85</v>
      </c>
      <c r="AH88" s="113">
        <f t="shared" si="52"/>
        <v>27</v>
      </c>
      <c r="AI88" s="114">
        <v>43.7</v>
      </c>
      <c r="AJ88" s="114">
        <f t="shared" si="38"/>
        <v>43.7</v>
      </c>
      <c r="AK88" s="116"/>
    </row>
    <row r="89" spans="1:37" s="99" customFormat="1" x14ac:dyDescent="0.2">
      <c r="A89" s="93" t="s">
        <v>333</v>
      </c>
      <c r="B89" s="96">
        <f t="shared" si="32"/>
        <v>36.1571</v>
      </c>
      <c r="C89" s="94">
        <v>160</v>
      </c>
      <c r="D89" s="94">
        <v>160</v>
      </c>
      <c r="E89" s="94">
        <v>15</v>
      </c>
      <c r="F89" s="94">
        <v>17</v>
      </c>
      <c r="G89" s="95">
        <f t="shared" si="51"/>
        <v>8.5</v>
      </c>
      <c r="H89" s="96">
        <v>46.06</v>
      </c>
      <c r="I89" s="95">
        <v>1098.83</v>
      </c>
      <c r="J89" s="96">
        <f t="shared" si="33"/>
        <v>95.467419635099915</v>
      </c>
      <c r="K89" s="96"/>
      <c r="L89" s="96">
        <f t="shared" si="34"/>
        <v>4.8843107530933496</v>
      </c>
      <c r="M89" s="96"/>
      <c r="N89" s="95">
        <f t="shared" si="46"/>
        <v>1098.83</v>
      </c>
      <c r="O89" s="96">
        <f t="shared" si="35"/>
        <v>95.467419635099915</v>
      </c>
      <c r="P89" s="96"/>
      <c r="Q89" s="96">
        <f t="shared" si="47"/>
        <v>4.8843107530933496</v>
      </c>
      <c r="R89" s="96"/>
      <c r="S89" s="95">
        <v>1745.07</v>
      </c>
      <c r="T89" s="133">
        <v>113.1</v>
      </c>
      <c r="U89" s="96">
        <f t="shared" si="48"/>
        <v>154.29442970822282</v>
      </c>
      <c r="V89" s="96">
        <f t="shared" si="49"/>
        <v>6.155232462674455</v>
      </c>
      <c r="W89" s="96">
        <v>452.6</v>
      </c>
      <c r="X89" s="95">
        <v>63.5</v>
      </c>
      <c r="Y89" s="96">
        <f t="shared" si="39"/>
        <v>71.275590551181097</v>
      </c>
      <c r="Z89" s="98">
        <f t="shared" si="50"/>
        <v>3.134695121399377</v>
      </c>
      <c r="AA89" s="99">
        <f t="shared" si="36"/>
        <v>145.81109654904068</v>
      </c>
      <c r="AB89" s="99">
        <f t="shared" si="37"/>
        <v>169.0281528442388</v>
      </c>
      <c r="AE89" s="94">
        <v>85</v>
      </c>
      <c r="AF89" s="94">
        <v>27</v>
      </c>
      <c r="AG89" s="94">
        <f t="shared" si="52"/>
        <v>85</v>
      </c>
      <c r="AH89" s="94">
        <f t="shared" si="52"/>
        <v>27</v>
      </c>
      <c r="AI89" s="95">
        <v>44.9</v>
      </c>
      <c r="AJ89" s="95">
        <f t="shared" si="38"/>
        <v>44.9</v>
      </c>
      <c r="AK89" s="97"/>
    </row>
    <row r="90" spans="1:37" x14ac:dyDescent="0.2">
      <c r="A90" s="118" t="s">
        <v>334</v>
      </c>
      <c r="B90" s="121">
        <f t="shared" si="32"/>
        <v>40.678699999999999</v>
      </c>
      <c r="C90" s="119">
        <v>160</v>
      </c>
      <c r="D90" s="119">
        <v>160</v>
      </c>
      <c r="E90" s="119">
        <v>17</v>
      </c>
      <c r="F90" s="119">
        <v>17</v>
      </c>
      <c r="G90" s="120">
        <f t="shared" si="51"/>
        <v>8.5</v>
      </c>
      <c r="H90" s="121">
        <v>51.82</v>
      </c>
      <c r="I90" s="120">
        <v>1225.4000000000001</v>
      </c>
      <c r="J90" s="121">
        <f t="shared" si="33"/>
        <v>107.20909886264218</v>
      </c>
      <c r="K90" s="121"/>
      <c r="L90" s="121">
        <f t="shared" si="34"/>
        <v>4.8628428360068963</v>
      </c>
      <c r="M90" s="121"/>
      <c r="N90" s="120">
        <f t="shared" si="46"/>
        <v>1225.4000000000001</v>
      </c>
      <c r="O90" s="121">
        <f t="shared" si="35"/>
        <v>107.20909886264218</v>
      </c>
      <c r="P90" s="121"/>
      <c r="Q90" s="121">
        <f t="shared" si="47"/>
        <v>4.8628428360068963</v>
      </c>
      <c r="R90" s="121"/>
      <c r="S90" s="120">
        <v>1945.03</v>
      </c>
      <c r="T90" s="134">
        <v>113.1</v>
      </c>
      <c r="U90" s="121">
        <f t="shared" si="48"/>
        <v>171.97435897435898</v>
      </c>
      <c r="V90" s="121">
        <f t="shared" si="49"/>
        <v>6.1265283539653463</v>
      </c>
      <c r="W90" s="121">
        <v>505.76</v>
      </c>
      <c r="X90" s="120">
        <v>64.599999999999994</v>
      </c>
      <c r="Y90" s="121">
        <f t="shared" si="39"/>
        <v>78.291021671826641</v>
      </c>
      <c r="Z90" s="123">
        <f t="shared" si="50"/>
        <v>3.1240899871451813</v>
      </c>
      <c r="AA90" s="99">
        <f t="shared" si="36"/>
        <v>144.09693728368168</v>
      </c>
      <c r="AB90" s="99">
        <f t="shared" si="37"/>
        <v>188.47522319944068</v>
      </c>
      <c r="AE90" s="119">
        <v>85</v>
      </c>
      <c r="AF90" s="119">
        <v>27</v>
      </c>
      <c r="AG90" s="119">
        <f t="shared" si="52"/>
        <v>85</v>
      </c>
      <c r="AH90" s="119">
        <f t="shared" si="52"/>
        <v>27</v>
      </c>
      <c r="AI90" s="120">
        <v>45.7</v>
      </c>
      <c r="AJ90" s="120">
        <f t="shared" si="38"/>
        <v>45.7</v>
      </c>
      <c r="AK90" s="122"/>
    </row>
    <row r="91" spans="1:37" s="99" customFormat="1" x14ac:dyDescent="0.2">
      <c r="A91" s="100" t="s">
        <v>335</v>
      </c>
      <c r="B91" s="103">
        <f t="shared" si="32"/>
        <v>43.48115</v>
      </c>
      <c r="C91" s="101">
        <v>180</v>
      </c>
      <c r="D91" s="101">
        <v>180</v>
      </c>
      <c r="E91" s="101">
        <v>16</v>
      </c>
      <c r="F91" s="101">
        <v>18</v>
      </c>
      <c r="G91" s="102">
        <f t="shared" si="51"/>
        <v>9</v>
      </c>
      <c r="H91" s="103">
        <v>55.39</v>
      </c>
      <c r="I91" s="102">
        <v>1682.43</v>
      </c>
      <c r="J91" s="103">
        <f t="shared" si="33"/>
        <v>129.61710323574729</v>
      </c>
      <c r="K91" s="103"/>
      <c r="L91" s="103">
        <f t="shared" si="34"/>
        <v>5.5112843585444393</v>
      </c>
      <c r="M91" s="103"/>
      <c r="N91" s="102">
        <f t="shared" si="46"/>
        <v>1682.43</v>
      </c>
      <c r="O91" s="103">
        <f t="shared" si="35"/>
        <v>129.61710323574729</v>
      </c>
      <c r="P91" s="103"/>
      <c r="Q91" s="103">
        <f t="shared" si="47"/>
        <v>5.5112843585444393</v>
      </c>
      <c r="R91" s="103"/>
      <c r="S91" s="102">
        <v>2673.07</v>
      </c>
      <c r="T91" s="130">
        <v>127.3</v>
      </c>
      <c r="U91" s="103">
        <f t="shared" si="48"/>
        <v>209.98193244304792</v>
      </c>
      <c r="V91" s="103">
        <f t="shared" si="49"/>
        <v>6.9468749833765759</v>
      </c>
      <c r="W91" s="103">
        <v>691.79</v>
      </c>
      <c r="X91" s="102">
        <v>71</v>
      </c>
      <c r="Y91" s="103">
        <f t="shared" si="39"/>
        <v>97.435211267605624</v>
      </c>
      <c r="Z91" s="105">
        <f t="shared" si="50"/>
        <v>3.534039972440874</v>
      </c>
      <c r="AA91" s="99">
        <f t="shared" si="36"/>
        <v>164.82318095911467</v>
      </c>
      <c r="AB91" s="99">
        <f t="shared" si="37"/>
        <v>229.60085783124859</v>
      </c>
      <c r="AE91" s="101">
        <v>90</v>
      </c>
      <c r="AF91" s="101">
        <v>27</v>
      </c>
      <c r="AG91" s="101">
        <f t="shared" si="52"/>
        <v>90</v>
      </c>
      <c r="AH91" s="101">
        <f t="shared" si="52"/>
        <v>27</v>
      </c>
      <c r="AI91" s="102">
        <v>50.2</v>
      </c>
      <c r="AJ91" s="102">
        <f t="shared" si="38"/>
        <v>50.2</v>
      </c>
      <c r="AK91" s="104"/>
    </row>
    <row r="92" spans="1:37" x14ac:dyDescent="0.2">
      <c r="A92" s="106" t="s">
        <v>336</v>
      </c>
      <c r="B92" s="109">
        <f t="shared" si="32"/>
        <v>48.599350000000001</v>
      </c>
      <c r="C92" s="107">
        <v>180</v>
      </c>
      <c r="D92" s="107">
        <v>180</v>
      </c>
      <c r="E92" s="107">
        <v>18</v>
      </c>
      <c r="F92" s="107">
        <v>18</v>
      </c>
      <c r="G92" s="108">
        <f t="shared" si="51"/>
        <v>9</v>
      </c>
      <c r="H92" s="109">
        <v>61.91</v>
      </c>
      <c r="I92" s="108">
        <v>1865.6</v>
      </c>
      <c r="J92" s="109">
        <f t="shared" si="33"/>
        <v>144.62015503875969</v>
      </c>
      <c r="K92" s="109"/>
      <c r="L92" s="109">
        <f t="shared" si="34"/>
        <v>5.4894503895259303</v>
      </c>
      <c r="M92" s="109"/>
      <c r="N92" s="108">
        <f t="shared" si="46"/>
        <v>1865.6</v>
      </c>
      <c r="O92" s="109">
        <f t="shared" si="35"/>
        <v>144.62015503875969</v>
      </c>
      <c r="P92" s="109"/>
      <c r="Q92" s="109">
        <f t="shared" si="47"/>
        <v>5.4894503895259303</v>
      </c>
      <c r="R92" s="109"/>
      <c r="S92" s="108">
        <v>2962.93</v>
      </c>
      <c r="T92" s="131">
        <v>127.3</v>
      </c>
      <c r="U92" s="109">
        <f t="shared" si="48"/>
        <v>232.75176747839748</v>
      </c>
      <c r="V92" s="109">
        <f t="shared" si="49"/>
        <v>6.9179957939565924</v>
      </c>
      <c r="W92" s="109">
        <v>768.28</v>
      </c>
      <c r="X92" s="108">
        <v>72.2</v>
      </c>
      <c r="Y92" s="109">
        <f t="shared" si="39"/>
        <v>106.40997229916896</v>
      </c>
      <c r="Z92" s="111">
        <f t="shared" si="50"/>
        <v>3.522730031910724</v>
      </c>
      <c r="AA92" s="99">
        <f t="shared" si="36"/>
        <v>163.09314165294231</v>
      </c>
      <c r="AB92" s="99">
        <f t="shared" si="37"/>
        <v>254.56512001656176</v>
      </c>
      <c r="AE92" s="107">
        <v>90</v>
      </c>
      <c r="AF92" s="107">
        <v>27</v>
      </c>
      <c r="AG92" s="107">
        <f t="shared" si="52"/>
        <v>90</v>
      </c>
      <c r="AH92" s="107">
        <f t="shared" si="52"/>
        <v>27</v>
      </c>
      <c r="AI92" s="108">
        <v>51</v>
      </c>
      <c r="AJ92" s="108">
        <f t="shared" si="38"/>
        <v>51</v>
      </c>
      <c r="AK92" s="110"/>
    </row>
    <row r="93" spans="1:37" x14ac:dyDescent="0.2">
      <c r="A93" s="112" t="s">
        <v>337</v>
      </c>
      <c r="B93" s="115">
        <f t="shared" si="32"/>
        <v>53.65475</v>
      </c>
      <c r="C93" s="113">
        <v>180</v>
      </c>
      <c r="D93" s="113">
        <v>180</v>
      </c>
      <c r="E93" s="113">
        <v>20</v>
      </c>
      <c r="F93" s="113">
        <v>18</v>
      </c>
      <c r="G93" s="114">
        <f t="shared" si="51"/>
        <v>9</v>
      </c>
      <c r="H93" s="115">
        <v>68.349999999999994</v>
      </c>
      <c r="I93" s="114">
        <v>2042.88</v>
      </c>
      <c r="J93" s="115">
        <f t="shared" si="33"/>
        <v>159.35101404056167</v>
      </c>
      <c r="K93" s="115"/>
      <c r="L93" s="115">
        <f t="shared" si="34"/>
        <v>5.4670389605656151</v>
      </c>
      <c r="M93" s="115"/>
      <c r="N93" s="114">
        <f t="shared" si="46"/>
        <v>2042.88</v>
      </c>
      <c r="O93" s="115">
        <f t="shared" si="35"/>
        <v>159.35101404056167</v>
      </c>
      <c r="P93" s="115"/>
      <c r="Q93" s="115">
        <f t="shared" si="47"/>
        <v>5.4670389605656151</v>
      </c>
      <c r="R93" s="115"/>
      <c r="S93" s="114">
        <v>3242.28</v>
      </c>
      <c r="T93" s="132">
        <v>127.3</v>
      </c>
      <c r="U93" s="115">
        <f t="shared" si="48"/>
        <v>254.6959937156324</v>
      </c>
      <c r="V93" s="115">
        <f t="shared" si="49"/>
        <v>6.8874109895511895</v>
      </c>
      <c r="W93" s="115">
        <v>843.48</v>
      </c>
      <c r="X93" s="114">
        <v>73.3</v>
      </c>
      <c r="Y93" s="115">
        <f t="shared" si="39"/>
        <v>115.07230559345156</v>
      </c>
      <c r="Z93" s="117">
        <f t="shared" si="50"/>
        <v>3.5129189933293681</v>
      </c>
      <c r="AA93" s="99">
        <f t="shared" si="36"/>
        <v>161.39486242839672</v>
      </c>
      <c r="AB93" s="99">
        <f t="shared" si="37"/>
        <v>278.83359311660763</v>
      </c>
      <c r="AE93" s="113">
        <v>90</v>
      </c>
      <c r="AF93" s="113">
        <v>27</v>
      </c>
      <c r="AG93" s="113">
        <f t="shared" si="52"/>
        <v>90</v>
      </c>
      <c r="AH93" s="113">
        <f t="shared" si="52"/>
        <v>27</v>
      </c>
      <c r="AI93" s="114">
        <v>51.8</v>
      </c>
      <c r="AJ93" s="114">
        <f t="shared" si="38"/>
        <v>51.8</v>
      </c>
      <c r="AK93" s="116"/>
    </row>
    <row r="94" spans="1:37" s="99" customFormat="1" x14ac:dyDescent="0.2">
      <c r="A94" s="93" t="s">
        <v>338</v>
      </c>
      <c r="B94" s="96">
        <f t="shared" si="32"/>
        <v>48.50515</v>
      </c>
      <c r="C94" s="94">
        <v>200</v>
      </c>
      <c r="D94" s="94">
        <v>200</v>
      </c>
      <c r="E94" s="94">
        <v>16</v>
      </c>
      <c r="F94" s="94">
        <v>18</v>
      </c>
      <c r="G94" s="95">
        <f t="shared" si="51"/>
        <v>9</v>
      </c>
      <c r="H94" s="96">
        <v>61.79</v>
      </c>
      <c r="I94" s="95">
        <v>2341.36</v>
      </c>
      <c r="J94" s="96">
        <f t="shared" si="33"/>
        <v>161.69613259668509</v>
      </c>
      <c r="K94" s="96"/>
      <c r="L94" s="96">
        <f t="shared" si="34"/>
        <v>6.1556653230063016</v>
      </c>
      <c r="M94" s="96"/>
      <c r="N94" s="95">
        <f t="shared" si="46"/>
        <v>2341.36</v>
      </c>
      <c r="O94" s="96">
        <f t="shared" si="35"/>
        <v>161.69613259668509</v>
      </c>
      <c r="P94" s="96"/>
      <c r="Q94" s="96">
        <f t="shared" si="47"/>
        <v>6.1556653230063016</v>
      </c>
      <c r="R94" s="96"/>
      <c r="S94" s="95">
        <v>3722.69</v>
      </c>
      <c r="T94" s="133">
        <v>141.4</v>
      </c>
      <c r="U94" s="96">
        <f t="shared" si="48"/>
        <v>263.27369165487977</v>
      </c>
      <c r="V94" s="96">
        <f t="shared" si="49"/>
        <v>7.7619231536944655</v>
      </c>
      <c r="W94" s="96">
        <v>960.03</v>
      </c>
      <c r="X94" s="95">
        <v>78.099999999999994</v>
      </c>
      <c r="Y94" s="96">
        <f t="shared" si="39"/>
        <v>122.92317541613316</v>
      </c>
      <c r="Z94" s="98">
        <f t="shared" si="50"/>
        <v>3.9416976157318717</v>
      </c>
      <c r="AA94" s="99">
        <f t="shared" si="36"/>
        <v>184.7408628632032</v>
      </c>
      <c r="AB94" s="99">
        <f t="shared" si="37"/>
        <v>286.73075786775684</v>
      </c>
      <c r="AE94" s="94">
        <v>100</v>
      </c>
      <c r="AF94" s="94">
        <v>27</v>
      </c>
      <c r="AG94" s="94">
        <f t="shared" si="52"/>
        <v>100</v>
      </c>
      <c r="AH94" s="94">
        <f t="shared" si="52"/>
        <v>27</v>
      </c>
      <c r="AI94" s="95">
        <v>55.2</v>
      </c>
      <c r="AJ94" s="95">
        <f t="shared" si="38"/>
        <v>55.2</v>
      </c>
      <c r="AK94" s="97"/>
    </row>
    <row r="95" spans="1:37" x14ac:dyDescent="0.2">
      <c r="A95" s="118" t="s">
        <v>339</v>
      </c>
      <c r="B95" s="121">
        <f t="shared" si="32"/>
        <v>54.251350000000002</v>
      </c>
      <c r="C95" s="119">
        <v>200</v>
      </c>
      <c r="D95" s="119">
        <v>200</v>
      </c>
      <c r="E95" s="119">
        <v>18</v>
      </c>
      <c r="F95" s="119">
        <v>18</v>
      </c>
      <c r="G95" s="120">
        <f t="shared" si="51"/>
        <v>9</v>
      </c>
      <c r="H95" s="121">
        <v>69.11</v>
      </c>
      <c r="I95" s="120">
        <v>2599.7399999999998</v>
      </c>
      <c r="J95" s="121">
        <f t="shared" si="33"/>
        <v>180.53749999999999</v>
      </c>
      <c r="K95" s="121"/>
      <c r="L95" s="121">
        <f t="shared" si="34"/>
        <v>6.1333042890397511</v>
      </c>
      <c r="M95" s="121"/>
      <c r="N95" s="120">
        <f t="shared" si="46"/>
        <v>2599.7399999999998</v>
      </c>
      <c r="O95" s="121">
        <f t="shared" si="35"/>
        <v>180.53749999999999</v>
      </c>
      <c r="P95" s="121"/>
      <c r="Q95" s="121">
        <f t="shared" si="47"/>
        <v>6.1333042890397511</v>
      </c>
      <c r="R95" s="121"/>
      <c r="S95" s="120">
        <v>4132.54</v>
      </c>
      <c r="T95" s="134">
        <v>141.4</v>
      </c>
      <c r="U95" s="121">
        <f t="shared" si="48"/>
        <v>292.25884016973123</v>
      </c>
      <c r="V95" s="121">
        <f t="shared" si="49"/>
        <v>7.7328233016622159</v>
      </c>
      <c r="W95" s="120">
        <v>1066.95</v>
      </c>
      <c r="X95" s="120">
        <v>79.3</v>
      </c>
      <c r="Y95" s="121">
        <f t="shared" si="39"/>
        <v>134.54602774274906</v>
      </c>
      <c r="Z95" s="123">
        <f t="shared" si="50"/>
        <v>3.9291769476617815</v>
      </c>
      <c r="AA95" s="99">
        <f t="shared" si="36"/>
        <v>182.98382748764809</v>
      </c>
      <c r="AB95" s="99">
        <f t="shared" si="37"/>
        <v>318.31707761791915</v>
      </c>
      <c r="AE95" s="119">
        <v>100</v>
      </c>
      <c r="AF95" s="119">
        <v>27</v>
      </c>
      <c r="AG95" s="119">
        <f t="shared" si="52"/>
        <v>100</v>
      </c>
      <c r="AH95" s="119">
        <f t="shared" si="52"/>
        <v>27</v>
      </c>
      <c r="AI95" s="120">
        <v>56</v>
      </c>
      <c r="AJ95" s="120">
        <f t="shared" si="38"/>
        <v>56</v>
      </c>
      <c r="AK95" s="122"/>
    </row>
    <row r="96" spans="1:37" x14ac:dyDescent="0.2">
      <c r="A96" s="118" t="s">
        <v>340</v>
      </c>
      <c r="B96" s="121">
        <f t="shared" si="32"/>
        <v>59.934750000000001</v>
      </c>
      <c r="C96" s="119">
        <v>200</v>
      </c>
      <c r="D96" s="119">
        <v>200</v>
      </c>
      <c r="E96" s="119">
        <v>20</v>
      </c>
      <c r="F96" s="119">
        <v>18</v>
      </c>
      <c r="G96" s="120">
        <f t="shared" si="51"/>
        <v>9</v>
      </c>
      <c r="H96" s="121">
        <v>76.349999999999994</v>
      </c>
      <c r="I96" s="120">
        <v>2850.58</v>
      </c>
      <c r="J96" s="121">
        <f t="shared" si="33"/>
        <v>199.06284916201119</v>
      </c>
      <c r="K96" s="121"/>
      <c r="L96" s="121">
        <f t="shared" si="34"/>
        <v>6.1102938470407482</v>
      </c>
      <c r="M96" s="121"/>
      <c r="N96" s="120">
        <f t="shared" si="46"/>
        <v>2850.58</v>
      </c>
      <c r="O96" s="121">
        <f t="shared" si="35"/>
        <v>199.06284916201119</v>
      </c>
      <c r="P96" s="121"/>
      <c r="Q96" s="121">
        <f t="shared" si="47"/>
        <v>6.1102938470407482</v>
      </c>
      <c r="R96" s="121"/>
      <c r="S96" s="120">
        <v>4529.12</v>
      </c>
      <c r="T96" s="134">
        <v>141.4</v>
      </c>
      <c r="U96" s="121">
        <f t="shared" si="48"/>
        <v>320.30551626591227</v>
      </c>
      <c r="V96" s="121">
        <f t="shared" si="49"/>
        <v>7.7019801160431483</v>
      </c>
      <c r="W96" s="120">
        <v>1172.05</v>
      </c>
      <c r="X96" s="120">
        <v>80.400000000000006</v>
      </c>
      <c r="Y96" s="121">
        <f t="shared" si="39"/>
        <v>145.7773631840796</v>
      </c>
      <c r="Z96" s="123">
        <f t="shared" si="50"/>
        <v>3.9180371440574029</v>
      </c>
      <c r="AA96" s="99">
        <f t="shared" si="36"/>
        <v>181.25537618555705</v>
      </c>
      <c r="AB96" s="99">
        <f t="shared" si="37"/>
        <v>349.09142530312619</v>
      </c>
      <c r="AE96" s="119">
        <v>100</v>
      </c>
      <c r="AF96" s="119">
        <v>27</v>
      </c>
      <c r="AG96" s="119">
        <f t="shared" si="52"/>
        <v>100</v>
      </c>
      <c r="AH96" s="119">
        <f t="shared" si="52"/>
        <v>27</v>
      </c>
      <c r="AI96" s="120">
        <v>56.8</v>
      </c>
      <c r="AJ96" s="120">
        <f t="shared" si="38"/>
        <v>56.8</v>
      </c>
      <c r="AK96" s="122"/>
    </row>
    <row r="97" spans="1:37" ht="13.5" thickBot="1" x14ac:dyDescent="0.25">
      <c r="A97" s="118" t="s">
        <v>341</v>
      </c>
      <c r="B97" s="121">
        <f t="shared" si="32"/>
        <v>71.113150000000005</v>
      </c>
      <c r="C97" s="119">
        <v>200</v>
      </c>
      <c r="D97" s="119">
        <v>200</v>
      </c>
      <c r="E97" s="119">
        <v>24</v>
      </c>
      <c r="F97" s="119">
        <v>18</v>
      </c>
      <c r="G97" s="120">
        <f t="shared" si="51"/>
        <v>9</v>
      </c>
      <c r="H97" s="121">
        <v>90.59</v>
      </c>
      <c r="I97" s="120">
        <v>3330.66</v>
      </c>
      <c r="J97" s="121">
        <f t="shared" si="33"/>
        <v>235.21610169491527</v>
      </c>
      <c r="K97" s="121"/>
      <c r="L97" s="121">
        <f t="shared" si="34"/>
        <v>6.0635228825504335</v>
      </c>
      <c r="M97" s="121"/>
      <c r="N97" s="120">
        <f t="shared" si="46"/>
        <v>3330.66</v>
      </c>
      <c r="O97" s="121">
        <f t="shared" si="35"/>
        <v>235.21610169491527</v>
      </c>
      <c r="P97" s="121"/>
      <c r="Q97" s="121">
        <f t="shared" si="47"/>
        <v>6.0635228825504335</v>
      </c>
      <c r="R97" s="121"/>
      <c r="S97" s="120">
        <v>5283.66</v>
      </c>
      <c r="T97" s="134">
        <v>141.4</v>
      </c>
      <c r="U97" s="121">
        <f t="shared" si="48"/>
        <v>373.66760961810462</v>
      </c>
      <c r="V97" s="121">
        <f t="shared" si="49"/>
        <v>7.6370793293113373</v>
      </c>
      <c r="W97" s="120">
        <v>1377.67</v>
      </c>
      <c r="X97" s="120">
        <v>82.6</v>
      </c>
      <c r="Y97" s="121">
        <f t="shared" si="39"/>
        <v>166.78813559322035</v>
      </c>
      <c r="Z97" s="123">
        <f t="shared" si="50"/>
        <v>3.8997114251814731</v>
      </c>
      <c r="AA97" s="99">
        <f t="shared" si="36"/>
        <v>177.88422580176729</v>
      </c>
      <c r="AB97" s="99">
        <f t="shared" si="37"/>
        <v>408.35903783708221</v>
      </c>
      <c r="AE97" s="119">
        <v>100</v>
      </c>
      <c r="AF97" s="119">
        <v>27</v>
      </c>
      <c r="AG97" s="119">
        <f t="shared" si="52"/>
        <v>100</v>
      </c>
      <c r="AH97" s="119">
        <f t="shared" si="52"/>
        <v>27</v>
      </c>
      <c r="AI97" s="120">
        <v>58.4</v>
      </c>
      <c r="AJ97" s="120">
        <f t="shared" si="38"/>
        <v>58.4</v>
      </c>
      <c r="AK97" s="122"/>
    </row>
    <row r="98" spans="1:37" ht="13.5" thickBot="1" x14ac:dyDescent="0.25">
      <c r="A98" s="92"/>
      <c r="B98" s="238"/>
      <c r="C98" s="237" t="s">
        <v>342</v>
      </c>
      <c r="D98" s="238"/>
      <c r="E98" s="238"/>
      <c r="F98" s="238"/>
      <c r="G98" s="238"/>
      <c r="H98" s="238"/>
      <c r="I98" s="238"/>
      <c r="J98" s="238"/>
      <c r="K98" s="238"/>
      <c r="L98" s="238"/>
      <c r="M98" s="238"/>
      <c r="N98" s="238"/>
      <c r="O98" s="238"/>
      <c r="P98" s="238"/>
      <c r="Q98" s="238"/>
      <c r="R98" s="238"/>
      <c r="S98" s="238"/>
      <c r="T98" s="238"/>
      <c r="U98" s="238"/>
      <c r="V98" s="238"/>
      <c r="W98" s="238"/>
      <c r="X98" s="238"/>
      <c r="Y98" s="238"/>
      <c r="Z98" s="239"/>
      <c r="AE98" s="238"/>
      <c r="AF98" s="238"/>
      <c r="AG98" s="238"/>
      <c r="AH98" s="238"/>
      <c r="AI98" s="238"/>
      <c r="AJ98" s="238"/>
      <c r="AK98" s="238"/>
    </row>
    <row r="99" spans="1:37" s="99" customFormat="1" x14ac:dyDescent="0.2">
      <c r="A99" s="135" t="s">
        <v>343</v>
      </c>
      <c r="B99" s="138">
        <f t="shared" ref="B99:B130" si="53">0.1*7.85*H99</f>
        <v>1.1225499999999999</v>
      </c>
      <c r="C99" s="136">
        <v>30</v>
      </c>
      <c r="D99" s="136">
        <v>20</v>
      </c>
      <c r="E99" s="137">
        <v>3</v>
      </c>
      <c r="F99" s="137">
        <v>4</v>
      </c>
      <c r="G99" s="137">
        <f>F99/2</f>
        <v>2</v>
      </c>
      <c r="H99" s="138">
        <v>1.43</v>
      </c>
      <c r="I99" s="138">
        <v>1.25</v>
      </c>
      <c r="J99" s="138">
        <f t="shared" ref="J99:J130" si="54">I99*10/($C99-$AI99)</f>
        <v>0.62189054726368154</v>
      </c>
      <c r="K99" s="138"/>
      <c r="L99" s="138">
        <f t="shared" ref="L99:L130" si="55">SQRT(I99/H99)</f>
        <v>0.93494699000845716</v>
      </c>
      <c r="M99" s="138"/>
      <c r="N99" s="138">
        <v>0.44</v>
      </c>
      <c r="O99" s="138">
        <f t="shared" ref="O99:O130" si="56">$N99*10/($D99-$AJ99)</f>
        <v>0.29333333333333333</v>
      </c>
      <c r="P99" s="138"/>
      <c r="Q99" s="138">
        <f t="shared" ref="Q99:Q130" si="57">SQRT(N99/H99)</f>
        <v>0.55470019622522915</v>
      </c>
      <c r="R99" s="138"/>
      <c r="S99" s="138">
        <v>1.43</v>
      </c>
      <c r="T99" s="138">
        <v>20.399999999999999</v>
      </c>
      <c r="U99" s="138">
        <f t="shared" si="48"/>
        <v>0.7009803921568627</v>
      </c>
      <c r="V99" s="138">
        <f t="shared" ref="V99:V130" si="58">SQRT(S99/H99)</f>
        <v>1</v>
      </c>
      <c r="W99" s="138">
        <v>0.25</v>
      </c>
      <c r="X99" s="138">
        <v>10.4</v>
      </c>
      <c r="Y99" s="138">
        <f t="shared" si="39"/>
        <v>0.24038461538461536</v>
      </c>
      <c r="Z99" s="140">
        <f t="shared" ref="Z99:Z130" si="59">SQRT(W99/H99)</f>
        <v>0.41812100500354543</v>
      </c>
      <c r="AA99" s="99">
        <f t="shared" ref="AA99:AA130" si="60">C99-(C99-E99)*E99/(2*D99)-(D99-2*E99)*E99/(2*D99)-PI()*E99*E99/(4*D99)-(1-PI()/4)*F99*F99/(2*D99)</f>
        <v>26.485730091830128</v>
      </c>
      <c r="AB99" s="99">
        <f t="shared" ref="AB99:AB130" si="61">((C99-2*E99)*(AA99-C99/2)*E99+((AA99-C99+E99)^2+(C99-AA99)^2)*(D99-E99)/2+PI()*E99*E99/4*AA99+(1-PI()/4)*F99*F99*((10-3*PI())/(12-3*PI())*F99+AA99-C99+E99))/1000</f>
        <v>1.1227150146223952</v>
      </c>
      <c r="AE99" s="136">
        <v>17</v>
      </c>
      <c r="AF99" s="136">
        <v>8</v>
      </c>
      <c r="AG99" s="136">
        <v>12</v>
      </c>
      <c r="AH99" s="136">
        <v>6</v>
      </c>
      <c r="AI99" s="137">
        <v>9.9</v>
      </c>
      <c r="AJ99" s="137">
        <v>5</v>
      </c>
      <c r="AK99" s="139">
        <v>0.43</v>
      </c>
    </row>
    <row r="100" spans="1:37" x14ac:dyDescent="0.2">
      <c r="A100" s="112" t="s">
        <v>344</v>
      </c>
      <c r="B100" s="115">
        <f t="shared" si="53"/>
        <v>1.4601000000000002</v>
      </c>
      <c r="C100" s="113">
        <v>30</v>
      </c>
      <c r="D100" s="113">
        <v>20</v>
      </c>
      <c r="E100" s="114">
        <v>4</v>
      </c>
      <c r="F100" s="114">
        <v>4</v>
      </c>
      <c r="G100" s="114">
        <f>F100/2</f>
        <v>2</v>
      </c>
      <c r="H100" s="115">
        <v>1.86</v>
      </c>
      <c r="I100" s="115">
        <v>1.59</v>
      </c>
      <c r="J100" s="115">
        <f t="shared" si="54"/>
        <v>0.80710659898477166</v>
      </c>
      <c r="K100" s="115"/>
      <c r="L100" s="115">
        <f t="shared" si="55"/>
        <v>0.92457488051396863</v>
      </c>
      <c r="M100" s="115"/>
      <c r="N100" s="115">
        <v>0.55000000000000004</v>
      </c>
      <c r="O100" s="115">
        <f t="shared" si="56"/>
        <v>0.37671232876712329</v>
      </c>
      <c r="P100" s="115"/>
      <c r="Q100" s="115">
        <f t="shared" si="57"/>
        <v>0.54378205627915199</v>
      </c>
      <c r="R100" s="115"/>
      <c r="S100" s="115">
        <v>1.81</v>
      </c>
      <c r="T100" s="115">
        <v>20.2</v>
      </c>
      <c r="U100" s="115">
        <f t="shared" si="48"/>
        <v>0.89603960396039617</v>
      </c>
      <c r="V100" s="115">
        <f t="shared" si="58"/>
        <v>0.98646757654263151</v>
      </c>
      <c r="W100" s="115">
        <v>0.33</v>
      </c>
      <c r="X100" s="115">
        <v>10.4</v>
      </c>
      <c r="Y100" s="115">
        <f t="shared" si="39"/>
        <v>0.31730769230769235</v>
      </c>
      <c r="Z100" s="117">
        <f t="shared" si="59"/>
        <v>0.42121176958711598</v>
      </c>
      <c r="AA100" s="99">
        <f t="shared" si="60"/>
        <v>25.48584073464102</v>
      </c>
      <c r="AB100" s="99">
        <f t="shared" si="61"/>
        <v>1.4094568722373477</v>
      </c>
      <c r="AE100" s="113">
        <v>17</v>
      </c>
      <c r="AF100" s="113">
        <v>8</v>
      </c>
      <c r="AG100" s="113">
        <v>12</v>
      </c>
      <c r="AH100" s="113">
        <v>6</v>
      </c>
      <c r="AI100" s="114">
        <v>10.3</v>
      </c>
      <c r="AJ100" s="114">
        <v>5.4</v>
      </c>
      <c r="AK100" s="116">
        <v>0.42199999999999999</v>
      </c>
    </row>
    <row r="101" spans="1:37" s="99" customFormat="1" x14ac:dyDescent="0.2">
      <c r="A101" s="93" t="s">
        <v>345</v>
      </c>
      <c r="B101" s="96">
        <f t="shared" si="53"/>
        <v>1.4287000000000001</v>
      </c>
      <c r="C101" s="94">
        <v>35</v>
      </c>
      <c r="D101" s="94">
        <v>20</v>
      </c>
      <c r="E101" s="95">
        <v>3.5</v>
      </c>
      <c r="F101" s="95">
        <v>4</v>
      </c>
      <c r="G101" s="95">
        <f t="shared" ref="G101:G153" si="62">F101/2</f>
        <v>2</v>
      </c>
      <c r="H101" s="96">
        <v>1.82</v>
      </c>
      <c r="I101" s="96">
        <v>2.2000000000000002</v>
      </c>
      <c r="J101" s="96">
        <f t="shared" si="54"/>
        <v>0.96491228070175439</v>
      </c>
      <c r="K101" s="96"/>
      <c r="L101" s="96">
        <f t="shared" si="55"/>
        <v>1.0994504121565505</v>
      </c>
      <c r="M101" s="96"/>
      <c r="N101" s="96">
        <v>0.52</v>
      </c>
      <c r="O101" s="96">
        <f t="shared" si="56"/>
        <v>0.34437086092715236</v>
      </c>
      <c r="P101" s="96"/>
      <c r="Q101" s="96">
        <f t="shared" si="57"/>
        <v>0.53452248382484879</v>
      </c>
      <c r="R101" s="96"/>
      <c r="S101" s="96">
        <v>2.4</v>
      </c>
      <c r="T101" s="96">
        <v>23.2</v>
      </c>
      <c r="U101" s="96">
        <f t="shared" si="48"/>
        <v>1.0344827586206897</v>
      </c>
      <c r="V101" s="96">
        <f t="shared" si="58"/>
        <v>1.1483385035264291</v>
      </c>
      <c r="W101" s="96">
        <v>0.32</v>
      </c>
      <c r="X101" s="96">
        <v>11.2</v>
      </c>
      <c r="Y101" s="96">
        <f t="shared" si="39"/>
        <v>0.28571428571428575</v>
      </c>
      <c r="Z101" s="98">
        <f t="shared" si="59"/>
        <v>0.41931393468876732</v>
      </c>
      <c r="AA101" s="99">
        <f t="shared" si="60"/>
        <v>30.539352890278042</v>
      </c>
      <c r="AB101" s="99">
        <f t="shared" si="61"/>
        <v>1.7432157138840925</v>
      </c>
      <c r="AE101" s="94">
        <v>20</v>
      </c>
      <c r="AF101" s="94">
        <v>10</v>
      </c>
      <c r="AG101" s="94">
        <v>12</v>
      </c>
      <c r="AH101" s="94">
        <v>6</v>
      </c>
      <c r="AI101" s="95">
        <v>12.2</v>
      </c>
      <c r="AJ101" s="95">
        <v>4.9000000000000004</v>
      </c>
      <c r="AK101" s="97">
        <v>0.32200000000000001</v>
      </c>
    </row>
    <row r="102" spans="1:37" x14ac:dyDescent="0.2">
      <c r="A102" s="118" t="s">
        <v>346</v>
      </c>
      <c r="B102" s="121">
        <f t="shared" si="53"/>
        <v>1.6171000000000002</v>
      </c>
      <c r="C102" s="119">
        <v>35</v>
      </c>
      <c r="D102" s="119">
        <v>20</v>
      </c>
      <c r="E102" s="120">
        <v>4</v>
      </c>
      <c r="F102" s="120">
        <v>4</v>
      </c>
      <c r="G102" s="120">
        <f t="shared" si="62"/>
        <v>2</v>
      </c>
      <c r="H102" s="121">
        <v>2.06</v>
      </c>
      <c r="I102" s="121">
        <v>2.46</v>
      </c>
      <c r="J102" s="121">
        <f t="shared" si="54"/>
        <v>1.0933333333333335</v>
      </c>
      <c r="K102" s="121"/>
      <c r="L102" s="121">
        <f t="shared" si="55"/>
        <v>1.0927830330315131</v>
      </c>
      <c r="M102" s="121"/>
      <c r="N102" s="121">
        <v>0.57999999999999996</v>
      </c>
      <c r="O102" s="121">
        <f t="shared" si="56"/>
        <v>0.38926174496644295</v>
      </c>
      <c r="P102" s="121"/>
      <c r="Q102" s="121">
        <f t="shared" si="57"/>
        <v>0.53061605522095956</v>
      </c>
      <c r="R102" s="121"/>
      <c r="S102" s="121">
        <v>2.68</v>
      </c>
      <c r="T102" s="121">
        <v>23</v>
      </c>
      <c r="U102" s="121">
        <f t="shared" si="48"/>
        <v>1.1652173913043478</v>
      </c>
      <c r="V102" s="121">
        <f t="shared" si="58"/>
        <v>1.1406011019573881</v>
      </c>
      <c r="W102" s="121">
        <v>0.36</v>
      </c>
      <c r="X102" s="121">
        <v>11.1</v>
      </c>
      <c r="Y102" s="121">
        <f t="shared" si="39"/>
        <v>0.32432432432432429</v>
      </c>
      <c r="Z102" s="123">
        <f t="shared" si="59"/>
        <v>0.41803980857497058</v>
      </c>
      <c r="AA102" s="99">
        <f t="shared" si="60"/>
        <v>29.98584073464102</v>
      </c>
      <c r="AB102" s="99">
        <f t="shared" si="61"/>
        <v>1.9342320882477078</v>
      </c>
      <c r="AE102" s="119">
        <v>20</v>
      </c>
      <c r="AF102" s="119">
        <v>10</v>
      </c>
      <c r="AG102" s="119">
        <v>12</v>
      </c>
      <c r="AH102" s="119">
        <v>6</v>
      </c>
      <c r="AI102" s="120">
        <v>12.5</v>
      </c>
      <c r="AJ102" s="120">
        <v>5.0999999999999996</v>
      </c>
      <c r="AK102" s="122">
        <v>0.318</v>
      </c>
    </row>
    <row r="103" spans="1:37" s="99" customFormat="1" x14ac:dyDescent="0.2">
      <c r="A103" s="100" t="s">
        <v>347</v>
      </c>
      <c r="B103" s="103">
        <f t="shared" si="53"/>
        <v>1.35805</v>
      </c>
      <c r="C103" s="101">
        <v>40</v>
      </c>
      <c r="D103" s="101">
        <v>20</v>
      </c>
      <c r="E103" s="102">
        <v>3</v>
      </c>
      <c r="F103" s="102">
        <v>4</v>
      </c>
      <c r="G103" s="102">
        <f t="shared" si="62"/>
        <v>2</v>
      </c>
      <c r="H103" s="103">
        <v>1.73</v>
      </c>
      <c r="I103" s="103">
        <v>2.8</v>
      </c>
      <c r="J103" s="103">
        <f t="shared" si="54"/>
        <v>1.0852713178294573</v>
      </c>
      <c r="K103" s="103"/>
      <c r="L103" s="103">
        <f t="shared" si="55"/>
        <v>1.2722016781259917</v>
      </c>
      <c r="M103" s="103"/>
      <c r="N103" s="103">
        <v>0.47</v>
      </c>
      <c r="O103" s="103">
        <f t="shared" si="56"/>
        <v>0.30128205128205127</v>
      </c>
      <c r="P103" s="103"/>
      <c r="Q103" s="103">
        <f t="shared" si="57"/>
        <v>0.52122576737728021</v>
      </c>
      <c r="R103" s="103"/>
      <c r="S103" s="103">
        <v>2.97</v>
      </c>
      <c r="T103" s="103">
        <v>26.1</v>
      </c>
      <c r="U103" s="103">
        <f t="shared" si="48"/>
        <v>1.1379310344827587</v>
      </c>
      <c r="V103" s="103">
        <f t="shared" si="58"/>
        <v>1.3102530312044109</v>
      </c>
      <c r="W103" s="103">
        <v>0.3</v>
      </c>
      <c r="X103" s="103">
        <v>11.9</v>
      </c>
      <c r="Y103" s="103">
        <f t="shared" si="39"/>
        <v>0.25210084033613445</v>
      </c>
      <c r="Z103" s="105">
        <f t="shared" si="59"/>
        <v>0.41642574923301445</v>
      </c>
      <c r="AA103" s="99">
        <f t="shared" si="60"/>
        <v>35.735730091830135</v>
      </c>
      <c r="AB103" s="99">
        <f t="shared" si="61"/>
        <v>2.0245224750992379</v>
      </c>
      <c r="AE103" s="101">
        <v>22</v>
      </c>
      <c r="AF103" s="101">
        <v>12</v>
      </c>
      <c r="AG103" s="101">
        <v>12</v>
      </c>
      <c r="AH103" s="101">
        <v>6</v>
      </c>
      <c r="AI103" s="102">
        <v>14.2</v>
      </c>
      <c r="AJ103" s="102">
        <v>4.4000000000000004</v>
      </c>
      <c r="AK103" s="104">
        <v>0.25800000000000001</v>
      </c>
    </row>
    <row r="104" spans="1:37" x14ac:dyDescent="0.2">
      <c r="A104" s="106" t="s">
        <v>348</v>
      </c>
      <c r="B104" s="109">
        <f t="shared" si="53"/>
        <v>1.7741</v>
      </c>
      <c r="C104" s="107">
        <v>40</v>
      </c>
      <c r="D104" s="107">
        <v>20</v>
      </c>
      <c r="E104" s="108">
        <v>4</v>
      </c>
      <c r="F104" s="108">
        <v>4</v>
      </c>
      <c r="G104" s="108">
        <f t="shared" si="62"/>
        <v>2</v>
      </c>
      <c r="H104" s="109">
        <v>2.2599999999999998</v>
      </c>
      <c r="I104" s="109">
        <v>3.59</v>
      </c>
      <c r="J104" s="109">
        <f t="shared" si="54"/>
        <v>1.4189723320158101</v>
      </c>
      <c r="K104" s="109"/>
      <c r="L104" s="109">
        <f t="shared" si="55"/>
        <v>1.2603553368876728</v>
      </c>
      <c r="M104" s="109"/>
      <c r="N104" s="109">
        <v>0.6</v>
      </c>
      <c r="O104" s="109">
        <f t="shared" si="56"/>
        <v>0.39473684210526316</v>
      </c>
      <c r="P104" s="109"/>
      <c r="Q104" s="109">
        <f t="shared" si="57"/>
        <v>0.51525403992954466</v>
      </c>
      <c r="R104" s="109"/>
      <c r="S104" s="109">
        <v>3.8</v>
      </c>
      <c r="T104" s="109">
        <v>25.8</v>
      </c>
      <c r="U104" s="109">
        <f t="shared" si="48"/>
        <v>1.4728682170542635</v>
      </c>
      <c r="V104" s="109">
        <f t="shared" si="58"/>
        <v>1.2966942311908154</v>
      </c>
      <c r="W104" s="109">
        <v>0.39</v>
      </c>
      <c r="X104" s="109">
        <v>11.7</v>
      </c>
      <c r="Y104" s="109">
        <f t="shared" si="39"/>
        <v>0.33333333333333337</v>
      </c>
      <c r="Z104" s="111">
        <f t="shared" si="59"/>
        <v>0.41541108757641021</v>
      </c>
      <c r="AA104" s="99">
        <f t="shared" si="60"/>
        <v>34.485840734641023</v>
      </c>
      <c r="AB104" s="99">
        <f t="shared" si="61"/>
        <v>2.5470073042580674</v>
      </c>
      <c r="AE104" s="107">
        <v>22</v>
      </c>
      <c r="AF104" s="107">
        <v>12</v>
      </c>
      <c r="AG104" s="107">
        <v>12</v>
      </c>
      <c r="AH104" s="107">
        <v>6</v>
      </c>
      <c r="AI104" s="108">
        <v>14.7</v>
      </c>
      <c r="AJ104" s="108">
        <v>4.8</v>
      </c>
      <c r="AK104" s="110">
        <v>0.252</v>
      </c>
    </row>
    <row r="105" spans="1:37" x14ac:dyDescent="0.2">
      <c r="A105" s="106" t="s">
        <v>349</v>
      </c>
      <c r="B105" s="109">
        <f t="shared" si="53"/>
        <v>1.9311</v>
      </c>
      <c r="C105" s="107">
        <v>40</v>
      </c>
      <c r="D105" s="107">
        <v>25</v>
      </c>
      <c r="E105" s="108">
        <v>4</v>
      </c>
      <c r="F105" s="108">
        <v>4</v>
      </c>
      <c r="G105" s="108">
        <f t="shared" si="62"/>
        <v>2</v>
      </c>
      <c r="H105" s="109">
        <v>2.46</v>
      </c>
      <c r="I105" s="109">
        <v>3.89</v>
      </c>
      <c r="J105" s="109">
        <f t="shared" si="54"/>
        <v>1.4734848484848486</v>
      </c>
      <c r="K105" s="109"/>
      <c r="L105" s="109">
        <f t="shared" si="55"/>
        <v>1.2574978381723485</v>
      </c>
      <c r="M105" s="109"/>
      <c r="N105" s="109">
        <v>1.1599999999999999</v>
      </c>
      <c r="O105" s="109">
        <f t="shared" si="56"/>
        <v>0.61702127659574468</v>
      </c>
      <c r="P105" s="109"/>
      <c r="Q105" s="109">
        <f t="shared" si="57"/>
        <v>0.68669113540743665</v>
      </c>
      <c r="R105" s="109"/>
      <c r="S105" s="109">
        <v>4.3600000000000003</v>
      </c>
      <c r="T105" s="109">
        <v>26.9</v>
      </c>
      <c r="U105" s="109">
        <f t="shared" si="48"/>
        <v>1.6208178438661711</v>
      </c>
      <c r="V105" s="109">
        <f t="shared" si="58"/>
        <v>1.331299261464993</v>
      </c>
      <c r="W105" s="109">
        <v>0.7</v>
      </c>
      <c r="X105" s="109">
        <v>13.5</v>
      </c>
      <c r="Y105" s="109">
        <f t="shared" si="39"/>
        <v>0.51851851851851849</v>
      </c>
      <c r="Z105" s="111">
        <f t="shared" si="59"/>
        <v>0.53343494966908123</v>
      </c>
      <c r="AA105" s="99">
        <f t="shared" si="60"/>
        <v>35.188672587712816</v>
      </c>
      <c r="AB105" s="99">
        <f t="shared" si="61"/>
        <v>2.6366008438240969</v>
      </c>
      <c r="AE105" s="107">
        <v>22</v>
      </c>
      <c r="AF105" s="107">
        <v>12</v>
      </c>
      <c r="AG105" s="107">
        <v>14</v>
      </c>
      <c r="AH105" s="107">
        <v>8</v>
      </c>
      <c r="AI105" s="108">
        <v>13.6</v>
      </c>
      <c r="AJ105" s="108">
        <v>6.2</v>
      </c>
      <c r="AK105" s="110">
        <v>0.38200000000000001</v>
      </c>
    </row>
    <row r="106" spans="1:37" x14ac:dyDescent="0.2">
      <c r="A106" s="112" t="s">
        <v>350</v>
      </c>
      <c r="B106" s="115">
        <f t="shared" si="53"/>
        <v>2.3785499999999997</v>
      </c>
      <c r="C106" s="113">
        <v>40</v>
      </c>
      <c r="D106" s="113">
        <v>25</v>
      </c>
      <c r="E106" s="114">
        <v>5</v>
      </c>
      <c r="F106" s="114">
        <v>5</v>
      </c>
      <c r="G106" s="114">
        <f t="shared" si="62"/>
        <v>2.5</v>
      </c>
      <c r="H106" s="115">
        <v>3.03</v>
      </c>
      <c r="I106" s="115">
        <v>4.66</v>
      </c>
      <c r="J106" s="115">
        <f t="shared" si="54"/>
        <v>1.7923076923076924</v>
      </c>
      <c r="K106" s="115"/>
      <c r="L106" s="115">
        <f t="shared" si="55"/>
        <v>1.2401426512218416</v>
      </c>
      <c r="M106" s="115"/>
      <c r="N106" s="115">
        <v>1.37</v>
      </c>
      <c r="O106" s="115">
        <f t="shared" si="56"/>
        <v>0.74456521739130443</v>
      </c>
      <c r="P106" s="115"/>
      <c r="Q106" s="115">
        <f t="shared" si="57"/>
        <v>0.67241744067316711</v>
      </c>
      <c r="R106" s="115"/>
      <c r="S106" s="115">
        <v>5.2</v>
      </c>
      <c r="T106" s="115">
        <v>26.7</v>
      </c>
      <c r="U106" s="115">
        <f t="shared" si="48"/>
        <v>1.9475655430711611</v>
      </c>
      <c r="V106" s="115">
        <f t="shared" si="58"/>
        <v>1.3100273345093667</v>
      </c>
      <c r="W106" s="115">
        <v>0.84</v>
      </c>
      <c r="X106" s="115">
        <v>13.4</v>
      </c>
      <c r="Y106" s="115">
        <f t="shared" si="39"/>
        <v>0.62686567164179108</v>
      </c>
      <c r="Z106" s="117">
        <f t="shared" si="59"/>
        <v>0.52652419011122109</v>
      </c>
      <c r="AA106" s="99">
        <f t="shared" si="60"/>
        <v>34.107300918301277</v>
      </c>
      <c r="AB106" s="99">
        <f t="shared" si="61"/>
        <v>3.1422010910966636</v>
      </c>
      <c r="AE106" s="113">
        <v>22</v>
      </c>
      <c r="AF106" s="113">
        <v>12</v>
      </c>
      <c r="AG106" s="113">
        <v>14</v>
      </c>
      <c r="AH106" s="113">
        <v>8</v>
      </c>
      <c r="AI106" s="114">
        <v>14</v>
      </c>
      <c r="AJ106" s="114">
        <v>6.6</v>
      </c>
      <c r="AK106" s="116">
        <v>0.374</v>
      </c>
    </row>
    <row r="107" spans="1:37" s="99" customFormat="1" x14ac:dyDescent="0.2">
      <c r="A107" s="93" t="s">
        <v>351</v>
      </c>
      <c r="B107" s="96">
        <f t="shared" si="53"/>
        <v>2.2450999999999999</v>
      </c>
      <c r="C107" s="94">
        <v>45</v>
      </c>
      <c r="D107" s="94">
        <v>30</v>
      </c>
      <c r="E107" s="95">
        <v>4</v>
      </c>
      <c r="F107" s="95">
        <v>4</v>
      </c>
      <c r="G107" s="95">
        <f t="shared" si="62"/>
        <v>2</v>
      </c>
      <c r="H107" s="96">
        <v>2.86</v>
      </c>
      <c r="I107" s="96">
        <v>5.77</v>
      </c>
      <c r="J107" s="96">
        <f t="shared" si="54"/>
        <v>1.9105960264900661</v>
      </c>
      <c r="K107" s="96"/>
      <c r="L107" s="96">
        <f t="shared" si="55"/>
        <v>1.4203811169832263</v>
      </c>
      <c r="M107" s="96"/>
      <c r="N107" s="96">
        <v>2.0499999999999998</v>
      </c>
      <c r="O107" s="96">
        <f t="shared" si="56"/>
        <v>0.90707964601769908</v>
      </c>
      <c r="P107" s="96"/>
      <c r="Q107" s="96">
        <f t="shared" si="57"/>
        <v>0.84663050782688953</v>
      </c>
      <c r="R107" s="96"/>
      <c r="S107" s="96">
        <v>6.64</v>
      </c>
      <c r="T107" s="96">
        <v>30.6</v>
      </c>
      <c r="U107" s="96">
        <f t="shared" si="48"/>
        <v>2.1699346405228757</v>
      </c>
      <c r="V107" s="96">
        <f t="shared" si="58"/>
        <v>1.5237054576519444</v>
      </c>
      <c r="W107" s="96">
        <v>1.18</v>
      </c>
      <c r="X107" s="96">
        <v>15.7</v>
      </c>
      <c r="Y107" s="96">
        <f t="shared" si="39"/>
        <v>0.75159235668789803</v>
      </c>
      <c r="Z107" s="98">
        <f t="shared" si="59"/>
        <v>0.64232967593550638</v>
      </c>
      <c r="AA107" s="99">
        <f t="shared" si="60"/>
        <v>40.323893823094011</v>
      </c>
      <c r="AB107" s="99">
        <f t="shared" si="61"/>
        <v>3.4356077840739747</v>
      </c>
      <c r="AE107" s="94">
        <v>27</v>
      </c>
      <c r="AF107" s="94">
        <v>12</v>
      </c>
      <c r="AG107" s="94">
        <v>17</v>
      </c>
      <c r="AH107" s="94">
        <v>8</v>
      </c>
      <c r="AI107" s="95">
        <v>14.8</v>
      </c>
      <c r="AJ107" s="95">
        <v>7.4</v>
      </c>
      <c r="AK107" s="97">
        <v>0.436</v>
      </c>
    </row>
    <row r="108" spans="1:37" x14ac:dyDescent="0.2">
      <c r="A108" s="118" t="s">
        <v>352</v>
      </c>
      <c r="B108" s="121">
        <f t="shared" si="53"/>
        <v>2.7710499999999998</v>
      </c>
      <c r="C108" s="119">
        <v>45</v>
      </c>
      <c r="D108" s="119">
        <v>30</v>
      </c>
      <c r="E108" s="120">
        <v>5</v>
      </c>
      <c r="F108" s="120">
        <v>5</v>
      </c>
      <c r="G108" s="120">
        <f t="shared" si="62"/>
        <v>2.5</v>
      </c>
      <c r="H108" s="121">
        <v>3.53</v>
      </c>
      <c r="I108" s="121">
        <v>6.95</v>
      </c>
      <c r="J108" s="121">
        <f t="shared" si="54"/>
        <v>2.3244147157190636</v>
      </c>
      <c r="K108" s="121"/>
      <c r="L108" s="121">
        <f t="shared" si="55"/>
        <v>1.4031530661022629</v>
      </c>
      <c r="M108" s="121"/>
      <c r="N108" s="121">
        <v>2.44</v>
      </c>
      <c r="O108" s="121">
        <f t="shared" si="56"/>
        <v>1.099099099099099</v>
      </c>
      <c r="P108" s="121"/>
      <c r="Q108" s="121">
        <f t="shared" si="57"/>
        <v>0.83139529124936395</v>
      </c>
      <c r="R108" s="121"/>
      <c r="S108" s="121">
        <v>7.97</v>
      </c>
      <c r="T108" s="121">
        <v>30.5</v>
      </c>
      <c r="U108" s="121">
        <f t="shared" si="48"/>
        <v>2.6131147540983606</v>
      </c>
      <c r="V108" s="121">
        <f t="shared" si="58"/>
        <v>1.5025945455351402</v>
      </c>
      <c r="W108" s="121">
        <v>1.42</v>
      </c>
      <c r="X108" s="121">
        <v>15.6</v>
      </c>
      <c r="Y108" s="121">
        <f t="shared" si="39"/>
        <v>0.91025641025641024</v>
      </c>
      <c r="Z108" s="123">
        <f t="shared" si="59"/>
        <v>0.63424466016817305</v>
      </c>
      <c r="AA108" s="99">
        <f t="shared" si="60"/>
        <v>39.256084098584395</v>
      </c>
      <c r="AB108" s="99">
        <f t="shared" si="61"/>
        <v>4.1244316387427382</v>
      </c>
      <c r="AE108" s="119">
        <v>27</v>
      </c>
      <c r="AF108" s="119">
        <v>12</v>
      </c>
      <c r="AG108" s="119">
        <v>17</v>
      </c>
      <c r="AH108" s="119">
        <v>8</v>
      </c>
      <c r="AI108" s="120">
        <v>15.1</v>
      </c>
      <c r="AJ108" s="120">
        <v>7.8</v>
      </c>
      <c r="AK108" s="122">
        <v>0.42899999999999999</v>
      </c>
    </row>
    <row r="109" spans="1:37" s="99" customFormat="1" x14ac:dyDescent="0.2">
      <c r="A109" s="100" t="s">
        <v>353</v>
      </c>
      <c r="B109" s="103">
        <f t="shared" si="53"/>
        <v>2.4099499999999998</v>
      </c>
      <c r="C109" s="101">
        <v>50</v>
      </c>
      <c r="D109" s="101">
        <v>30</v>
      </c>
      <c r="E109" s="102">
        <v>4</v>
      </c>
      <c r="F109" s="102">
        <v>5</v>
      </c>
      <c r="G109" s="102">
        <f t="shared" si="62"/>
        <v>2.5</v>
      </c>
      <c r="H109" s="103">
        <v>3.07</v>
      </c>
      <c r="I109" s="103">
        <v>7.71</v>
      </c>
      <c r="J109" s="103">
        <f t="shared" si="54"/>
        <v>2.3222891566265056</v>
      </c>
      <c r="K109" s="103"/>
      <c r="L109" s="103">
        <f t="shared" si="55"/>
        <v>1.5847399318076762</v>
      </c>
      <c r="M109" s="103"/>
      <c r="N109" s="103">
        <v>2.09</v>
      </c>
      <c r="O109" s="103">
        <f t="shared" si="56"/>
        <v>0.90869565217391302</v>
      </c>
      <c r="P109" s="103"/>
      <c r="Q109" s="103">
        <f t="shared" si="57"/>
        <v>0.82509499995918933</v>
      </c>
      <c r="R109" s="103"/>
      <c r="S109" s="103">
        <v>8.5399999999999991</v>
      </c>
      <c r="T109" s="103">
        <v>33.6</v>
      </c>
      <c r="U109" s="103">
        <f t="shared" si="48"/>
        <v>2.5416666666666665</v>
      </c>
      <c r="V109" s="103">
        <f t="shared" si="58"/>
        <v>1.6678605929917294</v>
      </c>
      <c r="W109" s="103">
        <v>1.26</v>
      </c>
      <c r="X109" s="103">
        <v>16.600000000000001</v>
      </c>
      <c r="Y109" s="103">
        <f t="shared" si="39"/>
        <v>0.75903614457831314</v>
      </c>
      <c r="Z109" s="105">
        <f t="shared" si="59"/>
        <v>0.64064299946907222</v>
      </c>
      <c r="AA109" s="99">
        <f t="shared" si="60"/>
        <v>44.958370214270289</v>
      </c>
      <c r="AB109" s="99">
        <f t="shared" si="61"/>
        <v>4.2629125485319355</v>
      </c>
      <c r="AE109" s="101">
        <v>28</v>
      </c>
      <c r="AF109" s="101">
        <v>14</v>
      </c>
      <c r="AG109" s="101">
        <v>17</v>
      </c>
      <c r="AH109" s="101">
        <v>8</v>
      </c>
      <c r="AI109" s="102">
        <v>16.8</v>
      </c>
      <c r="AJ109" s="102">
        <v>7</v>
      </c>
      <c r="AK109" s="104">
        <v>0.35899999999999999</v>
      </c>
    </row>
    <row r="110" spans="1:37" x14ac:dyDescent="0.2">
      <c r="A110" s="106" t="s">
        <v>354</v>
      </c>
      <c r="B110" s="109">
        <f t="shared" si="53"/>
        <v>2.9672999999999998</v>
      </c>
      <c r="C110" s="107">
        <v>50</v>
      </c>
      <c r="D110" s="107">
        <v>30</v>
      </c>
      <c r="E110" s="108">
        <v>5</v>
      </c>
      <c r="F110" s="108">
        <v>5</v>
      </c>
      <c r="G110" s="108">
        <f t="shared" si="62"/>
        <v>2.5</v>
      </c>
      <c r="H110" s="109">
        <v>3.78</v>
      </c>
      <c r="I110" s="109">
        <v>9.36</v>
      </c>
      <c r="J110" s="109">
        <f t="shared" si="54"/>
        <v>2.8623853211009171</v>
      </c>
      <c r="K110" s="109"/>
      <c r="L110" s="109">
        <f t="shared" si="55"/>
        <v>1.5735915849388864</v>
      </c>
      <c r="M110" s="109"/>
      <c r="N110" s="109">
        <v>2.5099999999999998</v>
      </c>
      <c r="O110" s="109">
        <f t="shared" si="56"/>
        <v>1.1106194690265485</v>
      </c>
      <c r="P110" s="109"/>
      <c r="Q110" s="109">
        <f t="shared" si="57"/>
        <v>0.81487493765679408</v>
      </c>
      <c r="R110" s="109"/>
      <c r="S110" s="109">
        <v>10.34</v>
      </c>
      <c r="T110" s="109">
        <v>33.299999999999997</v>
      </c>
      <c r="U110" s="109">
        <f t="shared" si="48"/>
        <v>3.1051051051051055</v>
      </c>
      <c r="V110" s="109">
        <f t="shared" si="58"/>
        <v>1.653919506943955</v>
      </c>
      <c r="W110" s="109">
        <v>1.53</v>
      </c>
      <c r="X110" s="109">
        <v>16.5</v>
      </c>
      <c r="Y110" s="109">
        <f t="shared" si="39"/>
        <v>0.92727272727272736</v>
      </c>
      <c r="Z110" s="111">
        <f t="shared" si="59"/>
        <v>0.63620901028035182</v>
      </c>
      <c r="AA110" s="99">
        <f t="shared" si="60"/>
        <v>43.839417431917731</v>
      </c>
      <c r="AB110" s="99">
        <f t="shared" si="61"/>
        <v>5.1196803706892977</v>
      </c>
      <c r="AE110" s="107">
        <v>28</v>
      </c>
      <c r="AF110" s="107">
        <v>14</v>
      </c>
      <c r="AG110" s="107">
        <v>17</v>
      </c>
      <c r="AH110" s="107">
        <v>8</v>
      </c>
      <c r="AI110" s="108">
        <v>17.3</v>
      </c>
      <c r="AJ110" s="108">
        <v>7.4</v>
      </c>
      <c r="AK110" s="110">
        <v>0.35399999999999998</v>
      </c>
    </row>
    <row r="111" spans="1:37" x14ac:dyDescent="0.2">
      <c r="A111" s="106" t="s">
        <v>355</v>
      </c>
      <c r="B111" s="109">
        <f t="shared" si="53"/>
        <v>3.5168000000000004</v>
      </c>
      <c r="C111" s="107">
        <v>50</v>
      </c>
      <c r="D111" s="107">
        <v>30</v>
      </c>
      <c r="E111" s="108">
        <v>6</v>
      </c>
      <c r="F111" s="108">
        <v>6</v>
      </c>
      <c r="G111" s="108">
        <f t="shared" si="62"/>
        <v>3</v>
      </c>
      <c r="H111" s="109">
        <v>4.4800000000000004</v>
      </c>
      <c r="I111" s="109">
        <v>10.86</v>
      </c>
      <c r="J111" s="109">
        <f t="shared" si="54"/>
        <v>3.3518518518518516</v>
      </c>
      <c r="K111" s="109"/>
      <c r="L111" s="109">
        <f t="shared" si="55"/>
        <v>1.5569544446955224</v>
      </c>
      <c r="M111" s="109"/>
      <c r="N111" s="109">
        <v>2.88</v>
      </c>
      <c r="O111" s="109">
        <f t="shared" si="56"/>
        <v>1.2972972972972971</v>
      </c>
      <c r="P111" s="109"/>
      <c r="Q111" s="109">
        <f t="shared" si="57"/>
        <v>0.80178372573727308</v>
      </c>
      <c r="R111" s="109"/>
      <c r="S111" s="109">
        <v>11.96</v>
      </c>
      <c r="T111" s="109">
        <v>33.200000000000003</v>
      </c>
      <c r="U111" s="109">
        <f t="shared" si="48"/>
        <v>3.6024096385542168</v>
      </c>
      <c r="V111" s="109">
        <f t="shared" si="58"/>
        <v>1.6339041762425535</v>
      </c>
      <c r="W111" s="109">
        <v>1.79</v>
      </c>
      <c r="X111" s="109">
        <v>16.399999999999999</v>
      </c>
      <c r="Y111" s="109">
        <f t="shared" si="39"/>
        <v>1.0914634146341464</v>
      </c>
      <c r="Z111" s="111">
        <f t="shared" si="59"/>
        <v>0.63210250072956631</v>
      </c>
      <c r="AA111" s="99">
        <f t="shared" si="60"/>
        <v>42.728761101961538</v>
      </c>
      <c r="AB111" s="99">
        <f t="shared" si="61"/>
        <v>5.904661179824358</v>
      </c>
      <c r="AE111" s="107">
        <v>28</v>
      </c>
      <c r="AF111" s="107">
        <v>14</v>
      </c>
      <c r="AG111" s="107">
        <v>17</v>
      </c>
      <c r="AH111" s="107">
        <v>8</v>
      </c>
      <c r="AI111" s="108">
        <v>17.600000000000001</v>
      </c>
      <c r="AJ111" s="108">
        <v>7.8</v>
      </c>
      <c r="AK111" s="110">
        <v>0.34699999999999998</v>
      </c>
    </row>
    <row r="112" spans="1:37" x14ac:dyDescent="0.2">
      <c r="A112" s="106" t="s">
        <v>356</v>
      </c>
      <c r="B112" s="109">
        <f t="shared" si="53"/>
        <v>3.3598000000000003</v>
      </c>
      <c r="C112" s="107">
        <v>50</v>
      </c>
      <c r="D112" s="107">
        <v>40</v>
      </c>
      <c r="E112" s="108">
        <v>5</v>
      </c>
      <c r="F112" s="108">
        <v>5</v>
      </c>
      <c r="G112" s="108">
        <f t="shared" si="62"/>
        <v>2.5</v>
      </c>
      <c r="H112" s="109">
        <v>4.28</v>
      </c>
      <c r="I112" s="109">
        <v>10.34</v>
      </c>
      <c r="J112" s="109">
        <f t="shared" si="54"/>
        <v>2.9971014492753625</v>
      </c>
      <c r="K112" s="109"/>
      <c r="L112" s="109">
        <f t="shared" si="55"/>
        <v>1.554312661747079</v>
      </c>
      <c r="M112" s="109"/>
      <c r="N112" s="109">
        <v>5.85</v>
      </c>
      <c r="O112" s="109">
        <f t="shared" si="56"/>
        <v>1.989795918367347</v>
      </c>
      <c r="P112" s="109"/>
      <c r="Q112" s="109">
        <f t="shared" si="57"/>
        <v>1.1691118124057005</v>
      </c>
      <c r="R112" s="109"/>
      <c r="S112" s="109">
        <v>13.2</v>
      </c>
      <c r="T112" s="109">
        <v>34.799999999999997</v>
      </c>
      <c r="U112" s="109">
        <f t="shared" si="48"/>
        <v>3.7931034482758625</v>
      </c>
      <c r="V112" s="109">
        <f t="shared" si="58"/>
        <v>1.7561640440268416</v>
      </c>
      <c r="W112" s="109">
        <v>2.99</v>
      </c>
      <c r="X112" s="109">
        <v>18.399999999999999</v>
      </c>
      <c r="Y112" s="109">
        <f t="shared" si="39"/>
        <v>1.6250000000000002</v>
      </c>
      <c r="Z112" s="111">
        <f t="shared" si="59"/>
        <v>0.83582182960312867</v>
      </c>
      <c r="AA112" s="99">
        <f t="shared" si="60"/>
        <v>44.754563073938293</v>
      </c>
      <c r="AB112" s="99">
        <f t="shared" si="61"/>
        <v>5.3169013587246416</v>
      </c>
      <c r="AE112" s="107">
        <v>28</v>
      </c>
      <c r="AF112" s="107">
        <v>14</v>
      </c>
      <c r="AG112" s="107">
        <v>22</v>
      </c>
      <c r="AH112" s="107">
        <v>12</v>
      </c>
      <c r="AI112" s="108">
        <v>15.5</v>
      </c>
      <c r="AJ112" s="108">
        <v>10.6</v>
      </c>
      <c r="AK112" s="110">
        <v>0.624</v>
      </c>
    </row>
    <row r="113" spans="1:37" x14ac:dyDescent="0.2">
      <c r="A113" s="112" t="s">
        <v>357</v>
      </c>
      <c r="B113" s="115">
        <f t="shared" si="53"/>
        <v>3.9878</v>
      </c>
      <c r="C113" s="113">
        <v>50</v>
      </c>
      <c r="D113" s="113">
        <v>40</v>
      </c>
      <c r="E113" s="114">
        <v>6</v>
      </c>
      <c r="F113" s="114">
        <v>6</v>
      </c>
      <c r="G113" s="114">
        <f t="shared" si="62"/>
        <v>3</v>
      </c>
      <c r="H113" s="115">
        <v>5.08</v>
      </c>
      <c r="I113" s="115">
        <v>12.01</v>
      </c>
      <c r="J113" s="115">
        <f t="shared" si="54"/>
        <v>3.5219941348973602</v>
      </c>
      <c r="K113" s="115"/>
      <c r="L113" s="115">
        <f t="shared" si="55"/>
        <v>1.5375868197752141</v>
      </c>
      <c r="M113" s="115"/>
      <c r="N113" s="115">
        <v>6.76</v>
      </c>
      <c r="O113" s="115">
        <f t="shared" si="56"/>
        <v>2.3310344827586205</v>
      </c>
      <c r="P113" s="115"/>
      <c r="Q113" s="115">
        <f t="shared" si="57"/>
        <v>1.1535634622409479</v>
      </c>
      <c r="R113" s="115"/>
      <c r="S113" s="115">
        <v>15.27</v>
      </c>
      <c r="T113" s="115">
        <v>34.799999999999997</v>
      </c>
      <c r="U113" s="115">
        <f t="shared" si="48"/>
        <v>4.3879310344827589</v>
      </c>
      <c r="V113" s="115">
        <f t="shared" si="58"/>
        <v>1.7337547438467251</v>
      </c>
      <c r="W113" s="115">
        <v>3.5</v>
      </c>
      <c r="X113" s="115">
        <v>18.399999999999999</v>
      </c>
      <c r="Y113" s="115">
        <f t="shared" si="39"/>
        <v>1.9021739130434785</v>
      </c>
      <c r="Z113" s="117">
        <f t="shared" si="59"/>
        <v>0.83004600953968566</v>
      </c>
      <c r="AA113" s="99">
        <f t="shared" si="60"/>
        <v>43.796570826471147</v>
      </c>
      <c r="AB113" s="99">
        <f t="shared" si="61"/>
        <v>6.187625973689828</v>
      </c>
      <c r="AE113" s="113">
        <v>28</v>
      </c>
      <c r="AF113" s="113">
        <v>14</v>
      </c>
      <c r="AG113" s="113">
        <v>22</v>
      </c>
      <c r="AH113" s="113">
        <v>12</v>
      </c>
      <c r="AI113" s="114">
        <v>15.9</v>
      </c>
      <c r="AJ113" s="114">
        <v>11</v>
      </c>
      <c r="AK113" s="116">
        <v>0.61899999999999999</v>
      </c>
    </row>
    <row r="114" spans="1:37" s="99" customFormat="1" x14ac:dyDescent="0.2">
      <c r="A114" s="93" t="s">
        <v>358</v>
      </c>
      <c r="B114" s="96">
        <f t="shared" si="53"/>
        <v>3.3598000000000003</v>
      </c>
      <c r="C114" s="94">
        <v>60</v>
      </c>
      <c r="D114" s="94">
        <v>30</v>
      </c>
      <c r="E114" s="95">
        <v>5</v>
      </c>
      <c r="F114" s="95">
        <v>5</v>
      </c>
      <c r="G114" s="95">
        <f t="shared" si="62"/>
        <v>2.5</v>
      </c>
      <c r="H114" s="96">
        <v>4.28</v>
      </c>
      <c r="I114" s="96">
        <v>15.6</v>
      </c>
      <c r="J114" s="96">
        <f t="shared" si="54"/>
        <v>4.073107049608355</v>
      </c>
      <c r="K114" s="96"/>
      <c r="L114" s="96">
        <f t="shared" si="55"/>
        <v>1.909151595102943</v>
      </c>
      <c r="M114" s="96"/>
      <c r="N114" s="96">
        <v>2.63</v>
      </c>
      <c r="O114" s="96">
        <f t="shared" si="56"/>
        <v>1.1336206896551724</v>
      </c>
      <c r="P114" s="96"/>
      <c r="Q114" s="96">
        <f t="shared" si="57"/>
        <v>0.78389156221279177</v>
      </c>
      <c r="R114" s="96"/>
      <c r="S114" s="96">
        <v>16.52</v>
      </c>
      <c r="T114" s="96">
        <v>38.799999999999997</v>
      </c>
      <c r="U114" s="96">
        <f t="shared" si="48"/>
        <v>4.2577319587628866</v>
      </c>
      <c r="V114" s="96">
        <f t="shared" si="58"/>
        <v>1.9646407010219831</v>
      </c>
      <c r="W114" s="96">
        <v>1.71</v>
      </c>
      <c r="X114" s="96">
        <v>17.7</v>
      </c>
      <c r="Y114" s="96">
        <f t="shared" si="39"/>
        <v>0.96610169491525433</v>
      </c>
      <c r="Z114" s="98">
        <f t="shared" si="59"/>
        <v>0.6320859991175044</v>
      </c>
      <c r="AA114" s="99">
        <f t="shared" si="60"/>
        <v>53.006084098584395</v>
      </c>
      <c r="AB114" s="99">
        <f t="shared" si="61"/>
        <v>7.4487195012490863</v>
      </c>
      <c r="AE114" s="94">
        <v>35</v>
      </c>
      <c r="AF114" s="94">
        <v>16</v>
      </c>
      <c r="AG114" s="94">
        <v>17</v>
      </c>
      <c r="AH114" s="94">
        <v>8</v>
      </c>
      <c r="AI114" s="95">
        <v>21.7</v>
      </c>
      <c r="AJ114" s="95">
        <v>6.8</v>
      </c>
      <c r="AK114" s="97">
        <v>0.25800000000000001</v>
      </c>
    </row>
    <row r="115" spans="1:37" x14ac:dyDescent="0.2">
      <c r="A115" s="118" t="s">
        <v>359</v>
      </c>
      <c r="B115" s="121">
        <f t="shared" si="53"/>
        <v>3.7601500000000003</v>
      </c>
      <c r="C115" s="119">
        <v>60</v>
      </c>
      <c r="D115" s="119">
        <v>40</v>
      </c>
      <c r="E115" s="120">
        <v>5</v>
      </c>
      <c r="F115" s="120">
        <v>6</v>
      </c>
      <c r="G115" s="120">
        <f t="shared" si="62"/>
        <v>3</v>
      </c>
      <c r="H115" s="121">
        <v>4.79</v>
      </c>
      <c r="I115" s="121">
        <v>17.190000000000001</v>
      </c>
      <c r="J115" s="121">
        <f t="shared" si="54"/>
        <v>4.2549504950495054</v>
      </c>
      <c r="K115" s="121"/>
      <c r="L115" s="121">
        <f t="shared" si="55"/>
        <v>1.8943934421259849</v>
      </c>
      <c r="M115" s="121"/>
      <c r="N115" s="121">
        <v>6.11</v>
      </c>
      <c r="O115" s="121">
        <f t="shared" si="56"/>
        <v>2.0165016501650164</v>
      </c>
      <c r="P115" s="121"/>
      <c r="Q115" s="121">
        <f t="shared" si="57"/>
        <v>1.1294131718440619</v>
      </c>
      <c r="R115" s="121"/>
      <c r="S115" s="121">
        <v>19.8</v>
      </c>
      <c r="T115" s="121">
        <v>41</v>
      </c>
      <c r="U115" s="121">
        <f t="shared" si="48"/>
        <v>4.8292682926829267</v>
      </c>
      <c r="V115" s="121">
        <f t="shared" si="58"/>
        <v>2.0331285475893952</v>
      </c>
      <c r="W115" s="121">
        <v>3.49</v>
      </c>
      <c r="X115" s="121">
        <v>21</v>
      </c>
      <c r="Y115" s="121">
        <f t="shared" si="39"/>
        <v>1.6619047619047622</v>
      </c>
      <c r="Z115" s="123">
        <f t="shared" si="59"/>
        <v>0.85358142705286377</v>
      </c>
      <c r="AA115" s="99">
        <f t="shared" si="60"/>
        <v>54.100055321405442</v>
      </c>
      <c r="AB115" s="99">
        <f t="shared" si="61"/>
        <v>7.7140040907872223</v>
      </c>
      <c r="AE115" s="119">
        <v>35</v>
      </c>
      <c r="AF115" s="119">
        <v>16</v>
      </c>
      <c r="AG115" s="119">
        <v>22</v>
      </c>
      <c r="AH115" s="119">
        <v>12</v>
      </c>
      <c r="AI115" s="120">
        <v>19.600000000000001</v>
      </c>
      <c r="AJ115" s="120">
        <v>9.6999999999999993</v>
      </c>
      <c r="AK115" s="122">
        <v>0.437</v>
      </c>
    </row>
    <row r="116" spans="1:37" x14ac:dyDescent="0.2">
      <c r="A116" s="118" t="s">
        <v>360</v>
      </c>
      <c r="B116" s="121">
        <f t="shared" si="53"/>
        <v>4.4588000000000001</v>
      </c>
      <c r="C116" s="119">
        <v>60</v>
      </c>
      <c r="D116" s="119">
        <v>40</v>
      </c>
      <c r="E116" s="120">
        <v>6</v>
      </c>
      <c r="F116" s="120">
        <v>6</v>
      </c>
      <c r="G116" s="120">
        <f t="shared" si="62"/>
        <v>3</v>
      </c>
      <c r="H116" s="121">
        <v>5.68</v>
      </c>
      <c r="I116" s="121">
        <v>20.14</v>
      </c>
      <c r="J116" s="121">
        <f t="shared" si="54"/>
        <v>5.0350000000000001</v>
      </c>
      <c r="K116" s="121"/>
      <c r="L116" s="121">
        <f t="shared" si="55"/>
        <v>1.883022742265033</v>
      </c>
      <c r="M116" s="121"/>
      <c r="N116" s="121">
        <v>7.12</v>
      </c>
      <c r="O116" s="121">
        <f t="shared" si="56"/>
        <v>2.3812709030100336</v>
      </c>
      <c r="P116" s="121"/>
      <c r="Q116" s="121">
        <f t="shared" si="57"/>
        <v>1.1196075771271663</v>
      </c>
      <c r="R116" s="121"/>
      <c r="S116" s="121">
        <v>23.14</v>
      </c>
      <c r="T116" s="121">
        <v>40.700000000000003</v>
      </c>
      <c r="U116" s="121">
        <f t="shared" si="48"/>
        <v>5.6855036855036856</v>
      </c>
      <c r="V116" s="121">
        <f t="shared" si="58"/>
        <v>2.0184012638650004</v>
      </c>
      <c r="W116" s="121">
        <v>4.12</v>
      </c>
      <c r="X116" s="121">
        <v>20.9</v>
      </c>
      <c r="Y116" s="121">
        <f t="shared" si="39"/>
        <v>1.9712918660287084</v>
      </c>
      <c r="Z116" s="123">
        <f t="shared" si="59"/>
        <v>0.85167606087998993</v>
      </c>
      <c r="AA116" s="99">
        <f t="shared" si="60"/>
        <v>53.046570826471147</v>
      </c>
      <c r="AB116" s="99">
        <f t="shared" si="61"/>
        <v>8.9776634499511498</v>
      </c>
      <c r="AE116" s="119">
        <v>35</v>
      </c>
      <c r="AF116" s="119">
        <v>16</v>
      </c>
      <c r="AG116" s="119">
        <v>22</v>
      </c>
      <c r="AH116" s="119">
        <v>12</v>
      </c>
      <c r="AI116" s="120">
        <v>20</v>
      </c>
      <c r="AJ116" s="120">
        <v>10.1</v>
      </c>
      <c r="AK116" s="122">
        <v>0.433</v>
      </c>
    </row>
    <row r="117" spans="1:37" x14ac:dyDescent="0.2">
      <c r="A117" s="118" t="s">
        <v>361</v>
      </c>
      <c r="B117" s="121">
        <f t="shared" si="53"/>
        <v>5.14175</v>
      </c>
      <c r="C117" s="119">
        <v>60</v>
      </c>
      <c r="D117" s="119">
        <v>40</v>
      </c>
      <c r="E117" s="120">
        <v>7</v>
      </c>
      <c r="F117" s="120">
        <v>6</v>
      </c>
      <c r="G117" s="120">
        <f t="shared" si="62"/>
        <v>3</v>
      </c>
      <c r="H117" s="121">
        <v>6.55</v>
      </c>
      <c r="I117" s="121">
        <v>22.94</v>
      </c>
      <c r="J117" s="121">
        <f t="shared" si="54"/>
        <v>5.7929292929292933</v>
      </c>
      <c r="K117" s="121"/>
      <c r="L117" s="121">
        <f t="shared" si="55"/>
        <v>1.8714406419483034</v>
      </c>
      <c r="M117" s="121"/>
      <c r="N117" s="121">
        <v>8.07</v>
      </c>
      <c r="O117" s="121">
        <f t="shared" si="56"/>
        <v>2.7355932203389832</v>
      </c>
      <c r="P117" s="121"/>
      <c r="Q117" s="121">
        <f t="shared" si="57"/>
        <v>1.1099824632408795</v>
      </c>
      <c r="R117" s="121"/>
      <c r="S117" s="121">
        <v>26.29</v>
      </c>
      <c r="T117" s="121">
        <v>40.6</v>
      </c>
      <c r="U117" s="121">
        <f t="shared" si="48"/>
        <v>6.4753694581280783</v>
      </c>
      <c r="V117" s="121">
        <f t="shared" si="58"/>
        <v>2.00343216955685</v>
      </c>
      <c r="W117" s="121">
        <v>4.72</v>
      </c>
      <c r="X117" s="121">
        <v>20.9</v>
      </c>
      <c r="Y117" s="121">
        <f t="shared" si="39"/>
        <v>2.2583732057416266</v>
      </c>
      <c r="Z117" s="123">
        <f t="shared" si="59"/>
        <v>0.84888791193119295</v>
      </c>
      <c r="AA117" s="99">
        <f t="shared" si="60"/>
        <v>52.028816423366976</v>
      </c>
      <c r="AB117" s="99">
        <f t="shared" si="61"/>
        <v>10.162402276254825</v>
      </c>
      <c r="AE117" s="119">
        <v>35</v>
      </c>
      <c r="AF117" s="119">
        <v>16</v>
      </c>
      <c r="AG117" s="119">
        <v>22</v>
      </c>
      <c r="AH117" s="119">
        <v>12</v>
      </c>
      <c r="AI117" s="120">
        <v>20.399999999999999</v>
      </c>
      <c r="AJ117" s="120">
        <v>10.5</v>
      </c>
      <c r="AK117" s="122">
        <v>0.42899999999999999</v>
      </c>
    </row>
    <row r="118" spans="1:37" s="99" customFormat="1" x14ac:dyDescent="0.2">
      <c r="A118" s="100" t="s">
        <v>362</v>
      </c>
      <c r="B118" s="103">
        <f t="shared" si="53"/>
        <v>4.3489000000000004</v>
      </c>
      <c r="C118" s="101">
        <v>65</v>
      </c>
      <c r="D118" s="101">
        <v>50</v>
      </c>
      <c r="E118" s="102">
        <v>5</v>
      </c>
      <c r="F118" s="102">
        <v>6</v>
      </c>
      <c r="G118" s="102">
        <f t="shared" si="62"/>
        <v>3</v>
      </c>
      <c r="H118" s="103">
        <v>5.54</v>
      </c>
      <c r="I118" s="103">
        <v>23.18</v>
      </c>
      <c r="J118" s="103">
        <f t="shared" si="54"/>
        <v>5.1396895787139689</v>
      </c>
      <c r="K118" s="103"/>
      <c r="L118" s="103">
        <f t="shared" si="55"/>
        <v>2.0455110665713114</v>
      </c>
      <c r="M118" s="103"/>
      <c r="N118" s="103">
        <v>11.93</v>
      </c>
      <c r="O118" s="103">
        <f t="shared" si="56"/>
        <v>3.1813333333333333</v>
      </c>
      <c r="P118" s="103"/>
      <c r="Q118" s="103">
        <f t="shared" si="57"/>
        <v>1.4674568487311941</v>
      </c>
      <c r="R118" s="103"/>
      <c r="S118" s="103">
        <v>28.9</v>
      </c>
      <c r="T118" s="103">
        <v>45.3</v>
      </c>
      <c r="U118" s="103">
        <f t="shared" si="48"/>
        <v>6.3796909492273732</v>
      </c>
      <c r="V118" s="103">
        <f t="shared" si="58"/>
        <v>2.2839891633269511</v>
      </c>
      <c r="W118" s="103">
        <v>6.21</v>
      </c>
      <c r="X118" s="103">
        <v>23.8</v>
      </c>
      <c r="Y118" s="103">
        <f t="shared" si="39"/>
        <v>2.6092436974789917</v>
      </c>
      <c r="Z118" s="105">
        <f t="shared" si="59"/>
        <v>1.0587438916748679</v>
      </c>
      <c r="AA118" s="99">
        <f t="shared" si="60"/>
        <v>59.530044257124359</v>
      </c>
      <c r="AB118" s="99">
        <f t="shared" si="61"/>
        <v>9.2870338020774597</v>
      </c>
      <c r="AE118" s="101">
        <v>35</v>
      </c>
      <c r="AF118" s="101">
        <v>16</v>
      </c>
      <c r="AG118" s="101">
        <v>28</v>
      </c>
      <c r="AH118" s="101">
        <v>14</v>
      </c>
      <c r="AI118" s="102">
        <v>19.899999999999999</v>
      </c>
      <c r="AJ118" s="102">
        <v>12.5</v>
      </c>
      <c r="AK118" s="104">
        <v>0.58099999999999996</v>
      </c>
    </row>
    <row r="119" spans="1:37" x14ac:dyDescent="0.2">
      <c r="A119" s="106" t="s">
        <v>363</v>
      </c>
      <c r="B119" s="109">
        <f t="shared" si="53"/>
        <v>5.1653000000000002</v>
      </c>
      <c r="C119" s="107">
        <v>65</v>
      </c>
      <c r="D119" s="107">
        <v>50</v>
      </c>
      <c r="E119" s="108">
        <v>6</v>
      </c>
      <c r="F119" s="108">
        <v>6</v>
      </c>
      <c r="G119" s="108">
        <f t="shared" si="62"/>
        <v>3</v>
      </c>
      <c r="H119" s="109">
        <v>6.58</v>
      </c>
      <c r="I119" s="109">
        <v>27.23</v>
      </c>
      <c r="J119" s="109">
        <f t="shared" si="54"/>
        <v>6.1053811659192823</v>
      </c>
      <c r="K119" s="109"/>
      <c r="L119" s="109">
        <f t="shared" si="55"/>
        <v>2.0342806768832133</v>
      </c>
      <c r="M119" s="109"/>
      <c r="N119" s="109">
        <v>13.98</v>
      </c>
      <c r="O119" s="109">
        <f t="shared" si="56"/>
        <v>3.7681940700808627</v>
      </c>
      <c r="P119" s="109"/>
      <c r="Q119" s="109">
        <f t="shared" si="57"/>
        <v>1.4576076498119352</v>
      </c>
      <c r="R119" s="109"/>
      <c r="S119" s="109">
        <v>33.869999999999997</v>
      </c>
      <c r="T119" s="109">
        <v>45.1</v>
      </c>
      <c r="U119" s="109">
        <f t="shared" si="48"/>
        <v>7.5099778270509976</v>
      </c>
      <c r="V119" s="109">
        <f t="shared" si="58"/>
        <v>2.2687918400271672</v>
      </c>
      <c r="W119" s="109">
        <v>7.33</v>
      </c>
      <c r="X119" s="109">
        <v>23.8</v>
      </c>
      <c r="Y119" s="109">
        <f t="shared" si="39"/>
        <v>3.079831932773109</v>
      </c>
      <c r="Z119" s="111">
        <f t="shared" si="59"/>
        <v>1.0554533447376693</v>
      </c>
      <c r="AA119" s="99">
        <f t="shared" si="60"/>
        <v>58.537256661176919</v>
      </c>
      <c r="AB119" s="99">
        <f t="shared" si="61"/>
        <v>10.865314576763758</v>
      </c>
      <c r="AE119" s="107">
        <v>35</v>
      </c>
      <c r="AF119" s="107">
        <v>16</v>
      </c>
      <c r="AG119" s="107">
        <v>28</v>
      </c>
      <c r="AH119" s="107">
        <v>14</v>
      </c>
      <c r="AI119" s="108">
        <v>20.399999999999999</v>
      </c>
      <c r="AJ119" s="108">
        <v>12.9</v>
      </c>
      <c r="AK119" s="110">
        <v>0.57799999999999996</v>
      </c>
    </row>
    <row r="120" spans="1:37" x14ac:dyDescent="0.2">
      <c r="A120" s="106" t="s">
        <v>364</v>
      </c>
      <c r="B120" s="109">
        <f t="shared" si="53"/>
        <v>5.9738500000000005</v>
      </c>
      <c r="C120" s="107">
        <v>65</v>
      </c>
      <c r="D120" s="107">
        <v>50</v>
      </c>
      <c r="E120" s="108">
        <v>7</v>
      </c>
      <c r="F120" s="108">
        <v>7</v>
      </c>
      <c r="G120" s="108">
        <f t="shared" si="62"/>
        <v>3.5</v>
      </c>
      <c r="H120" s="109">
        <v>7.61</v>
      </c>
      <c r="I120" s="109">
        <v>30.99</v>
      </c>
      <c r="J120" s="109">
        <f t="shared" si="54"/>
        <v>6.9954853273137694</v>
      </c>
      <c r="K120" s="109"/>
      <c r="L120" s="109">
        <f t="shared" si="55"/>
        <v>2.0179874441068582</v>
      </c>
      <c r="M120" s="109"/>
      <c r="N120" s="109">
        <v>15.82</v>
      </c>
      <c r="O120" s="109">
        <f t="shared" si="56"/>
        <v>4.3106267029972747</v>
      </c>
      <c r="P120" s="109"/>
      <c r="Q120" s="109">
        <f t="shared" si="57"/>
        <v>1.4418195541768857</v>
      </c>
      <c r="R120" s="109"/>
      <c r="S120" s="109">
        <v>38.43</v>
      </c>
      <c r="T120" s="109">
        <v>45.1</v>
      </c>
      <c r="U120" s="109">
        <f t="shared" si="48"/>
        <v>8.5210643015521068</v>
      </c>
      <c r="V120" s="109">
        <f t="shared" si="58"/>
        <v>2.2472058866462725</v>
      </c>
      <c r="W120" s="109">
        <v>8.3800000000000008</v>
      </c>
      <c r="X120" s="109">
        <v>23.8</v>
      </c>
      <c r="Y120" s="109">
        <f t="shared" si="39"/>
        <v>3.5210084033613449</v>
      </c>
      <c r="Z120" s="111">
        <f t="shared" si="59"/>
        <v>1.0493725050724849</v>
      </c>
      <c r="AA120" s="99">
        <f t="shared" si="60"/>
        <v>57.545154899935248</v>
      </c>
      <c r="AB120" s="99">
        <f t="shared" si="61"/>
        <v>12.366680622954032</v>
      </c>
      <c r="AE120" s="107">
        <v>35</v>
      </c>
      <c r="AF120" s="107">
        <v>16</v>
      </c>
      <c r="AG120" s="107">
        <v>28</v>
      </c>
      <c r="AH120" s="107">
        <v>14</v>
      </c>
      <c r="AI120" s="108">
        <v>20.7</v>
      </c>
      <c r="AJ120" s="108">
        <v>13.3</v>
      </c>
      <c r="AK120" s="110">
        <v>0.57399999999999995</v>
      </c>
    </row>
    <row r="121" spans="1:37" x14ac:dyDescent="0.2">
      <c r="A121" s="112" t="s">
        <v>365</v>
      </c>
      <c r="B121" s="115">
        <f t="shared" si="53"/>
        <v>6.7745500000000005</v>
      </c>
      <c r="C121" s="113">
        <v>65</v>
      </c>
      <c r="D121" s="113">
        <v>50</v>
      </c>
      <c r="E121" s="114">
        <v>8</v>
      </c>
      <c r="F121" s="114">
        <v>8</v>
      </c>
      <c r="G121" s="114">
        <f t="shared" si="62"/>
        <v>4</v>
      </c>
      <c r="H121" s="115">
        <v>8.6300000000000008</v>
      </c>
      <c r="I121" s="115">
        <v>34.549999999999997</v>
      </c>
      <c r="J121" s="115">
        <f t="shared" si="54"/>
        <v>7.8522727272727275</v>
      </c>
      <c r="K121" s="115"/>
      <c r="L121" s="115">
        <f t="shared" si="55"/>
        <v>2.00086887267874</v>
      </c>
      <c r="M121" s="115"/>
      <c r="N121" s="115">
        <v>17.55</v>
      </c>
      <c r="O121" s="115">
        <f t="shared" si="56"/>
        <v>4.8214285714285712</v>
      </c>
      <c r="P121" s="115"/>
      <c r="Q121" s="115">
        <f t="shared" si="57"/>
        <v>1.4260447776964666</v>
      </c>
      <c r="R121" s="115"/>
      <c r="S121" s="115">
        <v>42.71</v>
      </c>
      <c r="T121" s="115">
        <v>45</v>
      </c>
      <c r="U121" s="115">
        <f t="shared" si="48"/>
        <v>9.4911111111111115</v>
      </c>
      <c r="V121" s="115">
        <f t="shared" si="58"/>
        <v>2.2246381871511534</v>
      </c>
      <c r="W121" s="115">
        <v>9.39</v>
      </c>
      <c r="X121" s="115">
        <v>23.7</v>
      </c>
      <c r="Y121" s="115">
        <f t="shared" si="39"/>
        <v>3.9620253164556964</v>
      </c>
      <c r="Z121" s="117">
        <f t="shared" si="59"/>
        <v>1.0431034895535953</v>
      </c>
      <c r="AA121" s="99">
        <f t="shared" si="60"/>
        <v>56.577345175425627</v>
      </c>
      <c r="AB121" s="99">
        <f t="shared" si="61"/>
        <v>13.794459486363051</v>
      </c>
      <c r="AE121" s="113">
        <v>35</v>
      </c>
      <c r="AF121" s="113">
        <v>16</v>
      </c>
      <c r="AG121" s="113">
        <v>28</v>
      </c>
      <c r="AH121" s="113">
        <v>14</v>
      </c>
      <c r="AI121" s="114">
        <v>21</v>
      </c>
      <c r="AJ121" s="114">
        <v>13.6</v>
      </c>
      <c r="AK121" s="116">
        <v>0.56999999999999995</v>
      </c>
    </row>
    <row r="122" spans="1:37" s="99" customFormat="1" x14ac:dyDescent="0.2">
      <c r="A122" s="93" t="s">
        <v>366</v>
      </c>
      <c r="B122" s="96">
        <f t="shared" si="53"/>
        <v>5.4008000000000003</v>
      </c>
      <c r="C122" s="94">
        <v>70</v>
      </c>
      <c r="D122" s="94">
        <v>50</v>
      </c>
      <c r="E122" s="95">
        <v>6</v>
      </c>
      <c r="F122" s="95">
        <v>6</v>
      </c>
      <c r="G122" s="95">
        <f t="shared" si="62"/>
        <v>3</v>
      </c>
      <c r="H122" s="96">
        <v>6.88</v>
      </c>
      <c r="I122" s="96">
        <v>33.53</v>
      </c>
      <c r="J122" s="96">
        <f t="shared" si="54"/>
        <v>7.0441176470588234</v>
      </c>
      <c r="K122" s="96"/>
      <c r="L122" s="96">
        <f t="shared" si="55"/>
        <v>2.2076110417435193</v>
      </c>
      <c r="M122" s="96"/>
      <c r="N122" s="96">
        <v>14.27</v>
      </c>
      <c r="O122" s="96">
        <f t="shared" si="56"/>
        <v>3.805333333333333</v>
      </c>
      <c r="P122" s="96"/>
      <c r="Q122" s="96">
        <f t="shared" si="57"/>
        <v>1.4401832893686637</v>
      </c>
      <c r="R122" s="96"/>
      <c r="S122" s="96">
        <v>39.950000000000003</v>
      </c>
      <c r="T122" s="96">
        <v>48.2</v>
      </c>
      <c r="U122" s="96">
        <f t="shared" si="48"/>
        <v>8.2883817427385882</v>
      </c>
      <c r="V122" s="96">
        <f t="shared" si="58"/>
        <v>2.4097066307979542</v>
      </c>
      <c r="W122" s="96">
        <v>7.85</v>
      </c>
      <c r="X122" s="96">
        <v>25.2</v>
      </c>
      <c r="Y122" s="96">
        <f t="shared" si="39"/>
        <v>3.1150793650793651</v>
      </c>
      <c r="Z122" s="98">
        <f t="shared" si="59"/>
        <v>1.0681705725646178</v>
      </c>
      <c r="AA122" s="99">
        <f t="shared" si="60"/>
        <v>63.237256661176914</v>
      </c>
      <c r="AB122" s="99">
        <f t="shared" si="61"/>
        <v>12.637980370155537</v>
      </c>
      <c r="AE122" s="94">
        <v>40</v>
      </c>
      <c r="AF122" s="94">
        <v>16</v>
      </c>
      <c r="AG122" s="94">
        <v>28</v>
      </c>
      <c r="AH122" s="94">
        <v>14</v>
      </c>
      <c r="AI122" s="95">
        <v>22.4</v>
      </c>
      <c r="AJ122" s="95">
        <v>12.5</v>
      </c>
      <c r="AK122" s="97">
        <v>0.5</v>
      </c>
    </row>
    <row r="123" spans="1:37" x14ac:dyDescent="0.2">
      <c r="A123" s="118" t="s">
        <v>367</v>
      </c>
      <c r="B123" s="121">
        <f t="shared" si="53"/>
        <v>6.2486000000000006</v>
      </c>
      <c r="C123" s="119">
        <v>70</v>
      </c>
      <c r="D123" s="119">
        <v>50</v>
      </c>
      <c r="E123" s="120">
        <v>7</v>
      </c>
      <c r="F123" s="120">
        <v>7</v>
      </c>
      <c r="G123" s="120">
        <f t="shared" si="62"/>
        <v>3.5</v>
      </c>
      <c r="H123" s="121">
        <v>7.96</v>
      </c>
      <c r="I123" s="121">
        <v>38.21</v>
      </c>
      <c r="J123" s="121">
        <f t="shared" si="54"/>
        <v>8.0782241014799165</v>
      </c>
      <c r="K123" s="121"/>
      <c r="L123" s="121">
        <f t="shared" si="55"/>
        <v>2.1909475704090702</v>
      </c>
      <c r="M123" s="121"/>
      <c r="N123" s="121">
        <v>16.16</v>
      </c>
      <c r="O123" s="121">
        <f t="shared" si="56"/>
        <v>4.355795148247978</v>
      </c>
      <c r="P123" s="121"/>
      <c r="Q123" s="121">
        <f t="shared" si="57"/>
        <v>1.424833588096815</v>
      </c>
      <c r="R123" s="121"/>
      <c r="S123" s="121">
        <v>45.41</v>
      </c>
      <c r="T123" s="121">
        <v>48.1</v>
      </c>
      <c r="U123" s="121">
        <f t="shared" si="48"/>
        <v>9.4407484407484397</v>
      </c>
      <c r="V123" s="121">
        <f t="shared" si="58"/>
        <v>2.3884668449335305</v>
      </c>
      <c r="W123" s="121">
        <v>8.9600000000000009</v>
      </c>
      <c r="X123" s="121">
        <v>25.1</v>
      </c>
      <c r="Y123" s="121">
        <f t="shared" si="39"/>
        <v>3.5697211155378485</v>
      </c>
      <c r="Z123" s="123">
        <f t="shared" si="59"/>
        <v>1.0609562388258611</v>
      </c>
      <c r="AA123" s="99">
        <f t="shared" si="60"/>
        <v>62.195154899935254</v>
      </c>
      <c r="AB123" s="99">
        <f t="shared" si="61"/>
        <v>14.385641931996089</v>
      </c>
      <c r="AE123" s="119">
        <v>40</v>
      </c>
      <c r="AF123" s="119">
        <v>16</v>
      </c>
      <c r="AG123" s="119">
        <v>28</v>
      </c>
      <c r="AH123" s="119">
        <v>14</v>
      </c>
      <c r="AI123" s="120">
        <v>22.7</v>
      </c>
      <c r="AJ123" s="120">
        <v>12.9</v>
      </c>
      <c r="AK123" s="122">
        <v>0.496</v>
      </c>
    </row>
    <row r="124" spans="1:37" s="99" customFormat="1" x14ac:dyDescent="0.2">
      <c r="A124" s="100" t="s">
        <v>368</v>
      </c>
      <c r="B124" s="103">
        <f t="shared" si="53"/>
        <v>4.7335500000000001</v>
      </c>
      <c r="C124" s="101">
        <v>75</v>
      </c>
      <c r="D124" s="101">
        <v>50</v>
      </c>
      <c r="E124" s="102">
        <v>5</v>
      </c>
      <c r="F124" s="102">
        <v>5</v>
      </c>
      <c r="G124" s="102">
        <f t="shared" si="62"/>
        <v>2.5</v>
      </c>
      <c r="H124" s="103">
        <v>6.03</v>
      </c>
      <c r="I124" s="103">
        <v>34.64</v>
      </c>
      <c r="J124" s="103">
        <f t="shared" si="54"/>
        <v>6.8055009823182706</v>
      </c>
      <c r="K124" s="103"/>
      <c r="L124" s="103">
        <f t="shared" si="55"/>
        <v>2.3967916642719937</v>
      </c>
      <c r="M124" s="103"/>
      <c r="N124" s="103">
        <v>12.48</v>
      </c>
      <c r="O124" s="103">
        <f t="shared" si="56"/>
        <v>3.2670157068062826</v>
      </c>
      <c r="P124" s="103"/>
      <c r="Q124" s="103">
        <f t="shared" si="57"/>
        <v>1.4386284236360452</v>
      </c>
      <c r="R124" s="103"/>
      <c r="S124" s="103">
        <v>40.049999999999997</v>
      </c>
      <c r="T124" s="103">
        <v>51.3</v>
      </c>
      <c r="U124" s="103">
        <f t="shared" si="48"/>
        <v>7.8070175438596499</v>
      </c>
      <c r="V124" s="103">
        <f t="shared" si="58"/>
        <v>2.5771672519990081</v>
      </c>
      <c r="W124" s="103">
        <v>7.08</v>
      </c>
      <c r="X124" s="103">
        <v>26.4</v>
      </c>
      <c r="Y124" s="103">
        <f t="shared" si="39"/>
        <v>2.6818181818181817</v>
      </c>
      <c r="Z124" s="105">
        <f t="shared" si="59"/>
        <v>1.0835724956060073</v>
      </c>
      <c r="AA124" s="99">
        <f t="shared" si="60"/>
        <v>69.053650459150646</v>
      </c>
      <c r="AB124" s="99">
        <f t="shared" si="61"/>
        <v>12.427445974987311</v>
      </c>
      <c r="AE124" s="101">
        <v>40</v>
      </c>
      <c r="AF124" s="101">
        <v>16</v>
      </c>
      <c r="AG124" s="101">
        <v>28</v>
      </c>
      <c r="AH124" s="101">
        <v>14</v>
      </c>
      <c r="AI124" s="102">
        <v>24.1</v>
      </c>
      <c r="AJ124" s="102">
        <v>11.8</v>
      </c>
      <c r="AK124" s="104">
        <v>0.443</v>
      </c>
    </row>
    <row r="125" spans="1:37" x14ac:dyDescent="0.2">
      <c r="A125" s="106" t="s">
        <v>369</v>
      </c>
      <c r="B125" s="109">
        <f t="shared" si="53"/>
        <v>5.6363000000000003</v>
      </c>
      <c r="C125" s="107">
        <v>75</v>
      </c>
      <c r="D125" s="107">
        <v>50</v>
      </c>
      <c r="E125" s="108">
        <v>6</v>
      </c>
      <c r="F125" s="108">
        <v>6</v>
      </c>
      <c r="G125" s="108">
        <f t="shared" si="62"/>
        <v>3</v>
      </c>
      <c r="H125" s="109">
        <v>7.18</v>
      </c>
      <c r="I125" s="109">
        <v>40.659999999999997</v>
      </c>
      <c r="J125" s="109">
        <f t="shared" si="54"/>
        <v>8.0514851485148515</v>
      </c>
      <c r="K125" s="109"/>
      <c r="L125" s="109">
        <f t="shared" si="55"/>
        <v>2.3796959146579115</v>
      </c>
      <c r="M125" s="109"/>
      <c r="N125" s="109">
        <v>14.54</v>
      </c>
      <c r="O125" s="109">
        <f t="shared" si="56"/>
        <v>3.8364116094986804</v>
      </c>
      <c r="P125" s="109"/>
      <c r="Q125" s="109">
        <f t="shared" si="57"/>
        <v>1.423049415123385</v>
      </c>
      <c r="R125" s="109"/>
      <c r="S125" s="109">
        <v>46.9</v>
      </c>
      <c r="T125" s="109">
        <v>51.1</v>
      </c>
      <c r="U125" s="109">
        <f t="shared" si="48"/>
        <v>9.1780821917808222</v>
      </c>
      <c r="V125" s="109">
        <f t="shared" si="58"/>
        <v>2.5557843074453377</v>
      </c>
      <c r="W125" s="109">
        <v>8.3000000000000007</v>
      </c>
      <c r="X125" s="109">
        <v>26.3</v>
      </c>
      <c r="Y125" s="109">
        <f t="shared" si="39"/>
        <v>3.1558935361216731</v>
      </c>
      <c r="Z125" s="111">
        <f t="shared" si="59"/>
        <v>1.0751692229313108</v>
      </c>
      <c r="AA125" s="99">
        <f t="shared" si="60"/>
        <v>67.937256661176917</v>
      </c>
      <c r="AB125" s="99">
        <f t="shared" si="61"/>
        <v>14.550566163547314</v>
      </c>
      <c r="AE125" s="107">
        <v>40</v>
      </c>
      <c r="AF125" s="107">
        <v>16</v>
      </c>
      <c r="AG125" s="107">
        <v>28</v>
      </c>
      <c r="AH125" s="107">
        <v>14</v>
      </c>
      <c r="AI125" s="108">
        <v>24.5</v>
      </c>
      <c r="AJ125" s="108">
        <v>12.1</v>
      </c>
      <c r="AK125" s="110">
        <v>0.439</v>
      </c>
    </row>
    <row r="126" spans="1:37" x14ac:dyDescent="0.2">
      <c r="A126" s="106" t="s">
        <v>370</v>
      </c>
      <c r="B126" s="109">
        <f t="shared" si="53"/>
        <v>6.5233500000000006</v>
      </c>
      <c r="C126" s="107">
        <v>75</v>
      </c>
      <c r="D126" s="107">
        <v>50</v>
      </c>
      <c r="E126" s="108">
        <v>7</v>
      </c>
      <c r="F126" s="108">
        <v>7</v>
      </c>
      <c r="G126" s="108">
        <f t="shared" si="62"/>
        <v>3.5</v>
      </c>
      <c r="H126" s="109">
        <v>8.31</v>
      </c>
      <c r="I126" s="109">
        <v>46.4</v>
      </c>
      <c r="J126" s="109">
        <f t="shared" si="54"/>
        <v>9.243027888446214</v>
      </c>
      <c r="K126" s="109"/>
      <c r="L126" s="109">
        <f t="shared" si="55"/>
        <v>2.362971471620412</v>
      </c>
      <c r="M126" s="109"/>
      <c r="N126" s="109">
        <v>16.46</v>
      </c>
      <c r="O126" s="109">
        <f t="shared" si="56"/>
        <v>4.389333333333334</v>
      </c>
      <c r="P126" s="109"/>
      <c r="Q126" s="109">
        <f t="shared" si="57"/>
        <v>1.4073898141770596</v>
      </c>
      <c r="R126" s="109"/>
      <c r="S126" s="109">
        <v>53.39</v>
      </c>
      <c r="T126" s="109">
        <v>51</v>
      </c>
      <c r="U126" s="109">
        <f t="shared" si="48"/>
        <v>10.468627450980392</v>
      </c>
      <c r="V126" s="109">
        <f t="shared" si="58"/>
        <v>2.5347168304070924</v>
      </c>
      <c r="W126" s="109">
        <v>9.48</v>
      </c>
      <c r="X126" s="109">
        <v>26.2</v>
      </c>
      <c r="Y126" s="109">
        <f t="shared" si="39"/>
        <v>3.6183206106870234</v>
      </c>
      <c r="Z126" s="111">
        <f t="shared" si="59"/>
        <v>1.0680796898297031</v>
      </c>
      <c r="AA126" s="99">
        <f t="shared" si="60"/>
        <v>66.845154899935253</v>
      </c>
      <c r="AB126" s="99">
        <f t="shared" si="61"/>
        <v>16.565638241038144</v>
      </c>
      <c r="AE126" s="107">
        <v>40</v>
      </c>
      <c r="AF126" s="107">
        <v>16</v>
      </c>
      <c r="AG126" s="107">
        <v>28</v>
      </c>
      <c r="AH126" s="107">
        <v>14</v>
      </c>
      <c r="AI126" s="108">
        <v>24.8</v>
      </c>
      <c r="AJ126" s="108">
        <v>12.5</v>
      </c>
      <c r="AK126" s="110">
        <v>0.435</v>
      </c>
    </row>
    <row r="127" spans="1:37" x14ac:dyDescent="0.2">
      <c r="A127" s="112" t="s">
        <v>371</v>
      </c>
      <c r="B127" s="115">
        <f t="shared" si="53"/>
        <v>7.4025499999999997</v>
      </c>
      <c r="C127" s="113">
        <v>75</v>
      </c>
      <c r="D127" s="113">
        <v>50</v>
      </c>
      <c r="E127" s="114">
        <v>8</v>
      </c>
      <c r="F127" s="114">
        <v>8</v>
      </c>
      <c r="G127" s="114">
        <f t="shared" si="62"/>
        <v>4</v>
      </c>
      <c r="H127" s="115">
        <v>9.43</v>
      </c>
      <c r="I127" s="115">
        <v>51.88</v>
      </c>
      <c r="J127" s="115">
        <f t="shared" si="54"/>
        <v>10.396793587174351</v>
      </c>
      <c r="K127" s="115"/>
      <c r="L127" s="115">
        <f t="shared" si="55"/>
        <v>2.3455469869692642</v>
      </c>
      <c r="M127" s="115"/>
      <c r="N127" s="115">
        <v>18.27</v>
      </c>
      <c r="O127" s="115">
        <f t="shared" si="56"/>
        <v>4.9112903225806441</v>
      </c>
      <c r="P127" s="115"/>
      <c r="Q127" s="115">
        <f t="shared" si="57"/>
        <v>1.3919172828021458</v>
      </c>
      <c r="R127" s="115"/>
      <c r="S127" s="115">
        <v>59.54</v>
      </c>
      <c r="T127" s="115">
        <v>50.9</v>
      </c>
      <c r="U127" s="115">
        <f t="shared" si="48"/>
        <v>11.697445972495089</v>
      </c>
      <c r="V127" s="115">
        <f t="shared" si="58"/>
        <v>2.5127458754459271</v>
      </c>
      <c r="W127" s="115">
        <v>10.62</v>
      </c>
      <c r="X127" s="115">
        <v>26.1</v>
      </c>
      <c r="Y127" s="115">
        <f t="shared" si="39"/>
        <v>4.068965517241379</v>
      </c>
      <c r="Z127" s="117">
        <f t="shared" si="59"/>
        <v>1.0612224088570903</v>
      </c>
      <c r="AA127" s="99">
        <f t="shared" si="60"/>
        <v>65.777345175425637</v>
      </c>
      <c r="AB127" s="99">
        <f t="shared" si="61"/>
        <v>18.478584329182869</v>
      </c>
      <c r="AE127" s="113">
        <v>40</v>
      </c>
      <c r="AF127" s="113">
        <v>16</v>
      </c>
      <c r="AG127" s="113">
        <v>28</v>
      </c>
      <c r="AH127" s="113">
        <v>14</v>
      </c>
      <c r="AI127" s="114">
        <v>25.1</v>
      </c>
      <c r="AJ127" s="114">
        <v>12.8</v>
      </c>
      <c r="AK127" s="116">
        <v>0.43099999999999999</v>
      </c>
    </row>
    <row r="128" spans="1:37" s="99" customFormat="1" x14ac:dyDescent="0.2">
      <c r="A128" s="93" t="s">
        <v>372</v>
      </c>
      <c r="B128" s="96">
        <f t="shared" si="53"/>
        <v>5.4008000000000003</v>
      </c>
      <c r="C128" s="94">
        <v>80</v>
      </c>
      <c r="D128" s="94">
        <v>40</v>
      </c>
      <c r="E128" s="95">
        <v>6</v>
      </c>
      <c r="F128" s="95">
        <v>6</v>
      </c>
      <c r="G128" s="95">
        <f t="shared" si="62"/>
        <v>3</v>
      </c>
      <c r="H128" s="96">
        <v>6.88</v>
      </c>
      <c r="I128" s="96">
        <v>45.02</v>
      </c>
      <c r="J128" s="96">
        <f t="shared" si="54"/>
        <v>8.7587548638132304</v>
      </c>
      <c r="K128" s="96"/>
      <c r="L128" s="96">
        <f t="shared" si="55"/>
        <v>2.5580470384969058</v>
      </c>
      <c r="M128" s="96"/>
      <c r="N128" s="96">
        <v>7.66</v>
      </c>
      <c r="O128" s="96">
        <f t="shared" si="56"/>
        <v>2.463022508038585</v>
      </c>
      <c r="P128" s="96"/>
      <c r="Q128" s="96">
        <f t="shared" si="57"/>
        <v>1.0551644862405367</v>
      </c>
      <c r="R128" s="96"/>
      <c r="S128" s="96">
        <v>47.74</v>
      </c>
      <c r="T128" s="96">
        <v>51.9</v>
      </c>
      <c r="U128" s="96">
        <f t="shared" si="48"/>
        <v>9.1984585741811191</v>
      </c>
      <c r="V128" s="96">
        <f t="shared" si="58"/>
        <v>2.6341893417846967</v>
      </c>
      <c r="W128" s="96">
        <v>4.9400000000000004</v>
      </c>
      <c r="X128" s="96">
        <v>23.8</v>
      </c>
      <c r="Y128" s="96">
        <f t="shared" si="39"/>
        <v>2.0756302521008405</v>
      </c>
      <c r="Z128" s="98">
        <f t="shared" si="59"/>
        <v>0.84736252915381716</v>
      </c>
      <c r="AA128" s="99">
        <f t="shared" si="60"/>
        <v>71.546570826471154</v>
      </c>
      <c r="AB128" s="99">
        <f t="shared" si="61"/>
        <v>16.20248840247379</v>
      </c>
      <c r="AE128" s="94">
        <v>45</v>
      </c>
      <c r="AF128" s="94">
        <v>20</v>
      </c>
      <c r="AG128" s="94">
        <v>22</v>
      </c>
      <c r="AH128" s="94">
        <v>12</v>
      </c>
      <c r="AI128" s="95">
        <v>28.6</v>
      </c>
      <c r="AJ128" s="95">
        <v>8.9</v>
      </c>
      <c r="AK128" s="97">
        <v>0.26100000000000001</v>
      </c>
    </row>
    <row r="129" spans="1:37" x14ac:dyDescent="0.2">
      <c r="A129" s="118" t="s">
        <v>373</v>
      </c>
      <c r="B129" s="121">
        <f t="shared" si="53"/>
        <v>7.0885499999999997</v>
      </c>
      <c r="C129" s="119">
        <v>80</v>
      </c>
      <c r="D129" s="119">
        <v>40</v>
      </c>
      <c r="E129" s="120">
        <v>8</v>
      </c>
      <c r="F129" s="120">
        <v>8</v>
      </c>
      <c r="G129" s="120">
        <f t="shared" si="62"/>
        <v>4</v>
      </c>
      <c r="H129" s="121">
        <v>9.0299999999999994</v>
      </c>
      <c r="I129" s="121">
        <v>57.49</v>
      </c>
      <c r="J129" s="121">
        <f t="shared" si="54"/>
        <v>11.339250493096646</v>
      </c>
      <c r="K129" s="121"/>
      <c r="L129" s="121">
        <f t="shared" si="55"/>
        <v>2.5232035044156587</v>
      </c>
      <c r="M129" s="121"/>
      <c r="N129" s="121">
        <v>9.5399999999999991</v>
      </c>
      <c r="O129" s="121">
        <f t="shared" si="56"/>
        <v>3.138157894736842</v>
      </c>
      <c r="P129" s="121"/>
      <c r="Q129" s="121">
        <f t="shared" si="57"/>
        <v>1.0278513537061742</v>
      </c>
      <c r="R129" s="121"/>
      <c r="S129" s="121">
        <v>60.73</v>
      </c>
      <c r="T129" s="121">
        <v>51.5</v>
      </c>
      <c r="U129" s="121">
        <f>S129*10/T129</f>
        <v>11.792233009708736</v>
      </c>
      <c r="V129" s="121">
        <f t="shared" si="58"/>
        <v>2.5933298886579053</v>
      </c>
      <c r="W129" s="121">
        <v>6.3</v>
      </c>
      <c r="X129" s="121">
        <v>23.4</v>
      </c>
      <c r="Y129" s="121">
        <f>W129*10/X129</f>
        <v>2.6923076923076925</v>
      </c>
      <c r="Z129" s="123">
        <f t="shared" si="59"/>
        <v>0.83526906958455682</v>
      </c>
      <c r="AA129" s="99">
        <f t="shared" si="60"/>
        <v>68.971681469282046</v>
      </c>
      <c r="AB129" s="99">
        <f t="shared" si="61"/>
        <v>20.376058434064539</v>
      </c>
      <c r="AE129" s="119">
        <v>45</v>
      </c>
      <c r="AF129" s="119">
        <v>20</v>
      </c>
      <c r="AG129" s="119">
        <v>22</v>
      </c>
      <c r="AH129" s="119">
        <v>12</v>
      </c>
      <c r="AI129" s="120">
        <v>29.3</v>
      </c>
      <c r="AJ129" s="120">
        <v>9.6</v>
      </c>
      <c r="AK129" s="122">
        <v>0.252</v>
      </c>
    </row>
    <row r="130" spans="1:37" x14ac:dyDescent="0.2">
      <c r="A130" s="118" t="s">
        <v>374</v>
      </c>
      <c r="B130" s="121">
        <f t="shared" si="53"/>
        <v>7.3633000000000006</v>
      </c>
      <c r="C130" s="119">
        <v>80</v>
      </c>
      <c r="D130" s="119">
        <v>60</v>
      </c>
      <c r="E130" s="120">
        <v>7</v>
      </c>
      <c r="F130" s="120">
        <v>8</v>
      </c>
      <c r="G130" s="120">
        <f t="shared" si="62"/>
        <v>4</v>
      </c>
      <c r="H130" s="121">
        <v>9.3800000000000008</v>
      </c>
      <c r="I130" s="121">
        <v>59</v>
      </c>
      <c r="J130" s="121">
        <f t="shared" si="54"/>
        <v>10.746812386156648</v>
      </c>
      <c r="K130" s="121"/>
      <c r="L130" s="121">
        <f t="shared" si="55"/>
        <v>2.5079829899818655</v>
      </c>
      <c r="M130" s="121"/>
      <c r="N130" s="121">
        <v>28.37</v>
      </c>
      <c r="O130" s="121">
        <f t="shared" si="56"/>
        <v>6.3325892857142856</v>
      </c>
      <c r="P130" s="121"/>
      <c r="Q130" s="121">
        <f t="shared" si="57"/>
        <v>1.7391147908817115</v>
      </c>
      <c r="R130" s="121"/>
      <c r="S130" s="121">
        <v>72.260000000000005</v>
      </c>
      <c r="T130" s="121">
        <v>55.5</v>
      </c>
      <c r="U130" s="121">
        <f t="shared" ref="U130:U153" si="63">S130*10/T130</f>
        <v>13.019819819819821</v>
      </c>
      <c r="V130" s="121">
        <f t="shared" si="58"/>
        <v>2.7755404398919286</v>
      </c>
      <c r="W130" s="121">
        <v>15.12</v>
      </c>
      <c r="X130" s="121">
        <v>29.1</v>
      </c>
      <c r="Y130" s="121">
        <f t="shared" ref="Y130:Y153" si="64">W130*10/X130</f>
        <v>5.1958762886597931</v>
      </c>
      <c r="Z130" s="123">
        <f t="shared" si="59"/>
        <v>1.2696221085454769</v>
      </c>
      <c r="AA130" s="99">
        <f t="shared" si="60"/>
        <v>72.302470520370719</v>
      </c>
      <c r="AB130" s="99">
        <f t="shared" si="61"/>
        <v>19.304299554593005</v>
      </c>
      <c r="AE130" s="119">
        <v>45</v>
      </c>
      <c r="AF130" s="119">
        <v>20</v>
      </c>
      <c r="AG130" s="119">
        <v>35</v>
      </c>
      <c r="AH130" s="119">
        <v>16</v>
      </c>
      <c r="AI130" s="120">
        <v>25.1</v>
      </c>
      <c r="AJ130" s="120">
        <v>15.2</v>
      </c>
      <c r="AK130" s="122">
        <v>0.55000000000000004</v>
      </c>
    </row>
    <row r="131" spans="1:37" x14ac:dyDescent="0.2">
      <c r="A131" s="118" t="s">
        <v>375</v>
      </c>
      <c r="B131" s="121">
        <f t="shared" ref="B131:B153" si="65">0.1*7.85*H131</f>
        <v>8.3445500000000017</v>
      </c>
      <c r="C131" s="119">
        <v>80</v>
      </c>
      <c r="D131" s="119">
        <v>60</v>
      </c>
      <c r="E131" s="120">
        <v>8</v>
      </c>
      <c r="F131" s="120">
        <v>8</v>
      </c>
      <c r="G131" s="120">
        <f t="shared" si="62"/>
        <v>4</v>
      </c>
      <c r="H131" s="121">
        <v>10.63</v>
      </c>
      <c r="I131" s="121">
        <v>66.28</v>
      </c>
      <c r="J131" s="121">
        <f t="shared" ref="J131:J153" si="66">I131*10/($C131-$AI131)</f>
        <v>12.161467889908256</v>
      </c>
      <c r="K131" s="121"/>
      <c r="L131" s="121">
        <f t="shared" ref="L131:L153" si="67">SQRT(I131/H131)</f>
        <v>2.4970349302894435</v>
      </c>
      <c r="M131" s="121"/>
      <c r="N131" s="121">
        <v>31.79</v>
      </c>
      <c r="O131" s="121">
        <f t="shared" ref="O131:O153" si="68">$N131*10/($D131-$AJ131)</f>
        <v>7.1599099099099099</v>
      </c>
      <c r="P131" s="121"/>
      <c r="Q131" s="121">
        <f t="shared" ref="Q131:Q153" si="69">SQRT(N131/H131)</f>
        <v>1.7293330108098253</v>
      </c>
      <c r="R131" s="121"/>
      <c r="S131" s="121">
        <v>81</v>
      </c>
      <c r="T131" s="121">
        <v>55.3</v>
      </c>
      <c r="U131" s="121">
        <f t="shared" si="63"/>
        <v>14.647377938517179</v>
      </c>
      <c r="V131" s="121">
        <f t="shared" ref="V131:V153" si="70">SQRT(S131/H131)</f>
        <v>2.7604245245928496</v>
      </c>
      <c r="W131" s="121">
        <v>17.059999999999999</v>
      </c>
      <c r="X131" s="121">
        <v>29.1</v>
      </c>
      <c r="Y131" s="121">
        <f t="shared" si="64"/>
        <v>5.8625429553264601</v>
      </c>
      <c r="Z131" s="123">
        <f t="shared" ref="Z131:Z153" si="71">SQRT(W131/H131)</f>
        <v>1.2668432482419363</v>
      </c>
      <c r="AA131" s="99">
        <f t="shared" ref="AA131:AA153" si="72">C131-(C131-E131)*E131/(2*D131)-(D131-2*E131)*E131/(2*D131)-PI()*E131*E131/(4*D131)-(1-PI()/4)*F131*F131/(2*D131)</f>
        <v>71.314454312854693</v>
      </c>
      <c r="AB131" s="99">
        <f t="shared" ref="AB131:AB153" si="73">((C131-2*E131)*(AA131-C131/2)*E131+((AA131-C131+E131)^2+(C131-AA131)^2)*(D131-E131)/2+PI()*E131*E131/4*AA131+(1-PI()/4)*F131*F131*((10-3*PI())/(12-3*PI())*F131+AA131-C131+E131))/1000</f>
        <v>21.606408824235867</v>
      </c>
      <c r="AE131" s="119">
        <v>45</v>
      </c>
      <c r="AF131" s="119">
        <v>20</v>
      </c>
      <c r="AG131" s="119">
        <v>35</v>
      </c>
      <c r="AH131" s="119">
        <v>16</v>
      </c>
      <c r="AI131" s="120">
        <v>25.5</v>
      </c>
      <c r="AJ131" s="120">
        <v>15.6</v>
      </c>
      <c r="AK131" s="122">
        <v>0.54700000000000004</v>
      </c>
    </row>
    <row r="132" spans="1:37" x14ac:dyDescent="0.2">
      <c r="A132" s="118" t="s">
        <v>376</v>
      </c>
      <c r="B132" s="121">
        <f t="shared" si="65"/>
        <v>6.5783000000000005</v>
      </c>
      <c r="C132" s="119">
        <v>80</v>
      </c>
      <c r="D132" s="119">
        <v>65</v>
      </c>
      <c r="E132" s="120">
        <v>6</v>
      </c>
      <c r="F132" s="120">
        <v>6</v>
      </c>
      <c r="G132" s="120">
        <f t="shared" si="62"/>
        <v>3</v>
      </c>
      <c r="H132" s="121">
        <v>8.3800000000000008</v>
      </c>
      <c r="I132" s="121">
        <v>53.16</v>
      </c>
      <c r="J132" s="121">
        <f t="shared" si="66"/>
        <v>9.5098389982110891</v>
      </c>
      <c r="K132" s="121"/>
      <c r="L132" s="121">
        <f t="shared" si="67"/>
        <v>2.5186654040703971</v>
      </c>
      <c r="M132" s="121"/>
      <c r="N132" s="121">
        <v>31.54</v>
      </c>
      <c r="O132" s="121">
        <f t="shared" si="68"/>
        <v>6.5165289256198342</v>
      </c>
      <c r="P132" s="121"/>
      <c r="Q132" s="121">
        <f t="shared" si="69"/>
        <v>1.9400317395233497</v>
      </c>
      <c r="R132" s="121"/>
      <c r="S132" s="121">
        <v>68.97</v>
      </c>
      <c r="T132" s="121">
        <v>56</v>
      </c>
      <c r="U132" s="121">
        <f t="shared" si="63"/>
        <v>12.31607142857143</v>
      </c>
      <c r="V132" s="121">
        <f t="shared" si="70"/>
        <v>2.8688517324061613</v>
      </c>
      <c r="W132" s="121">
        <v>15.73</v>
      </c>
      <c r="X132" s="121">
        <v>29.6</v>
      </c>
      <c r="Y132" s="121">
        <f t="shared" si="64"/>
        <v>5.3141891891891895</v>
      </c>
      <c r="Z132" s="123">
        <f t="shared" si="71"/>
        <v>1.3700687229074533</v>
      </c>
      <c r="AA132" s="99">
        <f t="shared" si="72"/>
        <v>73.64404358552072</v>
      </c>
      <c r="AB132" s="99">
        <f t="shared" si="73"/>
        <v>17.012094219865347</v>
      </c>
      <c r="AE132" s="119">
        <v>45</v>
      </c>
      <c r="AF132" s="119">
        <v>20</v>
      </c>
      <c r="AG132" s="119">
        <v>35</v>
      </c>
      <c r="AH132" s="119">
        <v>16</v>
      </c>
      <c r="AI132" s="120">
        <v>24.1</v>
      </c>
      <c r="AJ132" s="120">
        <v>16.600000000000001</v>
      </c>
      <c r="AK132" s="122">
        <v>0.65</v>
      </c>
    </row>
    <row r="133" spans="1:37" x14ac:dyDescent="0.2">
      <c r="A133" s="118" t="s">
        <v>377</v>
      </c>
      <c r="B133" s="121">
        <f t="shared" si="65"/>
        <v>8.65855</v>
      </c>
      <c r="C133" s="119">
        <v>80</v>
      </c>
      <c r="D133" s="119">
        <v>65</v>
      </c>
      <c r="E133" s="120">
        <v>8</v>
      </c>
      <c r="F133" s="120">
        <v>8</v>
      </c>
      <c r="G133" s="120">
        <f t="shared" si="62"/>
        <v>4</v>
      </c>
      <c r="H133" s="121">
        <v>11.03</v>
      </c>
      <c r="I133" s="121">
        <v>68.08</v>
      </c>
      <c r="J133" s="121">
        <f t="shared" si="66"/>
        <v>12.311030741410487</v>
      </c>
      <c r="K133" s="121"/>
      <c r="L133" s="121">
        <f t="shared" si="67"/>
        <v>2.4844028416505015</v>
      </c>
      <c r="M133" s="121"/>
      <c r="N133" s="121">
        <v>40.11</v>
      </c>
      <c r="O133" s="121">
        <f t="shared" si="68"/>
        <v>8.4088050314465406</v>
      </c>
      <c r="P133" s="121"/>
      <c r="Q133" s="121">
        <f t="shared" si="69"/>
        <v>1.9069467890348528</v>
      </c>
      <c r="R133" s="121"/>
      <c r="S133" s="121">
        <v>87.95</v>
      </c>
      <c r="T133" s="121">
        <v>55.8</v>
      </c>
      <c r="U133" s="121">
        <f t="shared" si="63"/>
        <v>15.761648745519715</v>
      </c>
      <c r="V133" s="121">
        <f t="shared" si="70"/>
        <v>2.8237754990266124</v>
      </c>
      <c r="W133" s="121">
        <v>20.239999999999998</v>
      </c>
      <c r="X133" s="121">
        <v>29.5</v>
      </c>
      <c r="Y133" s="121">
        <f t="shared" si="64"/>
        <v>6.8610169491525417</v>
      </c>
      <c r="Z133" s="123">
        <f t="shared" si="71"/>
        <v>1.3546200452187438</v>
      </c>
      <c r="AA133" s="99">
        <f t="shared" si="72"/>
        <v>71.674880904173563</v>
      </c>
      <c r="AB133" s="99">
        <f t="shared" si="73"/>
        <v>21.818668290752292</v>
      </c>
      <c r="AE133" s="119">
        <v>45</v>
      </c>
      <c r="AF133" s="119">
        <v>20</v>
      </c>
      <c r="AG133" s="119">
        <v>35</v>
      </c>
      <c r="AH133" s="119">
        <v>16</v>
      </c>
      <c r="AI133" s="120">
        <v>24.7</v>
      </c>
      <c r="AJ133" s="120">
        <v>17.3</v>
      </c>
      <c r="AK133" s="122">
        <v>0.64400000000000002</v>
      </c>
    </row>
    <row r="134" spans="1:37" x14ac:dyDescent="0.2">
      <c r="A134" s="118" t="s">
        <v>378</v>
      </c>
      <c r="B134" s="121">
        <f t="shared" si="65"/>
        <v>10.68385</v>
      </c>
      <c r="C134" s="119">
        <v>80</v>
      </c>
      <c r="D134" s="119">
        <v>65</v>
      </c>
      <c r="E134" s="120">
        <v>10</v>
      </c>
      <c r="F134" s="120">
        <v>10</v>
      </c>
      <c r="G134" s="120">
        <f t="shared" si="62"/>
        <v>5</v>
      </c>
      <c r="H134" s="121">
        <v>13.61</v>
      </c>
      <c r="I134" s="121">
        <v>81.760000000000005</v>
      </c>
      <c r="J134" s="121">
        <f t="shared" si="66"/>
        <v>14.974358974358974</v>
      </c>
      <c r="K134" s="121"/>
      <c r="L134" s="121">
        <f t="shared" si="67"/>
        <v>2.4509890939321983</v>
      </c>
      <c r="M134" s="121"/>
      <c r="N134" s="121">
        <v>47.87</v>
      </c>
      <c r="O134" s="121">
        <f t="shared" si="68"/>
        <v>10.185106382978724</v>
      </c>
      <c r="P134" s="121"/>
      <c r="Q134" s="121">
        <f t="shared" si="69"/>
        <v>1.8754377397424467</v>
      </c>
      <c r="R134" s="121"/>
      <c r="S134" s="121">
        <v>105.11</v>
      </c>
      <c r="T134" s="121">
        <v>55.7</v>
      </c>
      <c r="U134" s="121">
        <f t="shared" si="63"/>
        <v>18.870736086175938</v>
      </c>
      <c r="V134" s="121">
        <f t="shared" si="70"/>
        <v>2.7790282106769673</v>
      </c>
      <c r="W134" s="121">
        <v>24.52</v>
      </c>
      <c r="X134" s="121">
        <v>29.4</v>
      </c>
      <c r="Y134" s="121">
        <f t="shared" si="64"/>
        <v>8.3401360544217695</v>
      </c>
      <c r="Z134" s="123">
        <f t="shared" si="71"/>
        <v>1.3422430698224548</v>
      </c>
      <c r="AA134" s="99">
        <f t="shared" si="72"/>
        <v>69.780462951232721</v>
      </c>
      <c r="AB134" s="99">
        <f t="shared" si="73"/>
        <v>26.265442564770911</v>
      </c>
      <c r="AE134" s="119">
        <v>45</v>
      </c>
      <c r="AF134" s="119">
        <v>20</v>
      </c>
      <c r="AG134" s="119">
        <v>35</v>
      </c>
      <c r="AH134" s="119">
        <v>16</v>
      </c>
      <c r="AI134" s="120">
        <v>25.4</v>
      </c>
      <c r="AJ134" s="120">
        <v>18</v>
      </c>
      <c r="AK134" s="122">
        <v>0.63900000000000001</v>
      </c>
    </row>
    <row r="135" spans="1:37" s="99" customFormat="1" x14ac:dyDescent="0.2">
      <c r="A135" s="141" t="s">
        <v>379</v>
      </c>
      <c r="B135" s="103">
        <f t="shared" si="65"/>
        <v>9.6005500000000001</v>
      </c>
      <c r="C135" s="101">
        <v>90</v>
      </c>
      <c r="D135" s="101">
        <v>70</v>
      </c>
      <c r="E135" s="102">
        <v>8</v>
      </c>
      <c r="F135" s="102">
        <v>8</v>
      </c>
      <c r="G135" s="102">
        <f t="shared" si="62"/>
        <v>4</v>
      </c>
      <c r="H135" s="103">
        <v>12.23</v>
      </c>
      <c r="I135" s="103">
        <v>97.3</v>
      </c>
      <c r="J135" s="103">
        <f t="shared" si="66"/>
        <v>15.693548387096774</v>
      </c>
      <c r="K135" s="103"/>
      <c r="L135" s="103">
        <f t="shared" si="67"/>
        <v>2.8206109763028699</v>
      </c>
      <c r="M135" s="103"/>
      <c r="N135" s="103">
        <v>51.4</v>
      </c>
      <c r="O135" s="103">
        <f t="shared" si="68"/>
        <v>9.9036608863198463</v>
      </c>
      <c r="P135" s="103"/>
      <c r="Q135" s="103">
        <f t="shared" si="69"/>
        <v>2.0500683035108098</v>
      </c>
      <c r="R135" s="103"/>
      <c r="S135" s="103">
        <v>122</v>
      </c>
      <c r="T135" s="103">
        <v>62.6</v>
      </c>
      <c r="U135" s="103">
        <f t="shared" si="63"/>
        <v>19.488817891373802</v>
      </c>
      <c r="V135" s="103">
        <f t="shared" si="70"/>
        <v>3.1583967697798325</v>
      </c>
      <c r="W135" s="103">
        <v>26.7</v>
      </c>
      <c r="X135" s="103">
        <v>33</v>
      </c>
      <c r="Y135" s="103">
        <f t="shared" si="64"/>
        <v>8.0909090909090917</v>
      </c>
      <c r="Z135" s="105">
        <f t="shared" si="71"/>
        <v>1.4775507346092165</v>
      </c>
      <c r="AA135" s="99">
        <f t="shared" si="72"/>
        <v>81.41238941101831</v>
      </c>
      <c r="AB135" s="99">
        <f t="shared" si="73"/>
        <v>27.961702418945485</v>
      </c>
      <c r="AE135" s="101">
        <v>50</v>
      </c>
      <c r="AF135" s="101">
        <v>20</v>
      </c>
      <c r="AG135" s="101">
        <v>40</v>
      </c>
      <c r="AH135" s="101">
        <v>16</v>
      </c>
      <c r="AI135" s="102">
        <v>28</v>
      </c>
      <c r="AJ135" s="102">
        <v>18.100000000000001</v>
      </c>
      <c r="AK135" s="104">
        <v>0.59199999999999997</v>
      </c>
    </row>
    <row r="136" spans="1:37" x14ac:dyDescent="0.2">
      <c r="A136" s="142" t="s">
        <v>380</v>
      </c>
      <c r="B136" s="109">
        <f t="shared" si="65"/>
        <v>10.738799999999999</v>
      </c>
      <c r="C136" s="107">
        <v>90</v>
      </c>
      <c r="D136" s="107">
        <v>70</v>
      </c>
      <c r="E136" s="108">
        <v>9</v>
      </c>
      <c r="F136" s="108">
        <v>8</v>
      </c>
      <c r="G136" s="108">
        <f t="shared" si="62"/>
        <v>4</v>
      </c>
      <c r="H136" s="109">
        <v>13.68</v>
      </c>
      <c r="I136" s="109">
        <v>107.5</v>
      </c>
      <c r="J136" s="109">
        <f t="shared" si="66"/>
        <v>17.423014586709886</v>
      </c>
      <c r="K136" s="109"/>
      <c r="L136" s="109">
        <f t="shared" si="67"/>
        <v>2.8032458212762799</v>
      </c>
      <c r="M136" s="109"/>
      <c r="N136" s="109">
        <v>56.6</v>
      </c>
      <c r="O136" s="109">
        <f t="shared" si="68"/>
        <v>10.968992248062015</v>
      </c>
      <c r="P136" s="109"/>
      <c r="Q136" s="109">
        <f t="shared" si="69"/>
        <v>2.034066591974018</v>
      </c>
      <c r="R136" s="109"/>
      <c r="S136" s="109">
        <v>134.1</v>
      </c>
      <c r="T136" s="109">
        <v>62.6</v>
      </c>
      <c r="U136" s="109">
        <f t="shared" si="63"/>
        <v>21.421725239616613</v>
      </c>
      <c r="V136" s="109">
        <f t="shared" si="70"/>
        <v>3.130915453816562</v>
      </c>
      <c r="W136" s="109">
        <v>30.1</v>
      </c>
      <c r="X136" s="109">
        <v>34.4</v>
      </c>
      <c r="Y136" s="109">
        <f t="shared" si="64"/>
        <v>8.75</v>
      </c>
      <c r="Z136" s="111">
        <f t="shared" si="71"/>
        <v>1.4833382613756105</v>
      </c>
      <c r="AA136" s="99">
        <f t="shared" si="72"/>
        <v>80.443078428478927</v>
      </c>
      <c r="AB136" s="99">
        <f t="shared" si="73"/>
        <v>30.896745912695955</v>
      </c>
      <c r="AE136" s="107">
        <v>50</v>
      </c>
      <c r="AF136" s="107">
        <v>20</v>
      </c>
      <c r="AG136" s="107">
        <v>40</v>
      </c>
      <c r="AH136" s="107">
        <v>16</v>
      </c>
      <c r="AI136" s="108">
        <v>28.3</v>
      </c>
      <c r="AJ136" s="108">
        <v>18.399999999999999</v>
      </c>
      <c r="AK136" s="110">
        <v>0.58799999999999997</v>
      </c>
    </row>
    <row r="137" spans="1:37" x14ac:dyDescent="0.2">
      <c r="A137" s="143" t="s">
        <v>381</v>
      </c>
      <c r="B137" s="115">
        <f t="shared" si="65"/>
        <v>11.845650000000001</v>
      </c>
      <c r="C137" s="113">
        <v>90</v>
      </c>
      <c r="D137" s="113">
        <v>70</v>
      </c>
      <c r="E137" s="114">
        <v>10</v>
      </c>
      <c r="F137" s="114">
        <v>8</v>
      </c>
      <c r="G137" s="114">
        <f t="shared" si="62"/>
        <v>4</v>
      </c>
      <c r="H137" s="115">
        <v>15.09</v>
      </c>
      <c r="I137" s="115">
        <v>117.6</v>
      </c>
      <c r="J137" s="115">
        <f t="shared" si="66"/>
        <v>19.184339314845026</v>
      </c>
      <c r="K137" s="115"/>
      <c r="L137" s="115">
        <f t="shared" si="67"/>
        <v>2.7916376119869213</v>
      </c>
      <c r="M137" s="115"/>
      <c r="N137" s="115">
        <v>61.8</v>
      </c>
      <c r="O137" s="115">
        <f t="shared" si="68"/>
        <v>12.0703125</v>
      </c>
      <c r="P137" s="115"/>
      <c r="Q137" s="115">
        <f t="shared" si="69"/>
        <v>2.0237162437920175</v>
      </c>
      <c r="R137" s="115"/>
      <c r="S137" s="115">
        <v>146.5</v>
      </c>
      <c r="T137" s="115">
        <v>62.6</v>
      </c>
      <c r="U137" s="115">
        <f t="shared" si="63"/>
        <v>23.402555910543132</v>
      </c>
      <c r="V137" s="115">
        <f t="shared" si="70"/>
        <v>3.1158331421385155</v>
      </c>
      <c r="W137" s="115">
        <v>32.9</v>
      </c>
      <c r="X137" s="115">
        <v>34.5</v>
      </c>
      <c r="Y137" s="115">
        <f t="shared" si="64"/>
        <v>9.5362318840579707</v>
      </c>
      <c r="Z137" s="117">
        <f t="shared" si="71"/>
        <v>1.4765675813856065</v>
      </c>
      <c r="AA137" s="99">
        <f t="shared" si="72"/>
        <v>79.494184641271062</v>
      </c>
      <c r="AB137" s="99">
        <f t="shared" si="73"/>
        <v>33.725823753647276</v>
      </c>
      <c r="AE137" s="113">
        <v>50</v>
      </c>
      <c r="AF137" s="113">
        <v>20</v>
      </c>
      <c r="AG137" s="113">
        <v>40</v>
      </c>
      <c r="AH137" s="113">
        <v>16</v>
      </c>
      <c r="AI137" s="114">
        <v>28.7</v>
      </c>
      <c r="AJ137" s="114">
        <v>18.8</v>
      </c>
      <c r="AK137" s="116">
        <v>0.58399999999999996</v>
      </c>
    </row>
    <row r="138" spans="1:37" s="99" customFormat="1" x14ac:dyDescent="0.2">
      <c r="A138" s="144" t="s">
        <v>382</v>
      </c>
      <c r="B138" s="96">
        <f t="shared" si="65"/>
        <v>12.1675</v>
      </c>
      <c r="C138" s="94">
        <v>100</v>
      </c>
      <c r="D138" s="94">
        <v>80</v>
      </c>
      <c r="E138" s="95">
        <v>9</v>
      </c>
      <c r="F138" s="95">
        <v>8</v>
      </c>
      <c r="G138" s="95">
        <f t="shared" si="62"/>
        <v>4</v>
      </c>
      <c r="H138" s="96">
        <v>15.5</v>
      </c>
      <c r="I138" s="96">
        <v>150</v>
      </c>
      <c r="J138" s="96">
        <f t="shared" si="66"/>
        <v>21.582733812949641</v>
      </c>
      <c r="K138" s="96"/>
      <c r="L138" s="96">
        <f t="shared" si="67"/>
        <v>3.1108550841912757</v>
      </c>
      <c r="M138" s="96"/>
      <c r="N138" s="96">
        <v>86</v>
      </c>
      <c r="O138" s="96">
        <f t="shared" si="68"/>
        <v>14.576271186440678</v>
      </c>
      <c r="P138" s="96"/>
      <c r="Q138" s="96">
        <f t="shared" si="69"/>
        <v>2.3555014533585399</v>
      </c>
      <c r="R138" s="96"/>
      <c r="S138" s="96">
        <v>193</v>
      </c>
      <c r="T138" s="96">
        <v>70.099999999999994</v>
      </c>
      <c r="U138" s="96">
        <f t="shared" si="63"/>
        <v>27.532097004279603</v>
      </c>
      <c r="V138" s="96">
        <f t="shared" si="70"/>
        <v>3.5286843020063166</v>
      </c>
      <c r="W138" s="96">
        <v>43</v>
      </c>
      <c r="X138" s="96">
        <v>37.5</v>
      </c>
      <c r="Y138" s="96">
        <f t="shared" si="64"/>
        <v>11.466666666666667</v>
      </c>
      <c r="Z138" s="98">
        <f t="shared" si="71"/>
        <v>1.6655910507645917</v>
      </c>
      <c r="AA138" s="99">
        <f t="shared" si="72"/>
        <v>90.512693624919052</v>
      </c>
      <c r="AB138" s="99">
        <f t="shared" si="73"/>
        <v>38.878135520954366</v>
      </c>
      <c r="AE138" s="94">
        <v>55</v>
      </c>
      <c r="AF138" s="94">
        <v>24</v>
      </c>
      <c r="AG138" s="94">
        <v>45</v>
      </c>
      <c r="AH138" s="94">
        <v>20</v>
      </c>
      <c r="AI138" s="95">
        <f>C138-69.5</f>
        <v>30.5</v>
      </c>
      <c r="AJ138" s="95">
        <f>D138-59</f>
        <v>21</v>
      </c>
      <c r="AK138" s="97">
        <v>0.62</v>
      </c>
    </row>
    <row r="139" spans="1:37" x14ac:dyDescent="0.2">
      <c r="A139" s="145" t="s">
        <v>383</v>
      </c>
      <c r="B139" s="121">
        <f t="shared" si="65"/>
        <v>13.423500000000002</v>
      </c>
      <c r="C139" s="119">
        <v>100</v>
      </c>
      <c r="D139" s="119">
        <v>80</v>
      </c>
      <c r="E139" s="120">
        <v>10</v>
      </c>
      <c r="F139" s="120">
        <v>9</v>
      </c>
      <c r="G139" s="120">
        <f t="shared" si="62"/>
        <v>4.5</v>
      </c>
      <c r="H139" s="121">
        <v>17.100000000000001</v>
      </c>
      <c r="I139" s="121">
        <v>166</v>
      </c>
      <c r="J139" s="121">
        <f t="shared" si="66"/>
        <v>24.127906976744185</v>
      </c>
      <c r="K139" s="121"/>
      <c r="L139" s="121">
        <f t="shared" si="67"/>
        <v>3.1157025434372398</v>
      </c>
      <c r="M139" s="121"/>
      <c r="N139" s="121">
        <v>93.9</v>
      </c>
      <c r="O139" s="121">
        <f t="shared" si="68"/>
        <v>15.996592844974446</v>
      </c>
      <c r="P139" s="121"/>
      <c r="Q139" s="121">
        <f t="shared" si="69"/>
        <v>2.3433369519075651</v>
      </c>
      <c r="R139" s="121"/>
      <c r="S139" s="121">
        <v>211</v>
      </c>
      <c r="T139" s="121">
        <v>69.400000000000006</v>
      </c>
      <c r="U139" s="121">
        <f t="shared" si="63"/>
        <v>30.403458213256481</v>
      </c>
      <c r="V139" s="121">
        <f t="shared" si="70"/>
        <v>3.5127170803453138</v>
      </c>
      <c r="W139" s="121">
        <v>48.6</v>
      </c>
      <c r="X139" s="121">
        <v>36.799999999999997</v>
      </c>
      <c r="Y139" s="121">
        <f t="shared" si="64"/>
        <v>13.206521739130435</v>
      </c>
      <c r="Z139" s="123">
        <f t="shared" si="71"/>
        <v>1.6858544608470492</v>
      </c>
      <c r="AA139" s="99">
        <f t="shared" si="72"/>
        <v>89.534610115973138</v>
      </c>
      <c r="AB139" s="99">
        <f t="shared" si="73"/>
        <v>42.52750897169885</v>
      </c>
      <c r="AE139" s="119">
        <v>55</v>
      </c>
      <c r="AF139" s="119">
        <v>24</v>
      </c>
      <c r="AG139" s="119">
        <v>45</v>
      </c>
      <c r="AH139" s="119">
        <v>20</v>
      </c>
      <c r="AI139" s="120">
        <v>31.2</v>
      </c>
      <c r="AJ139" s="120">
        <v>21.3</v>
      </c>
      <c r="AK139" s="122">
        <v>0.62</v>
      </c>
    </row>
    <row r="140" spans="1:37" x14ac:dyDescent="0.2">
      <c r="A140" s="145" t="s">
        <v>384</v>
      </c>
      <c r="B140" s="121">
        <f t="shared" si="65"/>
        <v>14.679500000000001</v>
      </c>
      <c r="C140" s="119">
        <v>100</v>
      </c>
      <c r="D140" s="119">
        <v>80</v>
      </c>
      <c r="E140" s="120">
        <v>11</v>
      </c>
      <c r="F140" s="120">
        <v>9</v>
      </c>
      <c r="G140" s="120">
        <f t="shared" si="62"/>
        <v>4.5</v>
      </c>
      <c r="H140" s="121">
        <v>18.7</v>
      </c>
      <c r="I140" s="121">
        <v>180</v>
      </c>
      <c r="J140" s="121">
        <f t="shared" si="66"/>
        <v>26.277372262773724</v>
      </c>
      <c r="K140" s="121"/>
      <c r="L140" s="121">
        <f t="shared" si="67"/>
        <v>3.1025261399701152</v>
      </c>
      <c r="M140" s="121"/>
      <c r="N140" s="121">
        <v>102</v>
      </c>
      <c r="O140" s="121">
        <f t="shared" si="68"/>
        <v>17.465753424657535</v>
      </c>
      <c r="P140" s="121"/>
      <c r="Q140" s="121">
        <f t="shared" si="69"/>
        <v>2.3354968324845689</v>
      </c>
      <c r="R140" s="121"/>
      <c r="S140" s="121">
        <v>228</v>
      </c>
      <c r="T140" s="121">
        <v>69.5</v>
      </c>
      <c r="U140" s="121">
        <f t="shared" si="63"/>
        <v>32.805755395683455</v>
      </c>
      <c r="V140" s="121">
        <f t="shared" si="70"/>
        <v>3.4917779667361382</v>
      </c>
      <c r="W140" s="121">
        <v>52</v>
      </c>
      <c r="X140" s="121">
        <v>36.799999999999997</v>
      </c>
      <c r="Y140" s="121">
        <f t="shared" si="64"/>
        <v>14.130434782608697</v>
      </c>
      <c r="Z140" s="123">
        <f t="shared" si="71"/>
        <v>1.6675576940848567</v>
      </c>
      <c r="AA140" s="99">
        <f t="shared" si="72"/>
        <v>88.597193098081306</v>
      </c>
      <c r="AB140" s="99">
        <f t="shared" si="73"/>
        <v>46.055433250742297</v>
      </c>
      <c r="AE140" s="119">
        <v>55</v>
      </c>
      <c r="AF140" s="119">
        <v>24</v>
      </c>
      <c r="AG140" s="119">
        <v>45</v>
      </c>
      <c r="AH140" s="119">
        <v>20</v>
      </c>
      <c r="AI140" s="120">
        <v>31.5</v>
      </c>
      <c r="AJ140" s="120">
        <v>21.6</v>
      </c>
      <c r="AK140" s="122">
        <v>0.62</v>
      </c>
    </row>
    <row r="141" spans="1:37" x14ac:dyDescent="0.2">
      <c r="A141" s="145" t="s">
        <v>385</v>
      </c>
      <c r="B141" s="121">
        <f t="shared" si="65"/>
        <v>15.856999999999999</v>
      </c>
      <c r="C141" s="119">
        <v>100</v>
      </c>
      <c r="D141" s="119">
        <v>80</v>
      </c>
      <c r="E141" s="120">
        <v>12</v>
      </c>
      <c r="F141" s="120">
        <v>9</v>
      </c>
      <c r="G141" s="120">
        <f t="shared" si="62"/>
        <v>4.5</v>
      </c>
      <c r="H141" s="121">
        <v>20.2</v>
      </c>
      <c r="I141" s="121">
        <v>193</v>
      </c>
      <c r="J141" s="121">
        <f t="shared" si="66"/>
        <v>28.382352941176471</v>
      </c>
      <c r="K141" s="121"/>
      <c r="L141" s="121">
        <f t="shared" si="67"/>
        <v>3.0910282181734536</v>
      </c>
      <c r="M141" s="121"/>
      <c r="N141" s="121">
        <v>109</v>
      </c>
      <c r="O141" s="121">
        <f t="shared" si="68"/>
        <v>18.825561312607945</v>
      </c>
      <c r="P141" s="121"/>
      <c r="Q141" s="121">
        <f t="shared" si="69"/>
        <v>2.3229377098752337</v>
      </c>
      <c r="R141" s="121"/>
      <c r="S141" s="121">
        <v>246</v>
      </c>
      <c r="T141" s="121">
        <v>69.400000000000006</v>
      </c>
      <c r="U141" s="121">
        <f t="shared" si="63"/>
        <v>35.446685878962533</v>
      </c>
      <c r="V141" s="121">
        <f t="shared" si="70"/>
        <v>3.4897303365420913</v>
      </c>
      <c r="W141" s="121">
        <v>57.1</v>
      </c>
      <c r="X141" s="121">
        <v>37.1</v>
      </c>
      <c r="Y141" s="121">
        <f t="shared" si="64"/>
        <v>15.390835579514825</v>
      </c>
      <c r="Z141" s="123">
        <f t="shared" si="71"/>
        <v>1.6812889915976155</v>
      </c>
      <c r="AA141" s="99">
        <f t="shared" si="72"/>
        <v>87.677641126104547</v>
      </c>
      <c r="AB141" s="99">
        <f t="shared" si="73"/>
        <v>49.473568637086331</v>
      </c>
      <c r="AE141" s="119">
        <v>55</v>
      </c>
      <c r="AF141" s="119">
        <v>24</v>
      </c>
      <c r="AG141" s="119">
        <v>45</v>
      </c>
      <c r="AH141" s="119">
        <v>20</v>
      </c>
      <c r="AI141" s="120">
        <v>32</v>
      </c>
      <c r="AJ141" s="120">
        <v>22.1</v>
      </c>
      <c r="AK141" s="122">
        <v>0.62</v>
      </c>
    </row>
    <row r="142" spans="1:37" s="99" customFormat="1" x14ac:dyDescent="0.2">
      <c r="A142" s="141" t="s">
        <v>386</v>
      </c>
      <c r="B142" s="103">
        <f t="shared" si="65"/>
        <v>12.1675</v>
      </c>
      <c r="C142" s="101">
        <v>120</v>
      </c>
      <c r="D142" s="101">
        <v>80</v>
      </c>
      <c r="E142" s="102">
        <v>8</v>
      </c>
      <c r="F142" s="101">
        <v>11</v>
      </c>
      <c r="G142" s="102">
        <f t="shared" si="62"/>
        <v>5.5</v>
      </c>
      <c r="H142" s="103">
        <v>15.5</v>
      </c>
      <c r="I142" s="103">
        <v>226</v>
      </c>
      <c r="J142" s="103">
        <f t="shared" si="66"/>
        <v>27.66217870257038</v>
      </c>
      <c r="K142" s="103"/>
      <c r="L142" s="103">
        <f t="shared" si="67"/>
        <v>3.8184610985697263</v>
      </c>
      <c r="M142" s="103"/>
      <c r="N142" s="103">
        <v>80.8</v>
      </c>
      <c r="O142" s="103">
        <f t="shared" si="68"/>
        <v>13.181076672104405</v>
      </c>
      <c r="P142" s="103"/>
      <c r="Q142" s="103">
        <f t="shared" si="69"/>
        <v>2.2831783166906723</v>
      </c>
      <c r="R142" s="103"/>
      <c r="S142" s="103">
        <v>260</v>
      </c>
      <c r="T142" s="103">
        <v>82.3</v>
      </c>
      <c r="U142" s="103">
        <f t="shared" si="63"/>
        <v>31.591737545565007</v>
      </c>
      <c r="V142" s="103">
        <f t="shared" si="70"/>
        <v>4.0956310317687423</v>
      </c>
      <c r="W142" s="103">
        <v>46.6</v>
      </c>
      <c r="X142" s="103">
        <v>42.3</v>
      </c>
      <c r="Y142" s="103">
        <f t="shared" si="64"/>
        <v>11.016548463356974</v>
      </c>
      <c r="Z142" s="105">
        <f t="shared" si="71"/>
        <v>1.7339122275660974</v>
      </c>
      <c r="AA142" s="99">
        <f t="shared" si="72"/>
        <v>110.40938883035136</v>
      </c>
      <c r="AB142" s="99">
        <f t="shared" si="73"/>
        <v>50.915246491962165</v>
      </c>
      <c r="AE142" s="101">
        <v>50</v>
      </c>
      <c r="AF142" s="101">
        <v>24</v>
      </c>
      <c r="AG142" s="101">
        <v>45</v>
      </c>
      <c r="AH142" s="101">
        <v>20</v>
      </c>
      <c r="AI142" s="102">
        <v>38.299999999999997</v>
      </c>
      <c r="AJ142" s="102">
        <v>18.7</v>
      </c>
      <c r="AK142" s="104">
        <v>0.435</v>
      </c>
    </row>
    <row r="143" spans="1:37" x14ac:dyDescent="0.2">
      <c r="A143" s="142" t="s">
        <v>387</v>
      </c>
      <c r="B143" s="109">
        <f t="shared" si="65"/>
        <v>14.993500000000001</v>
      </c>
      <c r="C143" s="107">
        <v>120</v>
      </c>
      <c r="D143" s="107">
        <v>80</v>
      </c>
      <c r="E143" s="107">
        <v>10</v>
      </c>
      <c r="F143" s="107">
        <v>11</v>
      </c>
      <c r="G143" s="108">
        <f t="shared" si="62"/>
        <v>5.5</v>
      </c>
      <c r="H143" s="109">
        <v>19.100000000000001</v>
      </c>
      <c r="I143" s="109">
        <v>276</v>
      </c>
      <c r="J143" s="109">
        <f t="shared" si="66"/>
        <v>34.158415841584159</v>
      </c>
      <c r="K143" s="109"/>
      <c r="L143" s="109">
        <f t="shared" si="67"/>
        <v>3.8013499944236537</v>
      </c>
      <c r="M143" s="109"/>
      <c r="N143" s="109">
        <v>98.1</v>
      </c>
      <c r="O143" s="109">
        <f t="shared" si="68"/>
        <v>16.214876033057852</v>
      </c>
      <c r="P143" s="109"/>
      <c r="Q143" s="109">
        <f t="shared" si="69"/>
        <v>2.2663021983950555</v>
      </c>
      <c r="R143" s="109"/>
      <c r="S143" s="109">
        <v>317</v>
      </c>
      <c r="T143" s="109">
        <v>81.900000000000006</v>
      </c>
      <c r="U143" s="109">
        <f t="shared" si="63"/>
        <v>38.705738705738703</v>
      </c>
      <c r="V143" s="109">
        <f t="shared" si="70"/>
        <v>4.0739242308545034</v>
      </c>
      <c r="W143" s="109">
        <v>56.8</v>
      </c>
      <c r="X143" s="109">
        <v>42.1</v>
      </c>
      <c r="Y143" s="109">
        <f t="shared" si="64"/>
        <v>13.4916864608076</v>
      </c>
      <c r="Z143" s="111">
        <f t="shared" si="71"/>
        <v>1.7244773090791294</v>
      </c>
      <c r="AA143" s="99">
        <f t="shared" si="72"/>
        <v>108.23095965682251</v>
      </c>
      <c r="AB143" s="99">
        <f t="shared" si="73"/>
        <v>61.706658207350806</v>
      </c>
      <c r="AE143" s="107">
        <v>50</v>
      </c>
      <c r="AF143" s="107">
        <v>24</v>
      </c>
      <c r="AG143" s="107">
        <v>45</v>
      </c>
      <c r="AH143" s="107">
        <v>20</v>
      </c>
      <c r="AI143" s="108">
        <v>39.200000000000003</v>
      </c>
      <c r="AJ143" s="108">
        <v>19.5</v>
      </c>
      <c r="AK143" s="110">
        <v>0.435</v>
      </c>
    </row>
    <row r="144" spans="1:37" x14ac:dyDescent="0.2">
      <c r="A144" s="143" t="s">
        <v>388</v>
      </c>
      <c r="B144" s="115">
        <f t="shared" si="65"/>
        <v>17.819500000000001</v>
      </c>
      <c r="C144" s="113">
        <v>120</v>
      </c>
      <c r="D144" s="113">
        <v>80</v>
      </c>
      <c r="E144" s="113">
        <v>12</v>
      </c>
      <c r="F144" s="113">
        <v>11</v>
      </c>
      <c r="G144" s="114">
        <f t="shared" si="62"/>
        <v>5.5</v>
      </c>
      <c r="H144" s="115">
        <v>22.7</v>
      </c>
      <c r="I144" s="115">
        <v>323</v>
      </c>
      <c r="J144" s="115">
        <f t="shared" si="66"/>
        <v>40.375</v>
      </c>
      <c r="K144" s="115"/>
      <c r="L144" s="115">
        <f t="shared" si="67"/>
        <v>3.7721446008693573</v>
      </c>
      <c r="M144" s="115"/>
      <c r="N144" s="114">
        <v>114</v>
      </c>
      <c r="O144" s="115">
        <f t="shared" si="68"/>
        <v>19.095477386934672</v>
      </c>
      <c r="P144" s="115"/>
      <c r="Q144" s="115">
        <f t="shared" si="69"/>
        <v>2.2409878249821129</v>
      </c>
      <c r="R144" s="115"/>
      <c r="S144" s="115">
        <v>371</v>
      </c>
      <c r="T144" s="115">
        <v>81.5</v>
      </c>
      <c r="U144" s="115">
        <f t="shared" si="63"/>
        <v>45.521472392638039</v>
      </c>
      <c r="V144" s="115">
        <f t="shared" si="70"/>
        <v>4.0427233809403482</v>
      </c>
      <c r="W144" s="115">
        <v>66.599999999999994</v>
      </c>
      <c r="X144" s="115">
        <v>42</v>
      </c>
      <c r="Y144" s="115">
        <f t="shared" si="64"/>
        <v>15.857142857142858</v>
      </c>
      <c r="Z144" s="117">
        <f t="shared" si="71"/>
        <v>1.7128691441104935</v>
      </c>
      <c r="AA144" s="99">
        <f t="shared" si="72"/>
        <v>106.12399066695392</v>
      </c>
      <c r="AB144" s="99">
        <f t="shared" si="73"/>
        <v>71.818409103793797</v>
      </c>
      <c r="AE144" s="113">
        <v>50</v>
      </c>
      <c r="AF144" s="113">
        <v>24</v>
      </c>
      <c r="AG144" s="113">
        <v>45</v>
      </c>
      <c r="AH144" s="113">
        <v>20</v>
      </c>
      <c r="AI144" s="114">
        <v>40</v>
      </c>
      <c r="AJ144" s="114">
        <v>20.3</v>
      </c>
      <c r="AK144" s="116">
        <v>0.435</v>
      </c>
    </row>
    <row r="145" spans="1:37" s="99" customFormat="1" x14ac:dyDescent="0.2">
      <c r="A145" s="144" t="s">
        <v>389</v>
      </c>
      <c r="B145" s="96">
        <f t="shared" si="65"/>
        <v>18.212</v>
      </c>
      <c r="C145" s="94">
        <v>150</v>
      </c>
      <c r="D145" s="94">
        <v>90</v>
      </c>
      <c r="E145" s="94">
        <v>10</v>
      </c>
      <c r="F145" s="94">
        <v>12</v>
      </c>
      <c r="G145" s="95">
        <f t="shared" si="62"/>
        <v>6</v>
      </c>
      <c r="H145" s="96">
        <v>23.2</v>
      </c>
      <c r="I145" s="96">
        <v>533</v>
      </c>
      <c r="J145" s="96">
        <f t="shared" si="66"/>
        <v>53.3</v>
      </c>
      <c r="K145" s="96"/>
      <c r="L145" s="96">
        <f t="shared" si="67"/>
        <v>4.793134457850571</v>
      </c>
      <c r="M145" s="96"/>
      <c r="N145" s="95">
        <v>146</v>
      </c>
      <c r="O145" s="96">
        <f t="shared" si="68"/>
        <v>20.977011494252874</v>
      </c>
      <c r="P145" s="96"/>
      <c r="Q145" s="96">
        <f t="shared" si="69"/>
        <v>2.5086058774299049</v>
      </c>
      <c r="R145" s="96"/>
      <c r="S145" s="96">
        <v>591</v>
      </c>
      <c r="T145" s="96">
        <v>101</v>
      </c>
      <c r="U145" s="96">
        <f t="shared" si="63"/>
        <v>58.514851485148512</v>
      </c>
      <c r="V145" s="96">
        <f t="shared" si="70"/>
        <v>5.0471910931759343</v>
      </c>
      <c r="W145" s="96">
        <v>88.2</v>
      </c>
      <c r="X145" s="96">
        <v>50.3</v>
      </c>
      <c r="Y145" s="96">
        <f t="shared" si="64"/>
        <v>17.534791252485089</v>
      </c>
      <c r="Z145" s="98">
        <f t="shared" si="71"/>
        <v>1.9498010508590446</v>
      </c>
      <c r="AA145" s="99">
        <f t="shared" si="72"/>
        <v>137.28898723805412</v>
      </c>
      <c r="AB145" s="99">
        <f t="shared" si="73"/>
        <v>98.514167133698905</v>
      </c>
      <c r="AE145" s="94">
        <v>85</v>
      </c>
      <c r="AF145" s="94">
        <v>27</v>
      </c>
      <c r="AG145" s="94">
        <v>50</v>
      </c>
      <c r="AH145" s="94">
        <v>22</v>
      </c>
      <c r="AI145" s="95">
        <f>C145-100</f>
        <v>50</v>
      </c>
      <c r="AJ145" s="95">
        <v>20.399999999999999</v>
      </c>
      <c r="AK145" s="97">
        <v>0.36099999999999999</v>
      </c>
    </row>
    <row r="146" spans="1:37" x14ac:dyDescent="0.2">
      <c r="A146" s="145" t="s">
        <v>390</v>
      </c>
      <c r="B146" s="121">
        <f t="shared" si="65"/>
        <v>19.860500000000002</v>
      </c>
      <c r="C146" s="119">
        <v>150</v>
      </c>
      <c r="D146" s="119">
        <v>90</v>
      </c>
      <c r="E146" s="119">
        <v>11</v>
      </c>
      <c r="F146" s="119">
        <v>12</v>
      </c>
      <c r="G146" s="120">
        <f t="shared" si="62"/>
        <v>6</v>
      </c>
      <c r="H146" s="121">
        <v>25.3</v>
      </c>
      <c r="I146" s="121">
        <v>580</v>
      </c>
      <c r="J146" s="121">
        <f t="shared" si="66"/>
        <v>58.174523570712132</v>
      </c>
      <c r="K146" s="121"/>
      <c r="L146" s="121">
        <f t="shared" si="67"/>
        <v>4.787995529004883</v>
      </c>
      <c r="M146" s="121"/>
      <c r="N146" s="120">
        <v>158</v>
      </c>
      <c r="O146" s="121">
        <f t="shared" si="68"/>
        <v>22.7994227994228</v>
      </c>
      <c r="P146" s="121"/>
      <c r="Q146" s="121">
        <f t="shared" si="69"/>
        <v>2.4990116623452456</v>
      </c>
      <c r="R146" s="121"/>
      <c r="S146" s="121">
        <v>642</v>
      </c>
      <c r="T146" s="121">
        <v>101</v>
      </c>
      <c r="U146" s="121">
        <f t="shared" si="63"/>
        <v>63.564356435643568</v>
      </c>
      <c r="V146" s="121">
        <f t="shared" si="70"/>
        <v>5.0374094603423138</v>
      </c>
      <c r="W146" s="121">
        <v>95.7</v>
      </c>
      <c r="X146" s="121">
        <v>50.2</v>
      </c>
      <c r="Y146" s="121">
        <f t="shared" si="64"/>
        <v>19.063745019920319</v>
      </c>
      <c r="Z146" s="123">
        <f t="shared" si="71"/>
        <v>1.9448929779430471</v>
      </c>
      <c r="AA146" s="99">
        <f t="shared" si="72"/>
        <v>136.12239433326138</v>
      </c>
      <c r="AB146" s="99">
        <f t="shared" si="73"/>
        <v>106.92468907166456</v>
      </c>
      <c r="AE146" s="119">
        <v>85</v>
      </c>
      <c r="AF146" s="119">
        <v>27</v>
      </c>
      <c r="AG146" s="119">
        <v>50</v>
      </c>
      <c r="AH146" s="119">
        <v>22</v>
      </c>
      <c r="AI146" s="120">
        <v>50.3</v>
      </c>
      <c r="AJ146" s="120">
        <v>20.7</v>
      </c>
      <c r="AK146" s="122">
        <v>0.35899999999999999</v>
      </c>
    </row>
    <row r="147" spans="1:37" x14ac:dyDescent="0.2">
      <c r="A147" s="145" t="s">
        <v>391</v>
      </c>
      <c r="B147" s="121">
        <f t="shared" si="65"/>
        <v>21.587500000000002</v>
      </c>
      <c r="C147" s="119">
        <v>150</v>
      </c>
      <c r="D147" s="119">
        <v>90</v>
      </c>
      <c r="E147" s="119">
        <v>12</v>
      </c>
      <c r="F147" s="119">
        <v>12</v>
      </c>
      <c r="G147" s="120">
        <f t="shared" si="62"/>
        <v>6</v>
      </c>
      <c r="H147" s="121">
        <v>27.5</v>
      </c>
      <c r="I147" s="121">
        <v>627</v>
      </c>
      <c r="J147" s="121">
        <f t="shared" si="66"/>
        <v>63.20564516129032</v>
      </c>
      <c r="K147" s="121"/>
      <c r="L147" s="121">
        <f t="shared" si="67"/>
        <v>4.7749345545253288</v>
      </c>
      <c r="M147" s="121"/>
      <c r="N147" s="120">
        <v>171</v>
      </c>
      <c r="O147" s="121">
        <f t="shared" si="68"/>
        <v>24.854651162790699</v>
      </c>
      <c r="P147" s="121"/>
      <c r="Q147" s="121">
        <f t="shared" si="69"/>
        <v>2.4936282437809005</v>
      </c>
      <c r="R147" s="121"/>
      <c r="S147" s="121">
        <v>695</v>
      </c>
      <c r="T147" s="121">
        <v>101</v>
      </c>
      <c r="U147" s="121">
        <f t="shared" si="63"/>
        <v>68.811881188118818</v>
      </c>
      <c r="V147" s="121">
        <f t="shared" si="70"/>
        <v>5.0271987500721789</v>
      </c>
      <c r="W147" s="120">
        <v>104</v>
      </c>
      <c r="X147" s="121">
        <v>50</v>
      </c>
      <c r="Y147" s="121">
        <f t="shared" si="64"/>
        <v>20.8</v>
      </c>
      <c r="Z147" s="123">
        <f t="shared" si="71"/>
        <v>1.9446897392175908</v>
      </c>
      <c r="AA147" s="99">
        <f t="shared" si="72"/>
        <v>134.97168146928203</v>
      </c>
      <c r="AB147" s="99">
        <f t="shared" si="73"/>
        <v>115.09719055819858</v>
      </c>
      <c r="AE147" s="119">
        <v>85</v>
      </c>
      <c r="AF147" s="119">
        <v>27</v>
      </c>
      <c r="AG147" s="119">
        <v>50</v>
      </c>
      <c r="AH147" s="119">
        <v>22</v>
      </c>
      <c r="AI147" s="120">
        <v>50.8</v>
      </c>
      <c r="AJ147" s="120">
        <v>21.2</v>
      </c>
      <c r="AK147" s="122">
        <v>0.35799999999999998</v>
      </c>
    </row>
    <row r="148" spans="1:37" x14ac:dyDescent="0.2">
      <c r="A148" s="145" t="s">
        <v>392</v>
      </c>
      <c r="B148" s="121">
        <f t="shared" si="65"/>
        <v>23.314499999999999</v>
      </c>
      <c r="C148" s="119">
        <v>150</v>
      </c>
      <c r="D148" s="119">
        <v>90</v>
      </c>
      <c r="E148" s="119">
        <v>13</v>
      </c>
      <c r="F148" s="119">
        <v>12</v>
      </c>
      <c r="G148" s="120">
        <f t="shared" si="62"/>
        <v>6</v>
      </c>
      <c r="H148" s="121">
        <v>29.7</v>
      </c>
      <c r="I148" s="121">
        <v>672</v>
      </c>
      <c r="J148" s="121">
        <f t="shared" si="66"/>
        <v>67.947421638018199</v>
      </c>
      <c r="K148" s="121"/>
      <c r="L148" s="121">
        <f t="shared" si="67"/>
        <v>4.7567071200845055</v>
      </c>
      <c r="M148" s="121"/>
      <c r="N148" s="120">
        <v>182</v>
      </c>
      <c r="O148" s="121">
        <f t="shared" si="68"/>
        <v>26.569343065693431</v>
      </c>
      <c r="P148" s="121"/>
      <c r="Q148" s="121">
        <f t="shared" si="69"/>
        <v>2.4754688703245953</v>
      </c>
      <c r="R148" s="121"/>
      <c r="S148" s="121">
        <v>743</v>
      </c>
      <c r="T148" s="121">
        <v>100</v>
      </c>
      <c r="U148" s="121">
        <f t="shared" si="63"/>
        <v>74.3</v>
      </c>
      <c r="V148" s="121">
        <f t="shared" si="70"/>
        <v>5.0016832183610962</v>
      </c>
      <c r="W148" s="120">
        <v>110</v>
      </c>
      <c r="X148" s="121">
        <v>19.8</v>
      </c>
      <c r="Y148" s="121">
        <f t="shared" si="64"/>
        <v>55.55555555555555</v>
      </c>
      <c r="Z148" s="123">
        <f t="shared" si="71"/>
        <v>1.9245008972987525</v>
      </c>
      <c r="AA148" s="99">
        <f t="shared" si="72"/>
        <v>133.83684864611607</v>
      </c>
      <c r="AB148" s="99">
        <f t="shared" si="73"/>
        <v>123.03779358655424</v>
      </c>
      <c r="AE148" s="119">
        <v>85</v>
      </c>
      <c r="AF148" s="119">
        <v>27</v>
      </c>
      <c r="AG148" s="119">
        <v>50</v>
      </c>
      <c r="AH148" s="119">
        <v>22</v>
      </c>
      <c r="AI148" s="120">
        <v>51.1</v>
      </c>
      <c r="AJ148" s="120">
        <v>21.5</v>
      </c>
      <c r="AK148" s="122">
        <v>0.35799999999999998</v>
      </c>
    </row>
    <row r="149" spans="1:37" x14ac:dyDescent="0.2">
      <c r="A149" s="145" t="s">
        <v>393</v>
      </c>
      <c r="B149" s="121">
        <f t="shared" si="65"/>
        <v>26.611499999999999</v>
      </c>
      <c r="C149" s="119">
        <v>150</v>
      </c>
      <c r="D149" s="119">
        <v>90</v>
      </c>
      <c r="E149" s="119">
        <v>15</v>
      </c>
      <c r="F149" s="119">
        <v>12</v>
      </c>
      <c r="G149" s="120">
        <f t="shared" si="62"/>
        <v>6</v>
      </c>
      <c r="H149" s="121">
        <v>33.9</v>
      </c>
      <c r="I149" s="121">
        <v>761</v>
      </c>
      <c r="J149" s="121">
        <f t="shared" si="66"/>
        <v>77.732379979570993</v>
      </c>
      <c r="K149" s="121"/>
      <c r="L149" s="121">
        <f t="shared" si="67"/>
        <v>4.7379718847963783</v>
      </c>
      <c r="M149" s="121"/>
      <c r="N149" s="120">
        <v>205</v>
      </c>
      <c r="O149" s="121">
        <f t="shared" si="68"/>
        <v>30.280649926144754</v>
      </c>
      <c r="P149" s="121"/>
      <c r="Q149" s="121">
        <f t="shared" si="69"/>
        <v>2.4591050486138233</v>
      </c>
      <c r="R149" s="121"/>
      <c r="S149" s="121">
        <v>841</v>
      </c>
      <c r="T149" s="121">
        <v>99.8</v>
      </c>
      <c r="U149" s="121">
        <f t="shared" si="63"/>
        <v>84.268537074148298</v>
      </c>
      <c r="V149" s="121">
        <f t="shared" si="70"/>
        <v>4.9807890526522653</v>
      </c>
      <c r="W149" s="120">
        <v>126</v>
      </c>
      <c r="X149" s="121">
        <v>49.8</v>
      </c>
      <c r="Y149" s="121">
        <f t="shared" si="64"/>
        <v>25.30120481927711</v>
      </c>
      <c r="Z149" s="123">
        <f t="shared" si="71"/>
        <v>1.9279040845674962</v>
      </c>
      <c r="AA149" s="99">
        <f t="shared" si="72"/>
        <v>131.61482312222432</v>
      </c>
      <c r="AB149" s="99">
        <f t="shared" si="73"/>
        <v>138.24844236307644</v>
      </c>
      <c r="AE149" s="119">
        <v>85</v>
      </c>
      <c r="AF149" s="119">
        <v>27</v>
      </c>
      <c r="AG149" s="119">
        <v>50</v>
      </c>
      <c r="AH149" s="119">
        <v>22</v>
      </c>
      <c r="AI149" s="120">
        <v>52.1</v>
      </c>
      <c r="AJ149" s="120">
        <v>22.3</v>
      </c>
      <c r="AK149" s="122">
        <v>0.35399999999999998</v>
      </c>
    </row>
    <row r="150" spans="1:37" s="99" customFormat="1" x14ac:dyDescent="0.2">
      <c r="A150" s="141" t="s">
        <v>394</v>
      </c>
      <c r="B150" s="103">
        <f t="shared" si="65"/>
        <v>22.922000000000001</v>
      </c>
      <c r="C150" s="101">
        <v>200</v>
      </c>
      <c r="D150" s="101">
        <v>100</v>
      </c>
      <c r="E150" s="101">
        <v>10</v>
      </c>
      <c r="F150" s="101">
        <v>15</v>
      </c>
      <c r="G150" s="102">
        <f t="shared" si="62"/>
        <v>7.5</v>
      </c>
      <c r="H150" s="103">
        <v>29.2</v>
      </c>
      <c r="I150" s="102">
        <v>1220</v>
      </c>
      <c r="J150" s="103">
        <f t="shared" si="66"/>
        <v>93.34353481254783</v>
      </c>
      <c r="K150" s="103"/>
      <c r="L150" s="103">
        <f t="shared" si="67"/>
        <v>6.4638086232350833</v>
      </c>
      <c r="M150" s="103"/>
      <c r="N150" s="102">
        <v>210</v>
      </c>
      <c r="O150" s="103">
        <f t="shared" si="68"/>
        <v>26.282853566958696</v>
      </c>
      <c r="P150" s="103"/>
      <c r="Q150" s="103">
        <f t="shared" si="69"/>
        <v>2.6817495822536839</v>
      </c>
      <c r="R150" s="103"/>
      <c r="S150" s="102">
        <v>1290</v>
      </c>
      <c r="T150" s="103">
        <v>132</v>
      </c>
      <c r="U150" s="103">
        <f t="shared" si="63"/>
        <v>97.727272727272734</v>
      </c>
      <c r="V150" s="103">
        <f t="shared" si="70"/>
        <v>6.6466594761414415</v>
      </c>
      <c r="W150" s="102">
        <v>135</v>
      </c>
      <c r="X150" s="103">
        <v>60.5</v>
      </c>
      <c r="Y150" s="103">
        <f t="shared" si="64"/>
        <v>22.314049586776861</v>
      </c>
      <c r="Z150" s="105">
        <f t="shared" si="71"/>
        <v>2.1501831715537345</v>
      </c>
      <c r="AA150" s="99">
        <f t="shared" si="72"/>
        <v>185.47317477042469</v>
      </c>
      <c r="AB150" s="99">
        <f t="shared" si="73"/>
        <v>178.7803811467999</v>
      </c>
      <c r="AE150" s="101">
        <v>85</v>
      </c>
      <c r="AF150" s="101">
        <v>27</v>
      </c>
      <c r="AG150" s="101">
        <v>50</v>
      </c>
      <c r="AH150" s="101">
        <v>22</v>
      </c>
      <c r="AI150" s="102">
        <v>69.3</v>
      </c>
      <c r="AJ150" s="102">
        <v>20.100000000000001</v>
      </c>
      <c r="AK150" s="104">
        <v>0.26300000000000001</v>
      </c>
    </row>
    <row r="151" spans="1:37" x14ac:dyDescent="0.2">
      <c r="A151" s="142" t="s">
        <v>395</v>
      </c>
      <c r="B151" s="109">
        <f t="shared" si="65"/>
        <v>27.317999999999998</v>
      </c>
      <c r="C151" s="107">
        <v>200</v>
      </c>
      <c r="D151" s="107">
        <v>100</v>
      </c>
      <c r="E151" s="107">
        <v>12</v>
      </c>
      <c r="F151" s="107">
        <v>15</v>
      </c>
      <c r="G151" s="108">
        <f t="shared" si="62"/>
        <v>7.5</v>
      </c>
      <c r="H151" s="109">
        <v>34.799999999999997</v>
      </c>
      <c r="I151" s="108">
        <v>1440</v>
      </c>
      <c r="J151" s="109">
        <f t="shared" si="66"/>
        <v>111.02544333076331</v>
      </c>
      <c r="K151" s="109"/>
      <c r="L151" s="109">
        <f t="shared" si="67"/>
        <v>6.4326752090267689</v>
      </c>
      <c r="M151" s="109"/>
      <c r="N151" s="108">
        <v>247</v>
      </c>
      <c r="O151" s="109">
        <f t="shared" si="68"/>
        <v>31.265822784810126</v>
      </c>
      <c r="P151" s="109"/>
      <c r="Q151" s="109">
        <f t="shared" si="69"/>
        <v>2.6641511123480379</v>
      </c>
      <c r="R151" s="109"/>
      <c r="S151" s="108">
        <v>1530</v>
      </c>
      <c r="T151" s="109">
        <v>131</v>
      </c>
      <c r="U151" s="109">
        <f t="shared" si="63"/>
        <v>116.79389312977099</v>
      </c>
      <c r="V151" s="109">
        <f t="shared" si="70"/>
        <v>6.6306498355273833</v>
      </c>
      <c r="W151" s="108">
        <v>159</v>
      </c>
      <c r="X151" s="109">
        <v>60</v>
      </c>
      <c r="Y151" s="109">
        <f t="shared" si="64"/>
        <v>26.5</v>
      </c>
      <c r="Z151" s="111">
        <f t="shared" si="71"/>
        <v>2.1375138636372348</v>
      </c>
      <c r="AA151" s="99">
        <f t="shared" si="72"/>
        <v>182.78759957852981</v>
      </c>
      <c r="AB151" s="99">
        <f t="shared" si="73"/>
        <v>209.66147632280646</v>
      </c>
      <c r="AE151" s="107">
        <v>85</v>
      </c>
      <c r="AF151" s="107">
        <v>27</v>
      </c>
      <c r="AG151" s="107">
        <v>50</v>
      </c>
      <c r="AH151" s="107">
        <v>22</v>
      </c>
      <c r="AI151" s="108">
        <v>70.3</v>
      </c>
      <c r="AJ151" s="108">
        <v>21</v>
      </c>
      <c r="AK151" s="110">
        <v>0.26200000000000001</v>
      </c>
    </row>
    <row r="152" spans="1:37" x14ac:dyDescent="0.2">
      <c r="A152" s="142" t="s">
        <v>396</v>
      </c>
      <c r="B152" s="109">
        <f t="shared" si="65"/>
        <v>31.6355</v>
      </c>
      <c r="C152" s="107">
        <v>200</v>
      </c>
      <c r="D152" s="107">
        <v>100</v>
      </c>
      <c r="E152" s="107">
        <v>14</v>
      </c>
      <c r="F152" s="107">
        <v>15</v>
      </c>
      <c r="G152" s="108">
        <f t="shared" si="62"/>
        <v>7.5</v>
      </c>
      <c r="H152" s="109">
        <v>40.299999999999997</v>
      </c>
      <c r="I152" s="108">
        <v>1650</v>
      </c>
      <c r="J152" s="109">
        <f t="shared" si="66"/>
        <v>128.10559006211179</v>
      </c>
      <c r="K152" s="109"/>
      <c r="L152" s="109">
        <f t="shared" si="67"/>
        <v>6.3986661140977059</v>
      </c>
      <c r="M152" s="109"/>
      <c r="N152" s="108">
        <v>282</v>
      </c>
      <c r="O152" s="109">
        <f t="shared" si="68"/>
        <v>36.0613810741688</v>
      </c>
      <c r="P152" s="109"/>
      <c r="Q152" s="109">
        <f t="shared" si="69"/>
        <v>2.6452823309472726</v>
      </c>
      <c r="R152" s="109"/>
      <c r="S152" s="108">
        <v>1760</v>
      </c>
      <c r="T152" s="109">
        <v>130</v>
      </c>
      <c r="U152" s="109">
        <f t="shared" si="63"/>
        <v>135.38461538461539</v>
      </c>
      <c r="V152" s="109">
        <f t="shared" si="70"/>
        <v>6.6085139460912377</v>
      </c>
      <c r="W152" s="108">
        <v>181</v>
      </c>
      <c r="X152" s="109">
        <v>59.2</v>
      </c>
      <c r="Y152" s="109">
        <f t="shared" si="64"/>
        <v>30.574324324324323</v>
      </c>
      <c r="Z152" s="111">
        <f t="shared" si="71"/>
        <v>2.1192723129594335</v>
      </c>
      <c r="AA152" s="99">
        <f t="shared" si="72"/>
        <v>180.15919253356313</v>
      </c>
      <c r="AB152" s="99">
        <f t="shared" si="73"/>
        <v>239.03066893802142</v>
      </c>
      <c r="AE152" s="107">
        <v>85</v>
      </c>
      <c r="AF152" s="107">
        <v>27</v>
      </c>
      <c r="AG152" s="107">
        <v>50</v>
      </c>
      <c r="AH152" s="107">
        <v>22</v>
      </c>
      <c r="AI152" s="108">
        <v>71.2</v>
      </c>
      <c r="AJ152" s="108">
        <v>21.8</v>
      </c>
      <c r="AK152" s="110">
        <v>0.26200000000000001</v>
      </c>
    </row>
    <row r="153" spans="1:37" x14ac:dyDescent="0.2">
      <c r="A153" s="143" t="s">
        <v>397</v>
      </c>
      <c r="B153" s="115">
        <f t="shared" si="65"/>
        <v>33.755000000000003</v>
      </c>
      <c r="C153" s="113">
        <v>200</v>
      </c>
      <c r="D153" s="113">
        <v>100</v>
      </c>
      <c r="E153" s="113">
        <v>15</v>
      </c>
      <c r="F153" s="113">
        <v>15</v>
      </c>
      <c r="G153" s="114">
        <f t="shared" si="62"/>
        <v>7.5</v>
      </c>
      <c r="H153" s="115">
        <v>43</v>
      </c>
      <c r="I153" s="114">
        <v>1760</v>
      </c>
      <c r="J153" s="115">
        <f t="shared" si="66"/>
        <v>137.07165109034267</v>
      </c>
      <c r="K153" s="115"/>
      <c r="L153" s="115">
        <f t="shared" si="67"/>
        <v>6.3976739959253583</v>
      </c>
      <c r="M153" s="115"/>
      <c r="N153" s="114">
        <v>299</v>
      </c>
      <c r="O153" s="115">
        <f t="shared" si="68"/>
        <v>38.431876606683808</v>
      </c>
      <c r="P153" s="115"/>
      <c r="Q153" s="115">
        <f t="shared" si="69"/>
        <v>2.6369467897727903</v>
      </c>
      <c r="R153" s="115"/>
      <c r="S153" s="114">
        <v>1860</v>
      </c>
      <c r="T153" s="115">
        <v>130</v>
      </c>
      <c r="U153" s="115">
        <f t="shared" si="63"/>
        <v>143.07692307692307</v>
      </c>
      <c r="V153" s="115">
        <f t="shared" si="70"/>
        <v>6.5769152308273195</v>
      </c>
      <c r="W153" s="114">
        <v>194</v>
      </c>
      <c r="X153" s="115">
        <v>59.5</v>
      </c>
      <c r="Y153" s="115">
        <f t="shared" si="64"/>
        <v>32.605042016806721</v>
      </c>
      <c r="Z153" s="117">
        <f t="shared" si="71"/>
        <v>2.124059299307989</v>
      </c>
      <c r="AA153" s="99">
        <f t="shared" si="72"/>
        <v>178.86642706617789</v>
      </c>
      <c r="AB153" s="99">
        <f t="shared" si="73"/>
        <v>253.16388128865302</v>
      </c>
      <c r="AE153" s="113">
        <v>85</v>
      </c>
      <c r="AF153" s="113">
        <v>27</v>
      </c>
      <c r="AG153" s="113">
        <v>50</v>
      </c>
      <c r="AH153" s="113">
        <v>22</v>
      </c>
      <c r="AI153" s="114">
        <v>71.599999999999994</v>
      </c>
      <c r="AJ153" s="114">
        <v>22.2</v>
      </c>
      <c r="AK153" s="116">
        <v>0.26</v>
      </c>
    </row>
  </sheetData>
  <sheetProtection algorithmName="SHA-512" hashValue="c9ebrhVi9HrqpJlckzqYTYWqrFUqvAk+ZSodXdHKo7BiAs8s0vA++OttCiY84A8QxhLVcwEsqcqV/Ee7HR5GGg==" saltValue="sJLaMhDFOiyvLJaUQBvvEQ==" spinCount="100000" sheet="1" objects="1" scenarios="1"/>
  <mergeCells count="7">
    <mergeCell ref="A1:A3"/>
    <mergeCell ref="C1:G1"/>
    <mergeCell ref="AE1:AH1"/>
    <mergeCell ref="AI1:AJ1"/>
    <mergeCell ref="S1:Z1"/>
    <mergeCell ref="AE3:AF3"/>
    <mergeCell ref="AG3:AH3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77" fitToHeight="2" orientation="portrait" r:id="rId1"/>
  <headerFooter alignWithMargins="0"/>
  <rowBreaks count="1" manualBreakCount="1">
    <brk id="64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23F6C-7FA2-41EA-B951-E2876B2F1F27}">
  <sheetPr codeName="Feuil4">
    <tabColor rgb="FFFF0000"/>
  </sheetPr>
  <dimension ref="A1:Y253"/>
  <sheetViews>
    <sheetView zoomScaleNormal="100" workbookViewId="0">
      <pane ySplit="2" topLeftCell="A3" activePane="bottomLeft" state="frozen"/>
      <selection pane="bottomLeft"/>
    </sheetView>
  </sheetViews>
  <sheetFormatPr baseColWidth="10" defaultRowHeight="15" x14ac:dyDescent="0.25"/>
  <cols>
    <col min="1" max="1" width="17.28515625" style="162" customWidth="1"/>
    <col min="2" max="3" width="11.42578125" style="64"/>
    <col min="4" max="4" width="0" style="64" hidden="1" customWidth="1"/>
    <col min="5" max="12" width="11.42578125" style="64"/>
    <col min="13" max="13" width="12.7109375" style="64" customWidth="1"/>
    <col min="14" max="18" width="12.7109375" style="64" hidden="1" customWidth="1"/>
    <col min="19" max="21" width="11.42578125" style="64"/>
    <col min="22" max="22" width="11.42578125" style="64" customWidth="1"/>
    <col min="23" max="16384" width="11.42578125" style="64"/>
  </cols>
  <sheetData>
    <row r="1" spans="1:25" ht="30" x14ac:dyDescent="0.25">
      <c r="A1" s="147" t="s">
        <v>0</v>
      </c>
      <c r="B1" s="1" t="s">
        <v>1</v>
      </c>
      <c r="C1" s="490" t="s">
        <v>2</v>
      </c>
      <c r="D1" s="491"/>
      <c r="E1" s="491"/>
      <c r="F1" s="491"/>
      <c r="G1" s="492"/>
      <c r="H1" s="1" t="s">
        <v>3</v>
      </c>
      <c r="I1" s="2" t="s">
        <v>4</v>
      </c>
      <c r="J1" s="493" t="s">
        <v>5</v>
      </c>
      <c r="K1" s="494"/>
      <c r="L1" s="3" t="s">
        <v>6</v>
      </c>
      <c r="M1" s="68" t="s">
        <v>7</v>
      </c>
      <c r="N1" s="233"/>
      <c r="O1" s="233"/>
      <c r="P1" s="233"/>
      <c r="Q1" s="233"/>
      <c r="R1" s="233"/>
      <c r="S1" s="5" t="s">
        <v>8</v>
      </c>
      <c r="T1" s="4" t="s">
        <v>398</v>
      </c>
      <c r="U1" s="148"/>
      <c r="V1" s="149"/>
      <c r="W1" s="149"/>
    </row>
    <row r="2" spans="1:25" ht="15.75" thickBot="1" x14ac:dyDescent="0.3">
      <c r="A2" s="150"/>
      <c r="B2" s="151" t="s">
        <v>10</v>
      </c>
      <c r="C2" s="152" t="s">
        <v>11</v>
      </c>
      <c r="D2" s="232"/>
      <c r="E2" s="153" t="s">
        <v>399</v>
      </c>
      <c r="F2" s="154" t="s">
        <v>400</v>
      </c>
      <c r="G2" s="155" t="s">
        <v>401</v>
      </c>
      <c r="H2" s="151" t="s">
        <v>16</v>
      </c>
      <c r="I2" s="152" t="s">
        <v>402</v>
      </c>
      <c r="J2" s="153" t="s">
        <v>403</v>
      </c>
      <c r="K2" s="153" t="s">
        <v>404</v>
      </c>
      <c r="L2" s="153" t="s">
        <v>405</v>
      </c>
      <c r="M2" s="154" t="s">
        <v>406</v>
      </c>
      <c r="N2" s="234"/>
      <c r="O2" s="234"/>
      <c r="P2" s="234"/>
      <c r="Q2" s="234"/>
      <c r="R2" s="234"/>
      <c r="S2" s="156" t="s">
        <v>27</v>
      </c>
      <c r="T2" s="155" t="s">
        <v>407</v>
      </c>
    </row>
    <row r="3" spans="1:25" ht="16.5" thickBot="1" x14ac:dyDescent="0.3">
      <c r="A3" s="157"/>
      <c r="B3" s="158" t="s">
        <v>408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60"/>
      <c r="U3" s="161"/>
      <c r="V3" s="161"/>
      <c r="W3" s="161"/>
      <c r="X3" s="161"/>
      <c r="Y3" s="161"/>
    </row>
    <row r="4" spans="1:25" x14ac:dyDescent="0.25">
      <c r="A4" s="162" t="str">
        <f t="shared" ref="A4:A12" si="0">$B$3&amp;"  "&amp;C4&amp;"*"&amp;E4</f>
        <v>CARF  20*2</v>
      </c>
      <c r="B4" s="64">
        <v>1.05</v>
      </c>
      <c r="C4" s="64">
        <v>20</v>
      </c>
      <c r="E4" s="64">
        <v>2</v>
      </c>
      <c r="F4" s="64">
        <f t="shared" ref="F4:F12" si="1">IF(E4&lt;=6,1*E4,IF(E4&lt;=10,1.5*E4,2*E4))</f>
        <v>2</v>
      </c>
      <c r="G4" s="64">
        <f t="shared" ref="G4:G12" si="2">IF(E4&lt;=6,2*E4,IF(E4&lt;=10,2.5*E4,3*E4))</f>
        <v>4</v>
      </c>
      <c r="H4" s="163">
        <f t="shared" ref="H4:H67" si="3">(4*(C4-2*G4)*E4+PI()*(G4^2-F4^2))*0.01</f>
        <v>1.336991118430775</v>
      </c>
      <c r="I4" s="64">
        <v>0.68100000000000005</v>
      </c>
      <c r="J4" s="163">
        <f t="shared" ref="J4:J12" si="4">I4/(0.5*C4*0.1)</f>
        <v>0.68100000000000005</v>
      </c>
      <c r="K4" s="64">
        <v>0.87</v>
      </c>
      <c r="L4" s="164">
        <f>SQRT(I4/H4)</f>
        <v>0.71368947942183947</v>
      </c>
      <c r="M4" s="165">
        <f t="shared" ref="M4:M67" si="5">2*(C4-2*G4)*E4*0.01</f>
        <v>0.48</v>
      </c>
      <c r="N4" s="165"/>
      <c r="O4" s="165"/>
      <c r="P4" s="165"/>
      <c r="Q4" s="165"/>
      <c r="R4" s="165"/>
      <c r="S4" s="165">
        <v>1.21</v>
      </c>
      <c r="T4" s="64">
        <v>1.06</v>
      </c>
    </row>
    <row r="5" spans="1:25" x14ac:dyDescent="0.25">
      <c r="A5" s="166" t="str">
        <f t="shared" si="0"/>
        <v>CARF  25*2</v>
      </c>
      <c r="B5" s="167">
        <v>1.36</v>
      </c>
      <c r="C5" s="167">
        <v>25</v>
      </c>
      <c r="D5" s="167"/>
      <c r="E5" s="167">
        <v>2</v>
      </c>
      <c r="F5" s="167">
        <f t="shared" si="1"/>
        <v>2</v>
      </c>
      <c r="G5" s="167">
        <f t="shared" si="2"/>
        <v>4</v>
      </c>
      <c r="H5" s="168">
        <f t="shared" si="3"/>
        <v>1.7369911184307751</v>
      </c>
      <c r="I5" s="167">
        <v>1.47</v>
      </c>
      <c r="J5" s="168">
        <f t="shared" si="4"/>
        <v>1.1759999999999999</v>
      </c>
      <c r="K5" s="167">
        <v>1.46</v>
      </c>
      <c r="L5" s="169">
        <f t="shared" ref="L5:L12" si="6">SQRT(I5/H5)</f>
        <v>0.91994077441726463</v>
      </c>
      <c r="M5" s="170">
        <f t="shared" si="5"/>
        <v>0.68</v>
      </c>
      <c r="N5" s="170"/>
      <c r="O5" s="170"/>
      <c r="P5" s="170"/>
      <c r="Q5" s="170"/>
      <c r="R5" s="170"/>
      <c r="S5" s="170">
        <v>2.5299999999999998</v>
      </c>
      <c r="T5" s="171">
        <v>1.8</v>
      </c>
    </row>
    <row r="6" spans="1:25" x14ac:dyDescent="0.25">
      <c r="A6" s="172" t="str">
        <f t="shared" si="0"/>
        <v>CARF  25*2.5</v>
      </c>
      <c r="B6" s="173" t="s">
        <v>409</v>
      </c>
      <c r="C6" s="173">
        <v>25</v>
      </c>
      <c r="D6" s="173"/>
      <c r="E6" s="173">
        <v>2.5</v>
      </c>
      <c r="F6" s="173">
        <f t="shared" si="1"/>
        <v>2.5</v>
      </c>
      <c r="G6" s="173">
        <f t="shared" si="2"/>
        <v>5</v>
      </c>
      <c r="H6" s="174">
        <f t="shared" si="3"/>
        <v>2.0890486225480864</v>
      </c>
      <c r="I6" s="173">
        <v>1.66</v>
      </c>
      <c r="J6" s="174">
        <f t="shared" si="4"/>
        <v>1.3279999999999998</v>
      </c>
      <c r="K6" s="173">
        <v>1.7</v>
      </c>
      <c r="L6" s="175">
        <f t="shared" si="6"/>
        <v>0.89141465540082077</v>
      </c>
      <c r="M6" s="176">
        <f t="shared" si="5"/>
        <v>0.75</v>
      </c>
      <c r="N6" s="176"/>
      <c r="O6" s="176"/>
      <c r="P6" s="176"/>
      <c r="Q6" s="176"/>
      <c r="R6" s="176"/>
      <c r="S6" s="176">
        <v>2.97</v>
      </c>
      <c r="T6" s="177">
        <v>2.0699999999999998</v>
      </c>
    </row>
    <row r="7" spans="1:25" x14ac:dyDescent="0.25">
      <c r="A7" s="178" t="str">
        <f t="shared" si="0"/>
        <v>CARF  25*3</v>
      </c>
      <c r="B7" s="179" t="s">
        <v>410</v>
      </c>
      <c r="C7" s="179">
        <v>25</v>
      </c>
      <c r="D7" s="179"/>
      <c r="E7" s="179">
        <v>3</v>
      </c>
      <c r="F7" s="179">
        <f t="shared" si="1"/>
        <v>3</v>
      </c>
      <c r="G7" s="179">
        <f t="shared" si="2"/>
        <v>6</v>
      </c>
      <c r="H7" s="180">
        <f t="shared" si="3"/>
        <v>2.4082300164692443</v>
      </c>
      <c r="I7" s="179">
        <v>1.79</v>
      </c>
      <c r="J7" s="180">
        <f t="shared" si="4"/>
        <v>1.4319999999999999</v>
      </c>
      <c r="K7" s="179">
        <v>1.89</v>
      </c>
      <c r="L7" s="181">
        <f t="shared" si="6"/>
        <v>0.86213947935570145</v>
      </c>
      <c r="M7" s="182">
        <f t="shared" si="5"/>
        <v>0.78</v>
      </c>
      <c r="N7" s="182"/>
      <c r="O7" s="182"/>
      <c r="P7" s="182"/>
      <c r="Q7" s="182"/>
      <c r="R7" s="182"/>
      <c r="S7" s="182">
        <v>3.33</v>
      </c>
      <c r="T7" s="183">
        <v>2.27</v>
      </c>
    </row>
    <row r="8" spans="1:25" x14ac:dyDescent="0.25">
      <c r="A8" s="162" t="str">
        <f t="shared" si="0"/>
        <v>CARF  30*2</v>
      </c>
      <c r="B8" s="64" t="s">
        <v>411</v>
      </c>
      <c r="C8" s="64">
        <v>30</v>
      </c>
      <c r="E8" s="64">
        <v>2</v>
      </c>
      <c r="F8" s="64">
        <f t="shared" si="1"/>
        <v>2</v>
      </c>
      <c r="G8" s="64">
        <f t="shared" si="2"/>
        <v>4</v>
      </c>
      <c r="H8" s="163">
        <f t="shared" si="3"/>
        <v>2.136991118430775</v>
      </c>
      <c r="I8" s="64">
        <v>2.7</v>
      </c>
      <c r="J8" s="163">
        <f t="shared" si="4"/>
        <v>1.8</v>
      </c>
      <c r="K8" s="64">
        <v>2.2000000000000002</v>
      </c>
      <c r="L8" s="164">
        <f t="shared" si="6"/>
        <v>1.1240367834069989</v>
      </c>
      <c r="M8" s="165">
        <f t="shared" si="5"/>
        <v>0.88</v>
      </c>
      <c r="N8" s="165"/>
      <c r="O8" s="165"/>
      <c r="P8" s="165"/>
      <c r="Q8" s="165"/>
      <c r="R8" s="165"/>
      <c r="S8" s="165">
        <v>4.54</v>
      </c>
      <c r="T8" s="64">
        <v>2.75</v>
      </c>
    </row>
    <row r="9" spans="1:25" x14ac:dyDescent="0.25">
      <c r="A9" s="162" t="str">
        <f t="shared" si="0"/>
        <v>CARF  30*2.5</v>
      </c>
      <c r="B9" s="64" t="s">
        <v>412</v>
      </c>
      <c r="C9" s="64">
        <v>30</v>
      </c>
      <c r="E9" s="64">
        <v>2.5</v>
      </c>
      <c r="F9" s="64">
        <f t="shared" si="1"/>
        <v>2.5</v>
      </c>
      <c r="G9" s="64">
        <f t="shared" si="2"/>
        <v>5</v>
      </c>
      <c r="H9" s="163">
        <f t="shared" si="3"/>
        <v>2.5890486225480864</v>
      </c>
      <c r="I9" s="64">
        <v>3.12</v>
      </c>
      <c r="J9" s="163">
        <f t="shared" si="4"/>
        <v>2.08</v>
      </c>
      <c r="K9" s="64">
        <v>2.6</v>
      </c>
      <c r="L9" s="164">
        <f t="shared" si="6"/>
        <v>1.0977594735538017</v>
      </c>
      <c r="M9" s="165">
        <f t="shared" si="5"/>
        <v>1</v>
      </c>
      <c r="N9" s="165"/>
      <c r="O9" s="165"/>
      <c r="P9" s="165"/>
      <c r="Q9" s="165"/>
      <c r="R9" s="165"/>
      <c r="S9" s="165">
        <v>5.4</v>
      </c>
      <c r="T9" s="64">
        <v>3.2</v>
      </c>
    </row>
    <row r="10" spans="1:25" x14ac:dyDescent="0.25">
      <c r="A10" s="162" t="str">
        <f t="shared" si="0"/>
        <v>CARF  30*3</v>
      </c>
      <c r="B10" s="64" t="s">
        <v>413</v>
      </c>
      <c r="C10" s="64">
        <v>30</v>
      </c>
      <c r="E10" s="64">
        <v>3</v>
      </c>
      <c r="F10" s="64">
        <f t="shared" si="1"/>
        <v>3</v>
      </c>
      <c r="G10" s="64">
        <f t="shared" si="2"/>
        <v>6</v>
      </c>
      <c r="H10" s="163">
        <f t="shared" si="3"/>
        <v>3.0082300164692444</v>
      </c>
      <c r="I10" s="64">
        <v>3.45</v>
      </c>
      <c r="J10" s="163">
        <f t="shared" si="4"/>
        <v>2.3000000000000003</v>
      </c>
      <c r="K10" s="64">
        <v>2.94</v>
      </c>
      <c r="L10" s="164">
        <f t="shared" si="6"/>
        <v>1.0709125974931211</v>
      </c>
      <c r="M10" s="165">
        <f t="shared" si="5"/>
        <v>1.08</v>
      </c>
      <c r="N10" s="165"/>
      <c r="O10" s="165"/>
      <c r="P10" s="165"/>
      <c r="Q10" s="165"/>
      <c r="R10" s="165"/>
      <c r="S10" s="165">
        <v>6.15</v>
      </c>
      <c r="T10" s="64">
        <v>3.58</v>
      </c>
    </row>
    <row r="11" spans="1:25" x14ac:dyDescent="0.25">
      <c r="A11" s="166" t="str">
        <f t="shared" si="0"/>
        <v>CARF  40*2</v>
      </c>
      <c r="B11" s="167" t="s">
        <v>414</v>
      </c>
      <c r="C11" s="167">
        <v>40</v>
      </c>
      <c r="D11" s="167"/>
      <c r="E11" s="167">
        <v>2</v>
      </c>
      <c r="F11" s="167">
        <f t="shared" si="1"/>
        <v>2</v>
      </c>
      <c r="G11" s="167">
        <f t="shared" si="2"/>
        <v>4</v>
      </c>
      <c r="H11" s="168">
        <f t="shared" si="3"/>
        <v>2.9369911184307749</v>
      </c>
      <c r="I11" s="167">
        <v>6.92</v>
      </c>
      <c r="J11" s="168">
        <f t="shared" si="4"/>
        <v>3.46</v>
      </c>
      <c r="K11" s="167">
        <v>4.13</v>
      </c>
      <c r="L11" s="169">
        <f t="shared" si="6"/>
        <v>1.5349764988440799</v>
      </c>
      <c r="M11" s="170">
        <f t="shared" si="5"/>
        <v>1.28</v>
      </c>
      <c r="N11" s="170"/>
      <c r="O11" s="170"/>
      <c r="P11" s="170"/>
      <c r="Q11" s="170"/>
      <c r="R11" s="170"/>
      <c r="S11" s="170">
        <v>11.3</v>
      </c>
      <c r="T11" s="171">
        <v>5.23</v>
      </c>
    </row>
    <row r="12" spans="1:25" x14ac:dyDescent="0.25">
      <c r="A12" s="172" t="str">
        <f t="shared" si="0"/>
        <v>CARF  40*2.5</v>
      </c>
      <c r="B12" s="173" t="s">
        <v>415</v>
      </c>
      <c r="C12" s="173">
        <v>40</v>
      </c>
      <c r="D12" s="173"/>
      <c r="E12" s="173">
        <v>2.5</v>
      </c>
      <c r="F12" s="173">
        <f t="shared" si="1"/>
        <v>2.5</v>
      </c>
      <c r="G12" s="173">
        <f t="shared" si="2"/>
        <v>5</v>
      </c>
      <c r="H12" s="174">
        <f t="shared" si="3"/>
        <v>3.5890486225480864</v>
      </c>
      <c r="I12" s="173">
        <v>8.17</v>
      </c>
      <c r="J12" s="174">
        <f t="shared" si="4"/>
        <v>4.085</v>
      </c>
      <c r="K12" s="173">
        <v>4.95</v>
      </c>
      <c r="L12" s="175">
        <f t="shared" si="6"/>
        <v>1.5087641538613794</v>
      </c>
      <c r="M12" s="176">
        <f t="shared" si="5"/>
        <v>1.5</v>
      </c>
      <c r="N12" s="176"/>
      <c r="O12" s="176"/>
      <c r="P12" s="176"/>
      <c r="Q12" s="176"/>
      <c r="R12" s="176"/>
      <c r="S12" s="176">
        <v>13.6</v>
      </c>
      <c r="T12" s="177">
        <v>6.21</v>
      </c>
    </row>
    <row r="13" spans="1:25" x14ac:dyDescent="0.25">
      <c r="A13" s="172" t="str">
        <f>$B$3&amp;"  "&amp;C13&amp;"*"&amp;E13</f>
        <v>CARF  40*3</v>
      </c>
      <c r="B13" s="174">
        <f>(H13*7850)/10000</f>
        <v>3.3034605629283562</v>
      </c>
      <c r="C13" s="173">
        <v>40</v>
      </c>
      <c r="D13" s="173"/>
      <c r="E13" s="173">
        <v>3</v>
      </c>
      <c r="F13" s="173">
        <f>IF(E13&lt;=6,1*E13,IF(E13&lt;=10,1.5*E13,2*E13))</f>
        <v>3</v>
      </c>
      <c r="G13" s="173">
        <f>IF(E13&lt;=6,2*E13,IF(E13&lt;=10,2.5*E13,3*E13))</f>
        <v>6</v>
      </c>
      <c r="H13" s="174">
        <f t="shared" si="3"/>
        <v>4.2082300164692441</v>
      </c>
      <c r="I13" s="173">
        <v>9.24</v>
      </c>
      <c r="J13" s="174">
        <f>I13/(0.5*C13*0.1)</f>
        <v>4.62</v>
      </c>
      <c r="K13" s="173">
        <v>5.7</v>
      </c>
      <c r="L13" s="174">
        <f>SQRT(I13/H13)</f>
        <v>1.4817886050038669</v>
      </c>
      <c r="M13" s="176">
        <f t="shared" si="5"/>
        <v>1.68</v>
      </c>
      <c r="N13" s="176"/>
      <c r="O13" s="176"/>
      <c r="P13" s="176"/>
      <c r="Q13" s="176"/>
      <c r="R13" s="176"/>
      <c r="S13" s="176">
        <v>15.8</v>
      </c>
      <c r="T13" s="177">
        <v>7.07</v>
      </c>
    </row>
    <row r="14" spans="1:25" x14ac:dyDescent="0.25">
      <c r="A14" s="178" t="str">
        <f t="shared" ref="A14:A118" si="7">$B$3&amp;"  "&amp;C14&amp;"*"&amp;E14</f>
        <v>CARF  40*4</v>
      </c>
      <c r="B14" s="180">
        <f t="shared" ref="B14:B118" si="8">(H14*7850)/10000</f>
        <v>4.1981521118726333</v>
      </c>
      <c r="C14" s="179">
        <v>40</v>
      </c>
      <c r="D14" s="179"/>
      <c r="E14" s="179">
        <v>4</v>
      </c>
      <c r="F14" s="179">
        <f t="shared" ref="F14:F118" si="9">IF(E14&lt;=6,1*E14,IF(E14&lt;=10,1.5*E14,2*E14))</f>
        <v>4</v>
      </c>
      <c r="G14" s="179">
        <f t="shared" ref="G14:G118" si="10">IF(E14&lt;=6,2*E14,IF(E14&lt;=10,2.5*E14,3*E14))</f>
        <v>8</v>
      </c>
      <c r="H14" s="180">
        <f t="shared" si="3"/>
        <v>5.3479644737231</v>
      </c>
      <c r="I14" s="179">
        <v>10.9</v>
      </c>
      <c r="J14" s="180">
        <f>I14/(0.5*C14*0.1)</f>
        <v>5.45</v>
      </c>
      <c r="K14" s="179">
        <v>6.97</v>
      </c>
      <c r="L14" s="180">
        <f t="shared" ref="L14:L118" si="11">SQRT(I14/H14)</f>
        <v>1.427640935345627</v>
      </c>
      <c r="M14" s="182">
        <f t="shared" si="5"/>
        <v>1.92</v>
      </c>
      <c r="N14" s="182"/>
      <c r="O14" s="182"/>
      <c r="P14" s="182"/>
      <c r="Q14" s="182"/>
      <c r="R14" s="182"/>
      <c r="S14" s="182">
        <v>19.399999999999999</v>
      </c>
      <c r="T14" s="183">
        <v>8.48</v>
      </c>
    </row>
    <row r="15" spans="1:25" x14ac:dyDescent="0.25">
      <c r="A15" s="162" t="str">
        <f t="shared" si="7"/>
        <v>CARF  50*2</v>
      </c>
      <c r="B15" s="163">
        <f t="shared" si="8"/>
        <v>2.9335380279681584</v>
      </c>
      <c r="C15" s="64">
        <v>50</v>
      </c>
      <c r="E15" s="64">
        <v>2</v>
      </c>
      <c r="F15" s="64">
        <f t="shared" si="9"/>
        <v>2</v>
      </c>
      <c r="G15" s="64">
        <f t="shared" si="10"/>
        <v>4</v>
      </c>
      <c r="H15" s="163">
        <f t="shared" si="3"/>
        <v>3.7369911184307751</v>
      </c>
      <c r="I15" s="64">
        <v>14.1</v>
      </c>
      <c r="J15" s="163">
        <f>I15/(0.5*C15*0.1)</f>
        <v>5.64</v>
      </c>
      <c r="K15" s="64">
        <v>6.66</v>
      </c>
      <c r="L15" s="163">
        <f t="shared" si="11"/>
        <v>1.9424440733375412</v>
      </c>
      <c r="M15" s="165">
        <f t="shared" si="5"/>
        <v>1.68</v>
      </c>
      <c r="N15" s="165"/>
      <c r="O15" s="165"/>
      <c r="P15" s="165"/>
      <c r="Q15" s="165"/>
      <c r="R15" s="165"/>
      <c r="S15" s="165">
        <v>22.6</v>
      </c>
      <c r="T15" s="64">
        <v>8.51</v>
      </c>
    </row>
    <row r="16" spans="1:25" x14ac:dyDescent="0.25">
      <c r="A16" s="162" t="str">
        <f t="shared" si="7"/>
        <v>CARF  50*2.5</v>
      </c>
      <c r="B16" s="163">
        <f t="shared" si="8"/>
        <v>3.6024031687002478</v>
      </c>
      <c r="C16" s="64">
        <v>50</v>
      </c>
      <c r="E16" s="64">
        <v>2.5</v>
      </c>
      <c r="F16" s="64">
        <f t="shared" si="9"/>
        <v>2.5</v>
      </c>
      <c r="G16" s="64">
        <f t="shared" si="10"/>
        <v>5</v>
      </c>
      <c r="H16" s="163">
        <f t="shared" si="3"/>
        <v>4.589048622548086</v>
      </c>
      <c r="I16" s="64">
        <v>16.899999999999999</v>
      </c>
      <c r="J16" s="163">
        <f>I16/(0.5*C16*0.1)</f>
        <v>6.76</v>
      </c>
      <c r="K16" s="64">
        <v>8.06</v>
      </c>
      <c r="L16" s="163">
        <f t="shared" si="11"/>
        <v>1.9190311428067863</v>
      </c>
      <c r="M16" s="165">
        <f t="shared" si="5"/>
        <v>2</v>
      </c>
      <c r="N16" s="165"/>
      <c r="O16" s="165"/>
      <c r="P16" s="165"/>
      <c r="Q16" s="165"/>
      <c r="R16" s="165"/>
      <c r="S16" s="165">
        <v>27.5</v>
      </c>
      <c r="T16" s="64">
        <v>10.199999999999999</v>
      </c>
    </row>
    <row r="17" spans="1:20" x14ac:dyDescent="0.25">
      <c r="A17" s="162" t="str">
        <f t="shared" si="7"/>
        <v>CARF  50*3</v>
      </c>
      <c r="B17" s="163">
        <f t="shared" si="8"/>
        <v>4.2454605629283568</v>
      </c>
      <c r="C17" s="64">
        <v>50</v>
      </c>
      <c r="E17" s="64">
        <v>3</v>
      </c>
      <c r="F17" s="64">
        <f t="shared" si="9"/>
        <v>3</v>
      </c>
      <c r="G17" s="64">
        <f t="shared" si="10"/>
        <v>6</v>
      </c>
      <c r="H17" s="163">
        <f t="shared" si="3"/>
        <v>5.4082300164692452</v>
      </c>
      <c r="I17" s="64">
        <v>19.399999999999999</v>
      </c>
      <c r="J17" s="163">
        <f t="shared" ref="J17:J80" si="12">I17/(0.5*C17*0.1)</f>
        <v>7.76</v>
      </c>
      <c r="K17" s="64">
        <v>9.3699999999999992</v>
      </c>
      <c r="L17" s="163">
        <f t="shared" si="11"/>
        <v>1.8939708383767546</v>
      </c>
      <c r="M17" s="165">
        <f t="shared" si="5"/>
        <v>2.2800000000000002</v>
      </c>
      <c r="N17" s="165"/>
      <c r="O17" s="165"/>
      <c r="P17" s="165"/>
      <c r="Q17" s="165"/>
      <c r="R17" s="165"/>
      <c r="S17" s="165">
        <v>32.1</v>
      </c>
      <c r="T17" s="64">
        <v>11.8</v>
      </c>
    </row>
    <row r="18" spans="1:20" x14ac:dyDescent="0.25">
      <c r="A18" s="162" t="str">
        <f t="shared" si="7"/>
        <v>CARF  50*4</v>
      </c>
      <c r="B18" s="163">
        <f t="shared" si="8"/>
        <v>5.4541521118726344</v>
      </c>
      <c r="C18" s="64">
        <v>50</v>
      </c>
      <c r="E18" s="64">
        <v>4</v>
      </c>
      <c r="F18" s="64">
        <f t="shared" si="9"/>
        <v>4</v>
      </c>
      <c r="G18" s="64">
        <f t="shared" si="10"/>
        <v>8</v>
      </c>
      <c r="H18" s="163">
        <f t="shared" si="3"/>
        <v>6.9479644737231006</v>
      </c>
      <c r="I18" s="64">
        <v>23.5</v>
      </c>
      <c r="J18" s="163">
        <f t="shared" si="12"/>
        <v>9.4</v>
      </c>
      <c r="K18" s="64">
        <v>11.7</v>
      </c>
      <c r="L18" s="163">
        <f t="shared" si="11"/>
        <v>1.8390991199031934</v>
      </c>
      <c r="M18" s="165">
        <f t="shared" si="5"/>
        <v>2.72</v>
      </c>
      <c r="N18" s="165"/>
      <c r="O18" s="165"/>
      <c r="P18" s="165"/>
      <c r="Q18" s="165"/>
      <c r="R18" s="165"/>
      <c r="S18" s="165">
        <v>40.4</v>
      </c>
      <c r="T18" s="64">
        <v>14.4</v>
      </c>
    </row>
    <row r="19" spans="1:20" x14ac:dyDescent="0.25">
      <c r="A19" s="162" t="str">
        <f t="shared" si="7"/>
        <v>CARF  50*5</v>
      </c>
      <c r="B19" s="163">
        <f t="shared" si="8"/>
        <v>6.5596126748009915</v>
      </c>
      <c r="C19" s="64">
        <v>50</v>
      </c>
      <c r="E19" s="64">
        <v>5</v>
      </c>
      <c r="F19" s="64">
        <f t="shared" si="9"/>
        <v>5</v>
      </c>
      <c r="G19" s="64">
        <f t="shared" si="10"/>
        <v>10</v>
      </c>
      <c r="H19" s="163">
        <f t="shared" si="3"/>
        <v>8.3561944901923457</v>
      </c>
      <c r="I19" s="64">
        <v>26.6</v>
      </c>
      <c r="J19" s="163">
        <f t="shared" si="12"/>
        <v>10.64</v>
      </c>
      <c r="K19" s="64">
        <v>13.6</v>
      </c>
      <c r="L19" s="163">
        <f t="shared" si="11"/>
        <v>1.7841712976764965</v>
      </c>
      <c r="M19" s="165">
        <f t="shared" si="5"/>
        <v>3</v>
      </c>
      <c r="N19" s="165"/>
      <c r="O19" s="165"/>
      <c r="P19" s="165"/>
      <c r="Q19" s="165"/>
      <c r="R19" s="165"/>
      <c r="S19" s="165">
        <v>47.5</v>
      </c>
      <c r="T19" s="64">
        <v>16.600000000000001</v>
      </c>
    </row>
    <row r="20" spans="1:20" x14ac:dyDescent="0.25">
      <c r="A20" s="166" t="str">
        <f t="shared" si="7"/>
        <v>CARF  60*2</v>
      </c>
      <c r="B20" s="168">
        <f t="shared" si="8"/>
        <v>3.5615380279681581</v>
      </c>
      <c r="C20" s="167">
        <v>60</v>
      </c>
      <c r="D20" s="167"/>
      <c r="E20" s="167">
        <v>2</v>
      </c>
      <c r="F20" s="167">
        <f t="shared" si="9"/>
        <v>2</v>
      </c>
      <c r="G20" s="167">
        <f t="shared" si="10"/>
        <v>4</v>
      </c>
      <c r="H20" s="168">
        <f t="shared" si="3"/>
        <v>4.536991118430775</v>
      </c>
      <c r="I20" s="167">
        <v>25.1</v>
      </c>
      <c r="J20" s="168">
        <f t="shared" si="12"/>
        <v>8.3666666666666671</v>
      </c>
      <c r="K20" s="167">
        <v>9.7799999999999994</v>
      </c>
      <c r="L20" s="168">
        <f t="shared" si="11"/>
        <v>2.352084371247626</v>
      </c>
      <c r="M20" s="170">
        <f t="shared" si="5"/>
        <v>2.08</v>
      </c>
      <c r="N20" s="170"/>
      <c r="O20" s="170"/>
      <c r="P20" s="170"/>
      <c r="Q20" s="170"/>
      <c r="R20" s="170"/>
      <c r="S20" s="170">
        <v>39.799999999999997</v>
      </c>
      <c r="T20" s="171">
        <v>12.6</v>
      </c>
    </row>
    <row r="21" spans="1:20" x14ac:dyDescent="0.25">
      <c r="A21" s="172" t="str">
        <f t="shared" si="7"/>
        <v>CARF  60*2.5</v>
      </c>
      <c r="B21" s="174">
        <f t="shared" si="8"/>
        <v>4.3874031687002484</v>
      </c>
      <c r="C21" s="173">
        <v>60</v>
      </c>
      <c r="D21" s="173"/>
      <c r="E21" s="173">
        <v>2.5</v>
      </c>
      <c r="F21" s="173">
        <f t="shared" si="9"/>
        <v>2.5</v>
      </c>
      <c r="G21" s="173">
        <f t="shared" si="10"/>
        <v>5</v>
      </c>
      <c r="H21" s="174">
        <f t="shared" si="3"/>
        <v>5.5890486225480869</v>
      </c>
      <c r="I21" s="173">
        <v>30.3</v>
      </c>
      <c r="J21" s="174">
        <f t="shared" si="12"/>
        <v>10.1</v>
      </c>
      <c r="K21" s="173">
        <v>11.9</v>
      </c>
      <c r="L21" s="174">
        <f t="shared" si="11"/>
        <v>2.3283720125070322</v>
      </c>
      <c r="M21" s="176">
        <f t="shared" si="5"/>
        <v>2.5</v>
      </c>
      <c r="N21" s="176"/>
      <c r="O21" s="176"/>
      <c r="P21" s="176"/>
      <c r="Q21" s="176"/>
      <c r="R21" s="176"/>
      <c r="S21" s="176">
        <v>48.7</v>
      </c>
      <c r="T21" s="177">
        <v>15.2</v>
      </c>
    </row>
    <row r="22" spans="1:20" x14ac:dyDescent="0.25">
      <c r="A22" s="172" t="str">
        <f t="shared" si="7"/>
        <v>CARF  60*3</v>
      </c>
      <c r="B22" s="174">
        <f t="shared" si="8"/>
        <v>5.187460562928357</v>
      </c>
      <c r="C22" s="173">
        <v>60</v>
      </c>
      <c r="D22" s="173"/>
      <c r="E22" s="173">
        <v>3</v>
      </c>
      <c r="F22" s="173">
        <f t="shared" si="9"/>
        <v>3</v>
      </c>
      <c r="G22" s="173">
        <f t="shared" si="10"/>
        <v>6</v>
      </c>
      <c r="H22" s="174">
        <f t="shared" si="3"/>
        <v>6.6082300164692445</v>
      </c>
      <c r="I22" s="173">
        <v>35</v>
      </c>
      <c r="J22" s="174">
        <f t="shared" si="12"/>
        <v>11.666666666666666</v>
      </c>
      <c r="K22" s="173">
        <v>13.9</v>
      </c>
      <c r="L22" s="174">
        <f t="shared" si="11"/>
        <v>2.3013964906834135</v>
      </c>
      <c r="M22" s="176">
        <f t="shared" si="5"/>
        <v>2.88</v>
      </c>
      <c r="N22" s="176"/>
      <c r="O22" s="176"/>
      <c r="P22" s="176"/>
      <c r="Q22" s="176"/>
      <c r="R22" s="176"/>
      <c r="S22" s="176">
        <v>57.1</v>
      </c>
      <c r="T22" s="177">
        <v>17.7</v>
      </c>
    </row>
    <row r="23" spans="1:20" x14ac:dyDescent="0.25">
      <c r="A23" s="172" t="str">
        <f t="shared" si="7"/>
        <v>CARF  60*4</v>
      </c>
      <c r="B23" s="174">
        <f t="shared" si="8"/>
        <v>6.7101521118726337</v>
      </c>
      <c r="C23" s="173">
        <v>60</v>
      </c>
      <c r="D23" s="173"/>
      <c r="E23" s="173">
        <v>4</v>
      </c>
      <c r="F23" s="173">
        <f t="shared" si="9"/>
        <v>4</v>
      </c>
      <c r="G23" s="173">
        <f t="shared" si="10"/>
        <v>8</v>
      </c>
      <c r="H23" s="174">
        <f t="shared" si="3"/>
        <v>8.5479644737231002</v>
      </c>
      <c r="I23" s="173">
        <v>43.3</v>
      </c>
      <c r="J23" s="174">
        <f t="shared" si="12"/>
        <v>14.433333333333332</v>
      </c>
      <c r="K23" s="173">
        <v>17.600000000000001</v>
      </c>
      <c r="L23" s="174">
        <f t="shared" si="11"/>
        <v>2.2506739998022964</v>
      </c>
      <c r="M23" s="176">
        <f t="shared" si="5"/>
        <v>3.52</v>
      </c>
      <c r="N23" s="176"/>
      <c r="O23" s="176"/>
      <c r="P23" s="176"/>
      <c r="Q23" s="176"/>
      <c r="R23" s="176"/>
      <c r="S23" s="176">
        <v>72.599999999999994</v>
      </c>
      <c r="T23" s="177">
        <v>22</v>
      </c>
    </row>
    <row r="24" spans="1:20" x14ac:dyDescent="0.25">
      <c r="A24" s="172" t="str">
        <f t="shared" si="7"/>
        <v>CARF  60*5</v>
      </c>
      <c r="B24" s="174">
        <f t="shared" si="8"/>
        <v>8.1296126748009918</v>
      </c>
      <c r="C24" s="173">
        <v>60</v>
      </c>
      <c r="D24" s="173"/>
      <c r="E24" s="173">
        <v>5</v>
      </c>
      <c r="F24" s="173">
        <f t="shared" si="9"/>
        <v>5</v>
      </c>
      <c r="G24" s="173">
        <f t="shared" si="10"/>
        <v>10</v>
      </c>
      <c r="H24" s="174">
        <f t="shared" si="3"/>
        <v>10.356194490192346</v>
      </c>
      <c r="I24" s="173">
        <v>50</v>
      </c>
      <c r="J24" s="174">
        <f t="shared" si="12"/>
        <v>16.666666666666668</v>
      </c>
      <c r="K24" s="173">
        <v>20.8</v>
      </c>
      <c r="L24" s="174">
        <f t="shared" si="11"/>
        <v>2.1972774727776829</v>
      </c>
      <c r="M24" s="176">
        <f t="shared" si="5"/>
        <v>4</v>
      </c>
      <c r="N24" s="176"/>
      <c r="O24" s="176"/>
      <c r="P24" s="176"/>
      <c r="Q24" s="176"/>
      <c r="R24" s="176"/>
      <c r="S24" s="176">
        <v>86.4</v>
      </c>
      <c r="T24" s="177">
        <v>25.6</v>
      </c>
    </row>
    <row r="25" spans="1:20" x14ac:dyDescent="0.25">
      <c r="A25" s="172" t="str">
        <f t="shared" si="7"/>
        <v>CARF  60*6</v>
      </c>
      <c r="B25" s="174">
        <f t="shared" si="8"/>
        <v>9.4458422517134277</v>
      </c>
      <c r="C25" s="173">
        <v>60</v>
      </c>
      <c r="D25" s="173"/>
      <c r="E25" s="173">
        <v>6</v>
      </c>
      <c r="F25" s="173">
        <f t="shared" si="9"/>
        <v>6</v>
      </c>
      <c r="G25" s="173">
        <f t="shared" si="10"/>
        <v>12</v>
      </c>
      <c r="H25" s="174">
        <f t="shared" si="3"/>
        <v>12.032920065876977</v>
      </c>
      <c r="I25" s="173">
        <v>55.1</v>
      </c>
      <c r="J25" s="174">
        <f t="shared" si="12"/>
        <v>18.366666666666667</v>
      </c>
      <c r="K25" s="173">
        <v>23.5</v>
      </c>
      <c r="L25" s="174">
        <f t="shared" si="11"/>
        <v>2.1398842564860985</v>
      </c>
      <c r="M25" s="176">
        <f t="shared" si="5"/>
        <v>4.32</v>
      </c>
      <c r="N25" s="176"/>
      <c r="O25" s="176"/>
      <c r="P25" s="176"/>
      <c r="Q25" s="176"/>
      <c r="R25" s="176"/>
      <c r="S25" s="176">
        <v>98.4</v>
      </c>
      <c r="T25" s="177">
        <v>28.6</v>
      </c>
    </row>
    <row r="26" spans="1:20" x14ac:dyDescent="0.25">
      <c r="A26" s="178" t="str">
        <f t="shared" si="7"/>
        <v>CARF  60*6.3</v>
      </c>
      <c r="B26" s="180">
        <f t="shared" si="8"/>
        <v>9.5531301100187367</v>
      </c>
      <c r="C26" s="179">
        <v>60</v>
      </c>
      <c r="D26" s="179"/>
      <c r="E26" s="179">
        <v>6.3</v>
      </c>
      <c r="F26" s="179">
        <f t="shared" si="9"/>
        <v>9.4499999999999993</v>
      </c>
      <c r="G26" s="179">
        <f t="shared" si="10"/>
        <v>15.75</v>
      </c>
      <c r="H26" s="180">
        <f t="shared" si="3"/>
        <v>12.169592496839154</v>
      </c>
      <c r="I26" s="179">
        <v>52.8</v>
      </c>
      <c r="J26" s="180">
        <f t="shared" si="12"/>
        <v>17.599999999999998</v>
      </c>
      <c r="K26" s="179">
        <v>23.1</v>
      </c>
      <c r="L26" s="180">
        <f t="shared" si="11"/>
        <v>2.0829504709653164</v>
      </c>
      <c r="M26" s="182">
        <f t="shared" si="5"/>
        <v>3.5909999999999997</v>
      </c>
      <c r="N26" s="182"/>
      <c r="O26" s="182"/>
      <c r="P26" s="182"/>
      <c r="Q26" s="182"/>
      <c r="R26" s="182"/>
      <c r="S26" s="182">
        <v>100</v>
      </c>
      <c r="T26" s="183">
        <v>28.8</v>
      </c>
    </row>
    <row r="27" spans="1:20" x14ac:dyDescent="0.25">
      <c r="A27" s="162" t="str">
        <f t="shared" si="7"/>
        <v>CARF  70*2.5</v>
      </c>
      <c r="B27" s="163">
        <f t="shared" si="8"/>
        <v>5.1724031687002485</v>
      </c>
      <c r="C27" s="64">
        <v>70</v>
      </c>
      <c r="E27" s="64">
        <v>2.5</v>
      </c>
      <c r="F27" s="64">
        <f t="shared" si="9"/>
        <v>2.5</v>
      </c>
      <c r="G27" s="64">
        <f t="shared" si="10"/>
        <v>5</v>
      </c>
      <c r="H27" s="163">
        <f t="shared" si="3"/>
        <v>6.5890486225480869</v>
      </c>
      <c r="I27" s="64">
        <v>49.3</v>
      </c>
      <c r="J27" s="163">
        <f t="shared" si="12"/>
        <v>14.085714285714285</v>
      </c>
      <c r="K27" s="64">
        <v>16.5</v>
      </c>
      <c r="L27" s="163">
        <f t="shared" si="11"/>
        <v>2.7353449572784254</v>
      </c>
      <c r="M27" s="165">
        <f t="shared" si="5"/>
        <v>3</v>
      </c>
      <c r="N27" s="165"/>
      <c r="O27" s="165"/>
      <c r="P27" s="165"/>
      <c r="Q27" s="165"/>
      <c r="R27" s="165"/>
      <c r="S27" s="165">
        <v>78.5</v>
      </c>
      <c r="T27" s="64">
        <v>21.2</v>
      </c>
    </row>
    <row r="28" spans="1:20" x14ac:dyDescent="0.25">
      <c r="A28" s="162" t="str">
        <f t="shared" si="7"/>
        <v>CARF  70*3</v>
      </c>
      <c r="B28" s="163">
        <f t="shared" si="8"/>
        <v>6.1294605629283572</v>
      </c>
      <c r="C28" s="64">
        <v>70</v>
      </c>
      <c r="E28" s="64">
        <v>3</v>
      </c>
      <c r="F28" s="64">
        <f t="shared" si="9"/>
        <v>3</v>
      </c>
      <c r="G28" s="64">
        <f t="shared" si="10"/>
        <v>6</v>
      </c>
      <c r="H28" s="163">
        <f t="shared" si="3"/>
        <v>7.8082300164692446</v>
      </c>
      <c r="I28" s="64">
        <v>57.4</v>
      </c>
      <c r="J28" s="163">
        <f t="shared" si="12"/>
        <v>16.399999999999999</v>
      </c>
      <c r="K28" s="64">
        <v>19.399999999999999</v>
      </c>
      <c r="L28" s="163">
        <f t="shared" si="11"/>
        <v>2.7113129413883756</v>
      </c>
      <c r="M28" s="165">
        <f t="shared" si="5"/>
        <v>3.48</v>
      </c>
      <c r="N28" s="165"/>
      <c r="O28" s="165"/>
      <c r="P28" s="165"/>
      <c r="Q28" s="165"/>
      <c r="R28" s="165"/>
      <c r="S28" s="165">
        <v>92.4</v>
      </c>
      <c r="T28" s="64">
        <v>24.7</v>
      </c>
    </row>
    <row r="29" spans="1:20" x14ac:dyDescent="0.25">
      <c r="A29" s="162" t="str">
        <f t="shared" si="7"/>
        <v>CARF  70*4</v>
      </c>
      <c r="B29" s="163">
        <f t="shared" si="8"/>
        <v>7.9661521118726331</v>
      </c>
      <c r="C29" s="64">
        <v>70</v>
      </c>
      <c r="E29" s="64">
        <v>4</v>
      </c>
      <c r="F29" s="64">
        <f t="shared" si="9"/>
        <v>4</v>
      </c>
      <c r="G29" s="64">
        <f t="shared" si="10"/>
        <v>8</v>
      </c>
      <c r="H29" s="163">
        <f t="shared" si="3"/>
        <v>10.1479644737231</v>
      </c>
      <c r="I29" s="64">
        <v>71.8</v>
      </c>
      <c r="J29" s="163">
        <f t="shared" si="12"/>
        <v>20.514285714285712</v>
      </c>
      <c r="K29" s="64">
        <v>24.7</v>
      </c>
      <c r="L29" s="163">
        <f t="shared" si="11"/>
        <v>2.6599455896602167</v>
      </c>
      <c r="M29" s="165">
        <f t="shared" si="5"/>
        <v>4.32</v>
      </c>
      <c r="N29" s="165"/>
      <c r="O29" s="165"/>
      <c r="P29" s="165"/>
      <c r="Q29" s="165"/>
      <c r="R29" s="165"/>
      <c r="S29" s="165">
        <v>119</v>
      </c>
      <c r="T29" s="64">
        <v>31.1</v>
      </c>
    </row>
    <row r="30" spans="1:20" x14ac:dyDescent="0.25">
      <c r="A30" s="162" t="str">
        <f t="shared" si="7"/>
        <v>CARF  70*5</v>
      </c>
      <c r="B30" s="163">
        <f t="shared" si="8"/>
        <v>9.6996126748009921</v>
      </c>
      <c r="C30" s="64">
        <v>70</v>
      </c>
      <c r="E30" s="64">
        <v>5</v>
      </c>
      <c r="F30" s="64">
        <f t="shared" si="9"/>
        <v>5</v>
      </c>
      <c r="G30" s="64">
        <f t="shared" si="10"/>
        <v>10</v>
      </c>
      <c r="H30" s="163">
        <f t="shared" si="3"/>
        <v>12.356194490192346</v>
      </c>
      <c r="I30" s="64">
        <v>84</v>
      </c>
      <c r="J30" s="163">
        <f t="shared" si="12"/>
        <v>24</v>
      </c>
      <c r="K30" s="64">
        <v>29.5</v>
      </c>
      <c r="L30" s="163">
        <f t="shared" si="11"/>
        <v>2.6073376459104938</v>
      </c>
      <c r="M30" s="165">
        <f t="shared" si="5"/>
        <v>5</v>
      </c>
      <c r="N30" s="165"/>
      <c r="O30" s="165"/>
      <c r="P30" s="165"/>
      <c r="Q30" s="165"/>
      <c r="R30" s="165"/>
      <c r="S30" s="165">
        <v>142</v>
      </c>
      <c r="T30" s="64">
        <v>36.700000000000003</v>
      </c>
    </row>
    <row r="31" spans="1:20" x14ac:dyDescent="0.25">
      <c r="A31" s="162" t="str">
        <f t="shared" si="7"/>
        <v>CARF  70*6</v>
      </c>
      <c r="B31" s="163">
        <f t="shared" si="8"/>
        <v>11.329842251713426</v>
      </c>
      <c r="C31" s="64">
        <v>70</v>
      </c>
      <c r="E31" s="64">
        <v>6</v>
      </c>
      <c r="F31" s="64">
        <f t="shared" si="9"/>
        <v>6</v>
      </c>
      <c r="G31" s="64">
        <f t="shared" si="10"/>
        <v>12</v>
      </c>
      <c r="H31" s="163">
        <f t="shared" si="3"/>
        <v>14.432920065876976</v>
      </c>
      <c r="I31" s="64">
        <v>94.1</v>
      </c>
      <c r="J31" s="163">
        <f t="shared" si="12"/>
        <v>26.885714285714283</v>
      </c>
      <c r="K31" s="64">
        <v>33.700000000000003</v>
      </c>
      <c r="L31" s="163">
        <f t="shared" si="11"/>
        <v>2.5533932650357607</v>
      </c>
      <c r="M31" s="165">
        <f t="shared" si="5"/>
        <v>5.5200000000000005</v>
      </c>
      <c r="N31" s="165"/>
      <c r="O31" s="165"/>
      <c r="P31" s="165"/>
      <c r="Q31" s="165"/>
      <c r="R31" s="165"/>
      <c r="S31" s="165">
        <v>163</v>
      </c>
      <c r="T31" s="64">
        <v>41.4</v>
      </c>
    </row>
    <row r="32" spans="1:20" x14ac:dyDescent="0.25">
      <c r="A32" s="162" t="str">
        <f t="shared" si="7"/>
        <v>CARF  70*6.3</v>
      </c>
      <c r="B32" s="163">
        <f t="shared" si="8"/>
        <v>11.531330110018736</v>
      </c>
      <c r="C32" s="64">
        <v>70</v>
      </c>
      <c r="E32" s="64">
        <v>6.3</v>
      </c>
      <c r="F32" s="64">
        <f t="shared" si="9"/>
        <v>9.4499999999999993</v>
      </c>
      <c r="G32" s="64">
        <f t="shared" si="10"/>
        <v>15.75</v>
      </c>
      <c r="H32" s="163">
        <f t="shared" si="3"/>
        <v>14.689592496839154</v>
      </c>
      <c r="I32" s="64">
        <v>91.8</v>
      </c>
      <c r="J32" s="163">
        <f t="shared" si="12"/>
        <v>26.228571428571428</v>
      </c>
      <c r="K32" s="64">
        <v>33.5</v>
      </c>
      <c r="L32" s="163">
        <f t="shared" si="11"/>
        <v>2.4998644839873512</v>
      </c>
      <c r="M32" s="165">
        <f t="shared" si="5"/>
        <v>4.851</v>
      </c>
      <c r="N32" s="165"/>
      <c r="O32" s="165"/>
      <c r="P32" s="165"/>
      <c r="Q32" s="165"/>
      <c r="R32" s="165"/>
      <c r="S32" s="165">
        <v>168</v>
      </c>
      <c r="T32" s="64">
        <v>42.1</v>
      </c>
    </row>
    <row r="33" spans="1:20" x14ac:dyDescent="0.25">
      <c r="A33" s="166" t="str">
        <f t="shared" si="7"/>
        <v>CARF  80*3</v>
      </c>
      <c r="B33" s="168">
        <f t="shared" si="8"/>
        <v>7.0714605629283573</v>
      </c>
      <c r="C33" s="167">
        <v>80</v>
      </c>
      <c r="D33" s="167"/>
      <c r="E33" s="167">
        <v>3</v>
      </c>
      <c r="F33" s="167">
        <f t="shared" si="9"/>
        <v>3</v>
      </c>
      <c r="G33" s="167">
        <f t="shared" si="10"/>
        <v>6</v>
      </c>
      <c r="H33" s="168">
        <f t="shared" si="3"/>
        <v>9.0082300164692448</v>
      </c>
      <c r="I33" s="167">
        <v>87.7</v>
      </c>
      <c r="J33" s="168">
        <f t="shared" si="12"/>
        <v>21.925000000000001</v>
      </c>
      <c r="K33" s="167">
        <v>25.8</v>
      </c>
      <c r="L33" s="168">
        <f t="shared" si="11"/>
        <v>3.1201829777279553</v>
      </c>
      <c r="M33" s="170">
        <f t="shared" si="5"/>
        <v>4.08</v>
      </c>
      <c r="N33" s="170"/>
      <c r="O33" s="170"/>
      <c r="P33" s="170"/>
      <c r="Q33" s="170"/>
      <c r="R33" s="170"/>
      <c r="S33" s="170">
        <v>140</v>
      </c>
      <c r="T33" s="171">
        <v>33</v>
      </c>
    </row>
    <row r="34" spans="1:20" x14ac:dyDescent="0.25">
      <c r="A34" s="172" t="str">
        <f t="shared" si="7"/>
        <v>CARF  80*4</v>
      </c>
      <c r="B34" s="174">
        <f t="shared" si="8"/>
        <v>9.2221521118726333</v>
      </c>
      <c r="C34" s="173">
        <v>80</v>
      </c>
      <c r="D34" s="173"/>
      <c r="E34" s="173">
        <v>4</v>
      </c>
      <c r="F34" s="173">
        <f t="shared" si="9"/>
        <v>4</v>
      </c>
      <c r="G34" s="173">
        <f t="shared" si="10"/>
        <v>8</v>
      </c>
      <c r="H34" s="174">
        <f t="shared" si="3"/>
        <v>11.747964473723099</v>
      </c>
      <c r="I34" s="173">
        <v>111</v>
      </c>
      <c r="J34" s="174">
        <f t="shared" si="12"/>
        <v>27.75</v>
      </c>
      <c r="K34" s="173">
        <v>33</v>
      </c>
      <c r="L34" s="174">
        <f t="shared" si="11"/>
        <v>3.0738323513405059</v>
      </c>
      <c r="M34" s="176">
        <f t="shared" si="5"/>
        <v>5.12</v>
      </c>
      <c r="N34" s="176"/>
      <c r="O34" s="176"/>
      <c r="P34" s="176"/>
      <c r="Q34" s="176"/>
      <c r="R34" s="176"/>
      <c r="S34" s="176">
        <v>180</v>
      </c>
      <c r="T34" s="177">
        <v>41.8</v>
      </c>
    </row>
    <row r="35" spans="1:20" x14ac:dyDescent="0.25">
      <c r="A35" s="172" t="str">
        <f t="shared" si="7"/>
        <v>CARF  80*5</v>
      </c>
      <c r="B35" s="174">
        <f t="shared" si="8"/>
        <v>11.269612674800992</v>
      </c>
      <c r="C35" s="173">
        <v>80</v>
      </c>
      <c r="D35" s="173"/>
      <c r="E35" s="173">
        <v>5</v>
      </c>
      <c r="F35" s="173">
        <f t="shared" si="9"/>
        <v>5</v>
      </c>
      <c r="G35" s="173">
        <f t="shared" si="10"/>
        <v>10</v>
      </c>
      <c r="H35" s="174">
        <f t="shared" si="3"/>
        <v>14.356194490192346</v>
      </c>
      <c r="I35" s="173">
        <v>131</v>
      </c>
      <c r="J35" s="174">
        <f t="shared" si="12"/>
        <v>32.75</v>
      </c>
      <c r="K35" s="173">
        <v>39.6</v>
      </c>
      <c r="L35" s="174">
        <f t="shared" si="11"/>
        <v>3.0207583259506654</v>
      </c>
      <c r="M35" s="176">
        <f t="shared" si="5"/>
        <v>6</v>
      </c>
      <c r="N35" s="176"/>
      <c r="O35" s="176"/>
      <c r="P35" s="176"/>
      <c r="Q35" s="176"/>
      <c r="R35" s="176"/>
      <c r="S35" s="176">
        <v>218</v>
      </c>
      <c r="T35" s="177">
        <v>49.7</v>
      </c>
    </row>
    <row r="36" spans="1:20" x14ac:dyDescent="0.25">
      <c r="A36" s="172" t="str">
        <f t="shared" si="7"/>
        <v>CARF  80*6</v>
      </c>
      <c r="B36" s="174">
        <f t="shared" si="8"/>
        <v>13.213842251713425</v>
      </c>
      <c r="C36" s="173">
        <v>80</v>
      </c>
      <c r="D36" s="173"/>
      <c r="E36" s="173">
        <v>6</v>
      </c>
      <c r="F36" s="173">
        <f t="shared" si="9"/>
        <v>6</v>
      </c>
      <c r="G36" s="173">
        <f t="shared" si="10"/>
        <v>12</v>
      </c>
      <c r="H36" s="174">
        <f t="shared" si="3"/>
        <v>16.832920065876976</v>
      </c>
      <c r="I36" s="173">
        <v>148</v>
      </c>
      <c r="J36" s="174">
        <f t="shared" si="12"/>
        <v>37</v>
      </c>
      <c r="K36" s="173">
        <v>45.6</v>
      </c>
      <c r="L36" s="174">
        <f t="shared" si="11"/>
        <v>2.9651804436711249</v>
      </c>
      <c r="M36" s="176">
        <f t="shared" si="5"/>
        <v>6.72</v>
      </c>
      <c r="N36" s="176"/>
      <c r="O36" s="176"/>
      <c r="P36" s="176"/>
      <c r="Q36" s="176"/>
      <c r="R36" s="176"/>
      <c r="S36" s="176">
        <v>252</v>
      </c>
      <c r="T36" s="177">
        <v>56.6</v>
      </c>
    </row>
    <row r="37" spans="1:20" x14ac:dyDescent="0.25">
      <c r="A37" s="172" t="str">
        <f t="shared" si="7"/>
        <v>CARF  80*6.3</v>
      </c>
      <c r="B37" s="174">
        <f t="shared" si="8"/>
        <v>13.509530110018739</v>
      </c>
      <c r="C37" s="173">
        <v>80</v>
      </c>
      <c r="D37" s="173"/>
      <c r="E37" s="173">
        <v>6.3</v>
      </c>
      <c r="F37" s="173">
        <f t="shared" si="9"/>
        <v>9.4499999999999993</v>
      </c>
      <c r="G37" s="173">
        <f t="shared" si="10"/>
        <v>15.75</v>
      </c>
      <c r="H37" s="174">
        <f t="shared" si="3"/>
        <v>17.209592496839157</v>
      </c>
      <c r="I37" s="173">
        <v>146</v>
      </c>
      <c r="J37" s="174">
        <f t="shared" si="12"/>
        <v>36.5</v>
      </c>
      <c r="K37" s="173">
        <v>45.8</v>
      </c>
      <c r="L37" s="174">
        <f t="shared" si="11"/>
        <v>2.9126690060060567</v>
      </c>
      <c r="M37" s="176">
        <f t="shared" si="5"/>
        <v>6.1110000000000007</v>
      </c>
      <c r="N37" s="176"/>
      <c r="O37" s="176"/>
      <c r="P37" s="176"/>
      <c r="Q37" s="176"/>
      <c r="R37" s="176"/>
      <c r="S37" s="176">
        <v>261</v>
      </c>
      <c r="T37" s="177">
        <v>57.9</v>
      </c>
    </row>
    <row r="38" spans="1:20" x14ac:dyDescent="0.25">
      <c r="A38" s="178" t="str">
        <f t="shared" si="7"/>
        <v>CARF  80*8</v>
      </c>
      <c r="B38" s="180">
        <f t="shared" si="8"/>
        <v>16.36134459665405</v>
      </c>
      <c r="C38" s="179">
        <v>80</v>
      </c>
      <c r="D38" s="179"/>
      <c r="E38" s="179">
        <v>8</v>
      </c>
      <c r="F38" s="179">
        <f t="shared" si="9"/>
        <v>12</v>
      </c>
      <c r="G38" s="179">
        <f t="shared" si="10"/>
        <v>20</v>
      </c>
      <c r="H38" s="180">
        <f t="shared" si="3"/>
        <v>20.842477193189872</v>
      </c>
      <c r="I38" s="179">
        <v>164</v>
      </c>
      <c r="J38" s="180">
        <f t="shared" si="12"/>
        <v>41</v>
      </c>
      <c r="K38" s="179">
        <v>53.3</v>
      </c>
      <c r="L38" s="180">
        <f t="shared" si="11"/>
        <v>2.8050929491676082</v>
      </c>
      <c r="M38" s="182">
        <f t="shared" si="5"/>
        <v>6.4</v>
      </c>
      <c r="N38" s="182"/>
      <c r="O38" s="182"/>
      <c r="P38" s="182"/>
      <c r="Q38" s="182"/>
      <c r="R38" s="182"/>
      <c r="S38" s="182">
        <v>307</v>
      </c>
      <c r="T38" s="183">
        <v>66.599999999999994</v>
      </c>
    </row>
    <row r="39" spans="1:20" x14ac:dyDescent="0.25">
      <c r="A39" s="162" t="str">
        <f t="shared" si="7"/>
        <v>CARF  90*3</v>
      </c>
      <c r="B39" s="163">
        <f t="shared" si="8"/>
        <v>8.0134605629283566</v>
      </c>
      <c r="C39" s="64">
        <v>90</v>
      </c>
      <c r="E39" s="64">
        <v>3</v>
      </c>
      <c r="F39" s="64">
        <f t="shared" si="9"/>
        <v>3</v>
      </c>
      <c r="G39" s="64">
        <f t="shared" si="10"/>
        <v>6</v>
      </c>
      <c r="H39" s="163">
        <f t="shared" si="3"/>
        <v>10.208230016469244</v>
      </c>
      <c r="I39" s="64">
        <v>127</v>
      </c>
      <c r="J39" s="163">
        <f t="shared" si="12"/>
        <v>28.222222222222221</v>
      </c>
      <c r="K39" s="64">
        <v>33</v>
      </c>
      <c r="L39" s="163">
        <f t="shared" si="11"/>
        <v>3.5271719888974147</v>
      </c>
      <c r="M39" s="165">
        <f t="shared" si="5"/>
        <v>4.68</v>
      </c>
      <c r="N39" s="165"/>
      <c r="O39" s="165"/>
      <c r="P39" s="165"/>
      <c r="Q39" s="165"/>
      <c r="R39" s="165"/>
      <c r="S39" s="165">
        <v>201</v>
      </c>
      <c r="T39" s="64">
        <v>42.5</v>
      </c>
    </row>
    <row r="40" spans="1:20" x14ac:dyDescent="0.25">
      <c r="A40" s="162" t="str">
        <f t="shared" si="7"/>
        <v>CARF  90*4</v>
      </c>
      <c r="B40" s="163">
        <f t="shared" si="8"/>
        <v>10.478152111872635</v>
      </c>
      <c r="C40" s="64">
        <v>90</v>
      </c>
      <c r="E40" s="64">
        <v>4</v>
      </c>
      <c r="F40" s="64">
        <f t="shared" si="9"/>
        <v>4</v>
      </c>
      <c r="G40" s="64">
        <f t="shared" si="10"/>
        <v>8</v>
      </c>
      <c r="H40" s="163">
        <f t="shared" si="3"/>
        <v>13.347964473723101</v>
      </c>
      <c r="I40" s="64">
        <v>161</v>
      </c>
      <c r="J40" s="163">
        <f t="shared" si="12"/>
        <v>35.777777777777779</v>
      </c>
      <c r="K40" s="64">
        <v>42.5</v>
      </c>
      <c r="L40" s="163">
        <f t="shared" si="11"/>
        <v>3.4730050673157313</v>
      </c>
      <c r="M40" s="165">
        <f t="shared" si="5"/>
        <v>5.92</v>
      </c>
      <c r="N40" s="165"/>
      <c r="O40" s="165"/>
      <c r="P40" s="165"/>
      <c r="Q40" s="165"/>
      <c r="R40" s="165"/>
      <c r="S40" s="165">
        <v>261</v>
      </c>
      <c r="T40" s="64">
        <v>54.2</v>
      </c>
    </row>
    <row r="41" spans="1:20" x14ac:dyDescent="0.25">
      <c r="A41" s="162" t="str">
        <f t="shared" si="7"/>
        <v>CARF  90*5</v>
      </c>
      <c r="B41" s="163">
        <f t="shared" si="8"/>
        <v>12.839612674800991</v>
      </c>
      <c r="C41" s="64">
        <v>90</v>
      </c>
      <c r="E41" s="64">
        <v>5</v>
      </c>
      <c r="F41" s="64">
        <f t="shared" si="9"/>
        <v>5</v>
      </c>
      <c r="G41" s="64">
        <f t="shared" si="10"/>
        <v>10</v>
      </c>
      <c r="H41" s="163">
        <f t="shared" si="3"/>
        <v>16.356194490192344</v>
      </c>
      <c r="I41" s="64">
        <v>192</v>
      </c>
      <c r="J41" s="163">
        <f t="shared" si="12"/>
        <v>42.666666666666664</v>
      </c>
      <c r="K41" s="64">
        <v>51.3</v>
      </c>
      <c r="L41" s="163">
        <f t="shared" si="11"/>
        <v>3.4261745227117366</v>
      </c>
      <c r="M41" s="165">
        <f t="shared" si="5"/>
        <v>7</v>
      </c>
      <c r="N41" s="165"/>
      <c r="O41" s="165"/>
      <c r="P41" s="165"/>
      <c r="Q41" s="165"/>
      <c r="R41" s="165"/>
      <c r="S41" s="165">
        <v>316</v>
      </c>
      <c r="T41" s="64">
        <v>64.7</v>
      </c>
    </row>
    <row r="42" spans="1:20" x14ac:dyDescent="0.25">
      <c r="A42" s="162" t="str">
        <f t="shared" si="7"/>
        <v>CARF  90*6</v>
      </c>
      <c r="B42" s="163">
        <f t="shared" si="8"/>
        <v>15.097842251713429</v>
      </c>
      <c r="C42" s="64">
        <v>90</v>
      </c>
      <c r="E42" s="64">
        <v>6</v>
      </c>
      <c r="F42" s="64">
        <f t="shared" si="9"/>
        <v>6</v>
      </c>
      <c r="G42" s="64">
        <f t="shared" si="10"/>
        <v>12</v>
      </c>
      <c r="H42" s="163">
        <f t="shared" si="3"/>
        <v>19.232920065876979</v>
      </c>
      <c r="I42" s="64">
        <v>219</v>
      </c>
      <c r="J42" s="163">
        <f t="shared" si="12"/>
        <v>48.666666666666664</v>
      </c>
      <c r="K42" s="64">
        <v>59.4</v>
      </c>
      <c r="L42" s="163">
        <f t="shared" si="11"/>
        <v>3.3744223904996318</v>
      </c>
      <c r="M42" s="165">
        <f t="shared" si="5"/>
        <v>7.92</v>
      </c>
      <c r="N42" s="165"/>
      <c r="O42" s="165"/>
      <c r="P42" s="165"/>
      <c r="Q42" s="165"/>
      <c r="R42" s="165"/>
      <c r="S42" s="165">
        <v>368</v>
      </c>
      <c r="T42" s="64">
        <v>742</v>
      </c>
    </row>
    <row r="43" spans="1:20" x14ac:dyDescent="0.25">
      <c r="A43" s="162" t="str">
        <f t="shared" si="7"/>
        <v>CARF  90*6.3</v>
      </c>
      <c r="B43" s="163">
        <f t="shared" si="8"/>
        <v>15.487730110018738</v>
      </c>
      <c r="C43" s="64">
        <v>90</v>
      </c>
      <c r="E43" s="64">
        <v>6.3</v>
      </c>
      <c r="F43" s="64">
        <f t="shared" si="9"/>
        <v>9.4499999999999993</v>
      </c>
      <c r="G43" s="64">
        <f t="shared" si="10"/>
        <v>15.75</v>
      </c>
      <c r="H43" s="163">
        <f t="shared" si="3"/>
        <v>19.729592496839157</v>
      </c>
      <c r="I43" s="64">
        <v>219</v>
      </c>
      <c r="J43" s="163">
        <f t="shared" si="12"/>
        <v>48.666666666666664</v>
      </c>
      <c r="K43" s="64">
        <v>60</v>
      </c>
      <c r="L43" s="163">
        <f t="shared" si="11"/>
        <v>3.3316778367869317</v>
      </c>
      <c r="M43" s="165">
        <f t="shared" si="5"/>
        <v>7.3710000000000004</v>
      </c>
      <c r="N43" s="165"/>
      <c r="O43" s="165"/>
      <c r="P43" s="165"/>
      <c r="Q43" s="165"/>
      <c r="R43" s="165"/>
      <c r="S43" s="165">
        <v>382</v>
      </c>
      <c r="T43" s="64">
        <v>76.2</v>
      </c>
    </row>
    <row r="44" spans="1:20" x14ac:dyDescent="0.25">
      <c r="A44" s="162" t="str">
        <f t="shared" si="7"/>
        <v>CARF  90*8</v>
      </c>
      <c r="B44" s="163">
        <f t="shared" si="8"/>
        <v>18.87334459665405</v>
      </c>
      <c r="C44" s="64">
        <v>90</v>
      </c>
      <c r="E44" s="64">
        <v>8</v>
      </c>
      <c r="F44" s="64">
        <f t="shared" si="9"/>
        <v>12</v>
      </c>
      <c r="G44" s="64">
        <f t="shared" si="10"/>
        <v>20</v>
      </c>
      <c r="H44" s="163">
        <f t="shared" si="3"/>
        <v>24.042477193189871</v>
      </c>
      <c r="I44" s="64">
        <v>250</v>
      </c>
      <c r="J44" s="163">
        <f t="shared" si="12"/>
        <v>55.555555555555557</v>
      </c>
      <c r="K44" s="64">
        <v>70.7</v>
      </c>
      <c r="L44" s="163">
        <f t="shared" si="11"/>
        <v>3.2246337710371797</v>
      </c>
      <c r="M44" s="165">
        <f t="shared" si="5"/>
        <v>8</v>
      </c>
      <c r="N44" s="165"/>
      <c r="O44" s="165"/>
      <c r="P44" s="165"/>
      <c r="Q44" s="165"/>
      <c r="R44" s="165"/>
      <c r="S44" s="165">
        <v>456</v>
      </c>
      <c r="T44" s="64">
        <v>88.8</v>
      </c>
    </row>
    <row r="45" spans="1:20" x14ac:dyDescent="0.25">
      <c r="A45" s="166" t="str">
        <f t="shared" si="7"/>
        <v>CARF  100*3</v>
      </c>
      <c r="B45" s="168">
        <f t="shared" si="8"/>
        <v>8.9554605629283568</v>
      </c>
      <c r="C45" s="167">
        <v>100</v>
      </c>
      <c r="D45" s="167"/>
      <c r="E45" s="167">
        <v>3</v>
      </c>
      <c r="F45" s="167">
        <f t="shared" si="9"/>
        <v>3</v>
      </c>
      <c r="G45" s="167">
        <f t="shared" si="10"/>
        <v>6</v>
      </c>
      <c r="H45" s="168">
        <f t="shared" si="3"/>
        <v>11.408230016469245</v>
      </c>
      <c r="I45" s="167">
        <v>177</v>
      </c>
      <c r="J45" s="168">
        <f t="shared" si="12"/>
        <v>35.4</v>
      </c>
      <c r="K45" s="167">
        <v>41.2</v>
      </c>
      <c r="L45" s="168">
        <f t="shared" si="11"/>
        <v>3.9389230689175325</v>
      </c>
      <c r="M45" s="170">
        <f t="shared" si="5"/>
        <v>5.28</v>
      </c>
      <c r="N45" s="170"/>
      <c r="O45" s="170"/>
      <c r="P45" s="170"/>
      <c r="Q45" s="170"/>
      <c r="R45" s="170"/>
      <c r="S45" s="184">
        <v>279</v>
      </c>
      <c r="T45" s="171">
        <v>53.2</v>
      </c>
    </row>
    <row r="46" spans="1:20" x14ac:dyDescent="0.25">
      <c r="A46" s="172" t="str">
        <f t="shared" si="7"/>
        <v>CARF  100*4</v>
      </c>
      <c r="B46" s="174">
        <f t="shared" si="8"/>
        <v>11.734152111872634</v>
      </c>
      <c r="C46" s="173">
        <v>100</v>
      </c>
      <c r="D46" s="173"/>
      <c r="E46" s="173">
        <v>4</v>
      </c>
      <c r="F46" s="173">
        <f t="shared" si="9"/>
        <v>4</v>
      </c>
      <c r="G46" s="173">
        <f t="shared" si="10"/>
        <v>8</v>
      </c>
      <c r="H46" s="174">
        <f t="shared" si="3"/>
        <v>14.947964473723101</v>
      </c>
      <c r="I46" s="173">
        <v>226</v>
      </c>
      <c r="J46" s="174">
        <f t="shared" si="12"/>
        <v>45.2</v>
      </c>
      <c r="K46" s="173">
        <v>53.2</v>
      </c>
      <c r="L46" s="174">
        <f t="shared" si="11"/>
        <v>3.8883306711845824</v>
      </c>
      <c r="M46" s="176">
        <f t="shared" si="5"/>
        <v>6.72</v>
      </c>
      <c r="N46" s="176"/>
      <c r="O46" s="176"/>
      <c r="P46" s="176"/>
      <c r="Q46" s="176"/>
      <c r="R46" s="176"/>
      <c r="S46" s="185">
        <v>362</v>
      </c>
      <c r="T46" s="177">
        <v>68.099999999999994</v>
      </c>
    </row>
    <row r="47" spans="1:20" x14ac:dyDescent="0.25">
      <c r="A47" s="172" t="str">
        <f t="shared" si="7"/>
        <v>CARF  100*5</v>
      </c>
      <c r="B47" s="174">
        <f t="shared" si="8"/>
        <v>14.409612674800991</v>
      </c>
      <c r="C47" s="173">
        <v>100</v>
      </c>
      <c r="D47" s="173"/>
      <c r="E47" s="173">
        <v>5</v>
      </c>
      <c r="F47" s="173">
        <f t="shared" si="9"/>
        <v>5</v>
      </c>
      <c r="G47" s="173">
        <f t="shared" si="10"/>
        <v>10</v>
      </c>
      <c r="H47" s="174">
        <f t="shared" si="3"/>
        <v>18.356194490192344</v>
      </c>
      <c r="I47" s="173">
        <v>270</v>
      </c>
      <c r="J47" s="174">
        <f t="shared" si="12"/>
        <v>54</v>
      </c>
      <c r="K47" s="173">
        <v>64.5</v>
      </c>
      <c r="L47" s="174">
        <f t="shared" si="11"/>
        <v>3.835222431517292</v>
      </c>
      <c r="M47" s="176">
        <f t="shared" si="5"/>
        <v>8</v>
      </c>
      <c r="N47" s="176"/>
      <c r="O47" s="176"/>
      <c r="P47" s="176"/>
      <c r="Q47" s="176"/>
      <c r="R47" s="176"/>
      <c r="S47" s="185">
        <v>441</v>
      </c>
      <c r="T47" s="177">
        <v>81.7</v>
      </c>
    </row>
    <row r="48" spans="1:20" x14ac:dyDescent="0.25">
      <c r="A48" s="172" t="str">
        <f t="shared" si="7"/>
        <v>CARF  100*6</v>
      </c>
      <c r="B48" s="174">
        <f t="shared" si="8"/>
        <v>16.981842251713427</v>
      </c>
      <c r="C48" s="173">
        <v>100</v>
      </c>
      <c r="D48" s="173"/>
      <c r="E48" s="173">
        <v>6</v>
      </c>
      <c r="F48" s="173">
        <f t="shared" si="9"/>
        <v>6</v>
      </c>
      <c r="G48" s="173">
        <f t="shared" si="10"/>
        <v>12</v>
      </c>
      <c r="H48" s="174">
        <f t="shared" si="3"/>
        <v>21.632920065876981</v>
      </c>
      <c r="I48" s="173">
        <v>310</v>
      </c>
      <c r="J48" s="174">
        <f t="shared" si="12"/>
        <v>62</v>
      </c>
      <c r="K48" s="173">
        <v>74.900000000000006</v>
      </c>
      <c r="L48" s="174">
        <f t="shared" si="11"/>
        <v>3.7855002058735319</v>
      </c>
      <c r="M48" s="176">
        <f t="shared" si="5"/>
        <v>9.120000000000001</v>
      </c>
      <c r="N48" s="176"/>
      <c r="O48" s="176"/>
      <c r="P48" s="176"/>
      <c r="Q48" s="176"/>
      <c r="R48" s="176"/>
      <c r="S48" s="185">
        <v>514</v>
      </c>
      <c r="T48" s="177">
        <v>94.1</v>
      </c>
    </row>
    <row r="49" spans="1:20" x14ac:dyDescent="0.25">
      <c r="A49" s="172" t="str">
        <f t="shared" si="7"/>
        <v>CARF  100*6.3</v>
      </c>
      <c r="B49" s="174">
        <f t="shared" si="8"/>
        <v>17.465930110018743</v>
      </c>
      <c r="C49" s="173">
        <v>100</v>
      </c>
      <c r="D49" s="173"/>
      <c r="E49" s="173">
        <v>6.3</v>
      </c>
      <c r="F49" s="173">
        <f t="shared" si="9"/>
        <v>9.4499999999999993</v>
      </c>
      <c r="G49" s="173">
        <f t="shared" si="10"/>
        <v>15.75</v>
      </c>
      <c r="H49" s="174">
        <f t="shared" si="3"/>
        <v>22.24959249683916</v>
      </c>
      <c r="I49" s="173">
        <v>311</v>
      </c>
      <c r="J49" s="174">
        <f t="shared" si="12"/>
        <v>62.2</v>
      </c>
      <c r="K49" s="173">
        <v>76.099999999999994</v>
      </c>
      <c r="L49" s="174">
        <f t="shared" si="11"/>
        <v>3.738687482191049</v>
      </c>
      <c r="M49" s="176">
        <f t="shared" si="5"/>
        <v>8.6310000000000002</v>
      </c>
      <c r="N49" s="176"/>
      <c r="O49" s="176"/>
      <c r="P49" s="176"/>
      <c r="Q49" s="176"/>
      <c r="R49" s="176"/>
      <c r="S49" s="185">
        <v>536</v>
      </c>
      <c r="T49" s="177">
        <v>97</v>
      </c>
    </row>
    <row r="50" spans="1:20" x14ac:dyDescent="0.25">
      <c r="A50" s="172" t="str">
        <f t="shared" si="7"/>
        <v>CARF  100*8</v>
      </c>
      <c r="B50" s="174">
        <f t="shared" si="8"/>
        <v>21.385344596654047</v>
      </c>
      <c r="C50" s="173">
        <v>100</v>
      </c>
      <c r="D50" s="173"/>
      <c r="E50" s="173">
        <v>8</v>
      </c>
      <c r="F50" s="173">
        <f t="shared" si="9"/>
        <v>12</v>
      </c>
      <c r="G50" s="173">
        <f t="shared" si="10"/>
        <v>20</v>
      </c>
      <c r="H50" s="174">
        <f t="shared" si="3"/>
        <v>27.24247719318987</v>
      </c>
      <c r="I50" s="173">
        <v>360</v>
      </c>
      <c r="J50" s="174">
        <f t="shared" si="12"/>
        <v>72</v>
      </c>
      <c r="K50" s="173">
        <v>90.4</v>
      </c>
      <c r="L50" s="174">
        <f t="shared" si="11"/>
        <v>3.6351970092311241</v>
      </c>
      <c r="M50" s="176">
        <f t="shared" si="5"/>
        <v>9.6</v>
      </c>
      <c r="N50" s="176"/>
      <c r="O50" s="176"/>
      <c r="P50" s="176"/>
      <c r="Q50" s="176"/>
      <c r="R50" s="176"/>
      <c r="S50" s="185">
        <v>645</v>
      </c>
      <c r="T50" s="177">
        <v>114</v>
      </c>
    </row>
    <row r="51" spans="1:20" x14ac:dyDescent="0.25">
      <c r="A51" s="172" t="str">
        <f t="shared" si="7"/>
        <v>CARF  100*10</v>
      </c>
      <c r="B51" s="174">
        <f t="shared" si="8"/>
        <v>25.564600932271951</v>
      </c>
      <c r="C51" s="173">
        <v>100</v>
      </c>
      <c r="D51" s="173"/>
      <c r="E51" s="173">
        <v>10</v>
      </c>
      <c r="F51" s="173">
        <f t="shared" si="9"/>
        <v>15</v>
      </c>
      <c r="G51" s="173">
        <f t="shared" si="10"/>
        <v>25</v>
      </c>
      <c r="H51" s="174">
        <f t="shared" si="3"/>
        <v>32.566370614359172</v>
      </c>
      <c r="I51" s="173">
        <v>400</v>
      </c>
      <c r="J51" s="174">
        <f t="shared" si="12"/>
        <v>80</v>
      </c>
      <c r="K51" s="173">
        <v>104</v>
      </c>
      <c r="L51" s="174">
        <f t="shared" si="11"/>
        <v>3.5046553465496788</v>
      </c>
      <c r="M51" s="176">
        <f t="shared" si="5"/>
        <v>10</v>
      </c>
      <c r="N51" s="176"/>
      <c r="O51" s="176"/>
      <c r="P51" s="176"/>
      <c r="Q51" s="176"/>
      <c r="R51" s="176"/>
      <c r="S51" s="185">
        <v>750</v>
      </c>
      <c r="T51" s="177">
        <v>130</v>
      </c>
    </row>
    <row r="52" spans="1:20" x14ac:dyDescent="0.25">
      <c r="A52" s="172" t="str">
        <f t="shared" si="7"/>
        <v>CARF  100*12</v>
      </c>
      <c r="B52" s="174">
        <f t="shared" si="8"/>
        <v>28.306681678089518</v>
      </c>
      <c r="C52" s="173">
        <v>100</v>
      </c>
      <c r="D52" s="173"/>
      <c r="E52" s="173">
        <v>12</v>
      </c>
      <c r="F52" s="173">
        <f t="shared" si="9"/>
        <v>24</v>
      </c>
      <c r="G52" s="173">
        <f t="shared" si="10"/>
        <v>36</v>
      </c>
      <c r="H52" s="174">
        <f t="shared" si="3"/>
        <v>36.059467105846515</v>
      </c>
      <c r="I52" s="173">
        <v>382</v>
      </c>
      <c r="J52" s="174">
        <f t="shared" si="12"/>
        <v>76.400000000000006</v>
      </c>
      <c r="K52" s="173">
        <v>107</v>
      </c>
      <c r="L52" s="174">
        <f t="shared" si="11"/>
        <v>3.2547829273905253</v>
      </c>
      <c r="M52" s="176">
        <f t="shared" si="5"/>
        <v>6.72</v>
      </c>
      <c r="N52" s="176"/>
      <c r="O52" s="176"/>
      <c r="P52" s="176"/>
      <c r="Q52" s="176"/>
      <c r="R52" s="176"/>
      <c r="S52" s="185">
        <v>794</v>
      </c>
      <c r="T52" s="177">
        <v>136</v>
      </c>
    </row>
    <row r="53" spans="1:20" x14ac:dyDescent="0.25">
      <c r="A53" s="178" t="str">
        <f t="shared" si="7"/>
        <v>CARF  100*12.5</v>
      </c>
      <c r="B53" s="180">
        <f t="shared" si="8"/>
        <v>29.079298695843654</v>
      </c>
      <c r="C53" s="179">
        <v>100</v>
      </c>
      <c r="D53" s="179"/>
      <c r="E53" s="179">
        <v>12.5</v>
      </c>
      <c r="F53" s="179">
        <f t="shared" si="9"/>
        <v>25</v>
      </c>
      <c r="G53" s="179">
        <f t="shared" si="10"/>
        <v>37.5</v>
      </c>
      <c r="H53" s="180">
        <f t="shared" si="3"/>
        <v>37.043692606170261</v>
      </c>
      <c r="I53" s="179">
        <v>381</v>
      </c>
      <c r="J53" s="180">
        <f t="shared" si="12"/>
        <v>76.2</v>
      </c>
      <c r="K53" s="179">
        <v>108</v>
      </c>
      <c r="L53" s="180">
        <f t="shared" si="11"/>
        <v>3.207047201782228</v>
      </c>
      <c r="M53" s="182">
        <f t="shared" si="5"/>
        <v>6.25</v>
      </c>
      <c r="N53" s="182"/>
      <c r="O53" s="182"/>
      <c r="P53" s="182"/>
      <c r="Q53" s="182"/>
      <c r="R53" s="182"/>
      <c r="S53" s="186">
        <v>804</v>
      </c>
      <c r="T53" s="183">
        <v>137</v>
      </c>
    </row>
    <row r="54" spans="1:20" x14ac:dyDescent="0.25">
      <c r="A54" s="162" t="str">
        <f t="shared" si="7"/>
        <v>CARF  120*3</v>
      </c>
      <c r="B54" s="163">
        <f t="shared" si="8"/>
        <v>10.839460562928357</v>
      </c>
      <c r="C54" s="64">
        <v>120</v>
      </c>
      <c r="E54" s="64">
        <v>3</v>
      </c>
      <c r="F54" s="64">
        <f t="shared" si="9"/>
        <v>3</v>
      </c>
      <c r="G54" s="64">
        <f t="shared" si="10"/>
        <v>6</v>
      </c>
      <c r="H54" s="163">
        <f t="shared" si="3"/>
        <v>13.808230016469246</v>
      </c>
      <c r="I54" s="64">
        <v>312</v>
      </c>
      <c r="J54" s="163">
        <f t="shared" si="12"/>
        <v>52</v>
      </c>
      <c r="K54" s="64">
        <v>60.2</v>
      </c>
      <c r="L54" s="163">
        <f t="shared" si="11"/>
        <v>4.7534430005768282</v>
      </c>
      <c r="M54" s="165">
        <f t="shared" si="5"/>
        <v>6.48</v>
      </c>
      <c r="N54" s="165"/>
      <c r="O54" s="165"/>
      <c r="P54" s="165"/>
      <c r="Q54" s="165"/>
      <c r="R54" s="165"/>
      <c r="S54" s="187">
        <v>488</v>
      </c>
      <c r="T54" s="64">
        <v>78.2</v>
      </c>
    </row>
    <row r="55" spans="1:20" x14ac:dyDescent="0.25">
      <c r="A55" s="162" t="str">
        <f t="shared" si="7"/>
        <v>CARF  120*4</v>
      </c>
      <c r="B55" s="163">
        <f t="shared" si="8"/>
        <v>14.246152111872632</v>
      </c>
      <c r="C55" s="64">
        <v>120</v>
      </c>
      <c r="E55" s="64">
        <v>4</v>
      </c>
      <c r="F55" s="64">
        <f t="shared" si="9"/>
        <v>4</v>
      </c>
      <c r="G55" s="64">
        <f t="shared" si="10"/>
        <v>8</v>
      </c>
      <c r="H55" s="163">
        <f t="shared" si="3"/>
        <v>18.1479644737231</v>
      </c>
      <c r="I55" s="64">
        <v>402</v>
      </c>
      <c r="J55" s="163">
        <f t="shared" si="12"/>
        <v>67</v>
      </c>
      <c r="K55" s="64">
        <v>78.3</v>
      </c>
      <c r="L55" s="163">
        <f t="shared" si="11"/>
        <v>4.7065108729577618</v>
      </c>
      <c r="M55" s="165">
        <f t="shared" si="5"/>
        <v>8.32</v>
      </c>
      <c r="N55" s="165"/>
      <c r="O55" s="165"/>
      <c r="P55" s="165"/>
      <c r="Q55" s="165"/>
      <c r="R55" s="165"/>
      <c r="S55" s="187">
        <v>637</v>
      </c>
      <c r="T55" s="64">
        <v>101</v>
      </c>
    </row>
    <row r="56" spans="1:20" x14ac:dyDescent="0.25">
      <c r="A56" s="162" t="str">
        <f t="shared" si="7"/>
        <v>CARF  120*5</v>
      </c>
      <c r="B56" s="163">
        <f t="shared" si="8"/>
        <v>17.549612674800994</v>
      </c>
      <c r="C56" s="64">
        <v>120</v>
      </c>
      <c r="E56" s="64">
        <v>5</v>
      </c>
      <c r="F56" s="64">
        <f t="shared" si="9"/>
        <v>5</v>
      </c>
      <c r="G56" s="64">
        <f t="shared" si="10"/>
        <v>10</v>
      </c>
      <c r="H56" s="163">
        <f t="shared" si="3"/>
        <v>22.356194490192348</v>
      </c>
      <c r="I56" s="64">
        <v>484</v>
      </c>
      <c r="J56" s="163">
        <f t="shared" si="12"/>
        <v>80.666666666666671</v>
      </c>
      <c r="K56" s="64">
        <v>95.4</v>
      </c>
      <c r="L56" s="163">
        <f t="shared" si="11"/>
        <v>4.6529002405992657</v>
      </c>
      <c r="M56" s="165">
        <f t="shared" si="5"/>
        <v>10</v>
      </c>
      <c r="N56" s="165"/>
      <c r="O56" s="165"/>
      <c r="P56" s="165"/>
      <c r="Q56" s="165"/>
      <c r="R56" s="165"/>
      <c r="S56" s="187">
        <v>778</v>
      </c>
      <c r="T56" s="64">
        <v>122</v>
      </c>
    </row>
    <row r="57" spans="1:20" x14ac:dyDescent="0.25">
      <c r="A57" s="162" t="str">
        <f t="shared" si="7"/>
        <v>CARF  120*6</v>
      </c>
      <c r="B57" s="163">
        <f t="shared" si="8"/>
        <v>20.749842251713428</v>
      </c>
      <c r="C57" s="64">
        <v>120</v>
      </c>
      <c r="E57" s="64">
        <v>6</v>
      </c>
      <c r="F57" s="64">
        <f t="shared" si="9"/>
        <v>6</v>
      </c>
      <c r="G57" s="64">
        <f t="shared" si="10"/>
        <v>12</v>
      </c>
      <c r="H57" s="163">
        <f t="shared" si="3"/>
        <v>26.432920065876978</v>
      </c>
      <c r="I57" s="64">
        <v>560</v>
      </c>
      <c r="J57" s="163">
        <f t="shared" si="12"/>
        <v>93.333333333333329</v>
      </c>
      <c r="K57" s="64">
        <v>111</v>
      </c>
      <c r="L57" s="163">
        <f t="shared" si="11"/>
        <v>4.6027929813668269</v>
      </c>
      <c r="M57" s="165">
        <f t="shared" si="5"/>
        <v>11.52</v>
      </c>
      <c r="N57" s="165"/>
      <c r="O57" s="165"/>
      <c r="P57" s="165"/>
      <c r="Q57" s="165"/>
      <c r="R57" s="165"/>
      <c r="S57" s="187">
        <v>913</v>
      </c>
      <c r="T57" s="64">
        <v>141</v>
      </c>
    </row>
    <row r="58" spans="1:20" x14ac:dyDescent="0.25">
      <c r="A58" s="162" t="str">
        <f t="shared" si="7"/>
        <v>CARF  120*6.3</v>
      </c>
      <c r="B58" s="163">
        <f t="shared" si="8"/>
        <v>21.422330110018738</v>
      </c>
      <c r="C58" s="64">
        <v>120</v>
      </c>
      <c r="E58" s="64">
        <v>6.3</v>
      </c>
      <c r="F58" s="64">
        <f t="shared" si="9"/>
        <v>9.4499999999999993</v>
      </c>
      <c r="G58" s="64">
        <f t="shared" si="10"/>
        <v>15.75</v>
      </c>
      <c r="H58" s="163">
        <f t="shared" si="3"/>
        <v>27.289592496839155</v>
      </c>
      <c r="I58" s="64">
        <v>568</v>
      </c>
      <c r="J58" s="163">
        <f t="shared" si="12"/>
        <v>94.666666666666671</v>
      </c>
      <c r="K58" s="64">
        <v>114</v>
      </c>
      <c r="L58" s="163">
        <f t="shared" si="11"/>
        <v>4.562213891449364</v>
      </c>
      <c r="M58" s="165">
        <f t="shared" si="5"/>
        <v>11.151</v>
      </c>
      <c r="N58" s="165"/>
      <c r="O58" s="165"/>
      <c r="P58" s="165"/>
      <c r="Q58" s="165"/>
      <c r="R58" s="165"/>
      <c r="S58" s="187">
        <v>955</v>
      </c>
      <c r="T58" s="64">
        <v>146</v>
      </c>
    </row>
    <row r="59" spans="1:20" x14ac:dyDescent="0.25">
      <c r="A59" s="162" t="str">
        <f t="shared" si="7"/>
        <v>CARF  120*8</v>
      </c>
      <c r="B59" s="163">
        <f t="shared" si="8"/>
        <v>26.409344596654048</v>
      </c>
      <c r="C59" s="64">
        <v>120</v>
      </c>
      <c r="E59" s="64">
        <v>8</v>
      </c>
      <c r="F59" s="64">
        <f t="shared" si="9"/>
        <v>12</v>
      </c>
      <c r="G59" s="64">
        <f t="shared" si="10"/>
        <v>20</v>
      </c>
      <c r="H59" s="163">
        <f t="shared" si="3"/>
        <v>33.642477193189869</v>
      </c>
      <c r="I59" s="64">
        <v>670</v>
      </c>
      <c r="J59" s="163">
        <f t="shared" si="12"/>
        <v>111.66666666666667</v>
      </c>
      <c r="K59" s="64">
        <v>137</v>
      </c>
      <c r="L59" s="163">
        <f t="shared" si="11"/>
        <v>4.4626560729921838</v>
      </c>
      <c r="M59" s="165">
        <f t="shared" si="5"/>
        <v>12.8</v>
      </c>
      <c r="N59" s="165"/>
      <c r="O59" s="165"/>
      <c r="P59" s="165"/>
      <c r="Q59" s="165"/>
      <c r="R59" s="165"/>
      <c r="S59" s="187">
        <v>1163</v>
      </c>
      <c r="T59" s="64">
        <v>175</v>
      </c>
    </row>
    <row r="60" spans="1:20" x14ac:dyDescent="0.25">
      <c r="A60" s="162" t="str">
        <f t="shared" si="7"/>
        <v>CARF  120*10</v>
      </c>
      <c r="B60" s="163">
        <f t="shared" si="8"/>
        <v>31.844600932271952</v>
      </c>
      <c r="C60" s="64">
        <v>120</v>
      </c>
      <c r="E60" s="64">
        <v>10</v>
      </c>
      <c r="F60" s="64">
        <f t="shared" si="9"/>
        <v>15</v>
      </c>
      <c r="G60" s="64">
        <f t="shared" si="10"/>
        <v>25</v>
      </c>
      <c r="H60" s="163">
        <f t="shared" si="3"/>
        <v>40.56637061435918</v>
      </c>
      <c r="I60" s="64">
        <v>763</v>
      </c>
      <c r="J60" s="163">
        <f t="shared" si="12"/>
        <v>127.16666666666667</v>
      </c>
      <c r="K60" s="64">
        <v>161</v>
      </c>
      <c r="L60" s="163">
        <f t="shared" si="11"/>
        <v>4.3368978392643793</v>
      </c>
      <c r="M60" s="165">
        <f t="shared" si="5"/>
        <v>14</v>
      </c>
      <c r="N60" s="165"/>
      <c r="O60" s="165"/>
      <c r="P60" s="165"/>
      <c r="Q60" s="165"/>
      <c r="R60" s="165"/>
      <c r="S60" s="187">
        <v>1376</v>
      </c>
      <c r="T60" s="64">
        <v>203</v>
      </c>
    </row>
    <row r="61" spans="1:20" x14ac:dyDescent="0.25">
      <c r="A61" s="162" t="str">
        <f t="shared" si="7"/>
        <v>CARF  120*12</v>
      </c>
      <c r="B61" s="163">
        <f t="shared" si="8"/>
        <v>35.842681678089512</v>
      </c>
      <c r="C61" s="64">
        <v>120</v>
      </c>
      <c r="E61" s="64">
        <v>12</v>
      </c>
      <c r="F61" s="64">
        <f t="shared" si="9"/>
        <v>24</v>
      </c>
      <c r="G61" s="64">
        <f t="shared" si="10"/>
        <v>36</v>
      </c>
      <c r="H61" s="163">
        <f t="shared" si="3"/>
        <v>45.65946710584651</v>
      </c>
      <c r="I61" s="64">
        <v>774</v>
      </c>
      <c r="J61" s="163">
        <f t="shared" si="12"/>
        <v>129</v>
      </c>
      <c r="K61" s="64">
        <v>171</v>
      </c>
      <c r="L61" s="163">
        <f t="shared" si="11"/>
        <v>4.1172293601347096</v>
      </c>
      <c r="M61" s="165">
        <f t="shared" si="5"/>
        <v>11.52</v>
      </c>
      <c r="N61" s="165"/>
      <c r="O61" s="165"/>
      <c r="P61" s="165"/>
      <c r="Q61" s="165"/>
      <c r="R61" s="165"/>
      <c r="S61" s="187">
        <v>1518</v>
      </c>
      <c r="T61" s="64">
        <v>219</v>
      </c>
    </row>
    <row r="62" spans="1:20" x14ac:dyDescent="0.25">
      <c r="A62" s="162" t="str">
        <f t="shared" si="7"/>
        <v>CARF  120*12.5</v>
      </c>
      <c r="B62" s="163">
        <f t="shared" si="8"/>
        <v>36.929298695843656</v>
      </c>
      <c r="C62" s="64">
        <v>120</v>
      </c>
      <c r="E62" s="64">
        <v>12.5</v>
      </c>
      <c r="F62" s="64">
        <f t="shared" si="9"/>
        <v>25</v>
      </c>
      <c r="G62" s="64">
        <f t="shared" si="10"/>
        <v>37.5</v>
      </c>
      <c r="H62" s="163">
        <f t="shared" si="3"/>
        <v>47.043692606170261</v>
      </c>
      <c r="I62" s="64">
        <v>781</v>
      </c>
      <c r="J62" s="163">
        <f t="shared" si="12"/>
        <v>130.16666666666666</v>
      </c>
      <c r="K62" s="64">
        <v>174</v>
      </c>
      <c r="L62" s="163">
        <f t="shared" si="11"/>
        <v>4.0745046255647273</v>
      </c>
      <c r="M62" s="165">
        <f t="shared" si="5"/>
        <v>11.25</v>
      </c>
      <c r="N62" s="165"/>
      <c r="O62" s="165"/>
      <c r="P62" s="165"/>
      <c r="Q62" s="165"/>
      <c r="R62" s="165"/>
      <c r="S62" s="187">
        <v>1551</v>
      </c>
      <c r="T62" s="64">
        <v>223</v>
      </c>
    </row>
    <row r="63" spans="1:20" x14ac:dyDescent="0.25">
      <c r="A63" s="166" t="str">
        <f t="shared" si="7"/>
        <v>CARF  140*4</v>
      </c>
      <c r="B63" s="168">
        <f t="shared" si="8"/>
        <v>16.758152111872633</v>
      </c>
      <c r="C63" s="167">
        <v>140</v>
      </c>
      <c r="D63" s="167"/>
      <c r="E63" s="167">
        <v>4</v>
      </c>
      <c r="F63" s="167">
        <f t="shared" si="9"/>
        <v>4</v>
      </c>
      <c r="G63" s="167">
        <f t="shared" si="10"/>
        <v>8</v>
      </c>
      <c r="H63" s="168">
        <f t="shared" si="3"/>
        <v>21.347964473723099</v>
      </c>
      <c r="I63" s="184">
        <v>651</v>
      </c>
      <c r="J63" s="168">
        <f t="shared" si="12"/>
        <v>93</v>
      </c>
      <c r="K63" s="167">
        <v>108</v>
      </c>
      <c r="L63" s="168">
        <f t="shared" si="11"/>
        <v>5.5222016143093438</v>
      </c>
      <c r="M63" s="170">
        <f t="shared" si="5"/>
        <v>9.92</v>
      </c>
      <c r="N63" s="170"/>
      <c r="O63" s="170"/>
      <c r="P63" s="170"/>
      <c r="Q63" s="170"/>
      <c r="R63" s="170"/>
      <c r="S63" s="184">
        <v>1023</v>
      </c>
      <c r="T63" s="171">
        <v>140</v>
      </c>
    </row>
    <row r="64" spans="1:20" x14ac:dyDescent="0.25">
      <c r="A64" s="172" t="str">
        <f t="shared" si="7"/>
        <v>CARF  140*5</v>
      </c>
      <c r="B64" s="174">
        <f t="shared" si="8"/>
        <v>20.689612674800994</v>
      </c>
      <c r="C64" s="173">
        <v>140</v>
      </c>
      <c r="D64" s="173"/>
      <c r="E64" s="173">
        <v>5</v>
      </c>
      <c r="F64" s="173">
        <f t="shared" si="9"/>
        <v>5</v>
      </c>
      <c r="G64" s="173">
        <f t="shared" si="10"/>
        <v>10</v>
      </c>
      <c r="H64" s="174">
        <f t="shared" si="3"/>
        <v>26.356194490192348</v>
      </c>
      <c r="I64" s="185">
        <v>789</v>
      </c>
      <c r="J64" s="174">
        <f t="shared" si="12"/>
        <v>112.71428571428571</v>
      </c>
      <c r="K64" s="173">
        <v>132</v>
      </c>
      <c r="L64" s="174">
        <f t="shared" si="11"/>
        <v>5.4713834164819986</v>
      </c>
      <c r="M64" s="176">
        <f t="shared" si="5"/>
        <v>12</v>
      </c>
      <c r="N64" s="176"/>
      <c r="O64" s="176"/>
      <c r="P64" s="176"/>
      <c r="Q64" s="176"/>
      <c r="R64" s="176"/>
      <c r="S64" s="185">
        <v>1256</v>
      </c>
      <c r="T64" s="177">
        <v>170</v>
      </c>
    </row>
    <row r="65" spans="1:20" x14ac:dyDescent="0.25">
      <c r="A65" s="172" t="str">
        <f t="shared" si="7"/>
        <v>CARF  140*6</v>
      </c>
      <c r="B65" s="174">
        <f t="shared" si="8"/>
        <v>24.517842251713429</v>
      </c>
      <c r="C65" s="173">
        <v>140</v>
      </c>
      <c r="D65" s="173"/>
      <c r="E65" s="173">
        <v>6</v>
      </c>
      <c r="F65" s="173">
        <f t="shared" si="9"/>
        <v>6</v>
      </c>
      <c r="G65" s="173">
        <f t="shared" si="10"/>
        <v>12</v>
      </c>
      <c r="H65" s="174">
        <f t="shared" si="3"/>
        <v>31.232920065876979</v>
      </c>
      <c r="I65" s="185">
        <v>918</v>
      </c>
      <c r="J65" s="174">
        <f t="shared" si="12"/>
        <v>131.14285714285714</v>
      </c>
      <c r="K65" s="173">
        <v>155</v>
      </c>
      <c r="L65" s="174">
        <f t="shared" si="11"/>
        <v>5.4214448687405783</v>
      </c>
      <c r="M65" s="176">
        <f t="shared" si="5"/>
        <v>13.92</v>
      </c>
      <c r="N65" s="176"/>
      <c r="O65" s="176"/>
      <c r="P65" s="176"/>
      <c r="Q65" s="176"/>
      <c r="R65" s="176"/>
      <c r="S65" s="185">
        <v>1479</v>
      </c>
      <c r="T65" s="177">
        <v>198</v>
      </c>
    </row>
    <row r="66" spans="1:20" x14ac:dyDescent="0.25">
      <c r="A66" s="172" t="str">
        <f t="shared" si="7"/>
        <v>CARF  140*6.3</v>
      </c>
      <c r="B66" s="174">
        <f t="shared" si="8"/>
        <v>25.378730110018736</v>
      </c>
      <c r="C66" s="173">
        <v>140</v>
      </c>
      <c r="D66" s="173"/>
      <c r="E66" s="173">
        <v>6.3</v>
      </c>
      <c r="F66" s="173">
        <f t="shared" si="9"/>
        <v>9.4499999999999993</v>
      </c>
      <c r="G66" s="173">
        <f t="shared" si="10"/>
        <v>15.75</v>
      </c>
      <c r="H66" s="174">
        <f t="shared" si="3"/>
        <v>32.329592496839155</v>
      </c>
      <c r="I66" s="185">
        <v>937</v>
      </c>
      <c r="J66" s="174">
        <f t="shared" si="12"/>
        <v>133.85714285714286</v>
      </c>
      <c r="K66" s="173">
        <v>159</v>
      </c>
      <c r="L66" s="174">
        <f t="shared" si="11"/>
        <v>5.3835615190143793</v>
      </c>
      <c r="M66" s="176">
        <f t="shared" si="5"/>
        <v>13.670999999999999</v>
      </c>
      <c r="N66" s="176"/>
      <c r="O66" s="176"/>
      <c r="P66" s="176"/>
      <c r="Q66" s="176"/>
      <c r="R66" s="176"/>
      <c r="S66" s="185">
        <v>1550</v>
      </c>
      <c r="T66" s="177">
        <v>205</v>
      </c>
    </row>
    <row r="67" spans="1:20" x14ac:dyDescent="0.25">
      <c r="A67" s="172" t="str">
        <f t="shared" si="7"/>
        <v>CARF  140*8</v>
      </c>
      <c r="B67" s="174">
        <f t="shared" si="8"/>
        <v>31.433344596654056</v>
      </c>
      <c r="C67" s="173">
        <v>140</v>
      </c>
      <c r="D67" s="173"/>
      <c r="E67" s="173">
        <v>8</v>
      </c>
      <c r="F67" s="173">
        <f t="shared" si="9"/>
        <v>12</v>
      </c>
      <c r="G67" s="173">
        <f t="shared" si="10"/>
        <v>20</v>
      </c>
      <c r="H67" s="174">
        <f t="shared" si="3"/>
        <v>40.042477193189875</v>
      </c>
      <c r="I67" s="185">
        <v>1119</v>
      </c>
      <c r="J67" s="174">
        <f t="shared" si="12"/>
        <v>159.85714285714286</v>
      </c>
      <c r="K67" s="173">
        <v>194</v>
      </c>
      <c r="L67" s="174">
        <f t="shared" si="11"/>
        <v>5.2863337036942708</v>
      </c>
      <c r="M67" s="176">
        <f t="shared" si="5"/>
        <v>16</v>
      </c>
      <c r="N67" s="176"/>
      <c r="O67" s="176"/>
      <c r="P67" s="176"/>
      <c r="Q67" s="176"/>
      <c r="R67" s="176"/>
      <c r="S67" s="185">
        <v>1901</v>
      </c>
      <c r="T67" s="177">
        <v>248</v>
      </c>
    </row>
    <row r="68" spans="1:20" x14ac:dyDescent="0.25">
      <c r="A68" s="172" t="str">
        <f t="shared" si="7"/>
        <v>CARF  140*10</v>
      </c>
      <c r="B68" s="174">
        <f>(H68*7850)/10000</f>
        <v>38.124600932271953</v>
      </c>
      <c r="C68" s="173">
        <v>140</v>
      </c>
      <c r="D68" s="173"/>
      <c r="E68" s="173">
        <v>10</v>
      </c>
      <c r="F68" s="173">
        <f t="shared" si="9"/>
        <v>15</v>
      </c>
      <c r="G68" s="173">
        <f t="shared" si="10"/>
        <v>25</v>
      </c>
      <c r="H68" s="174">
        <f t="shared" ref="H68:H131" si="13">(4*(C68-2*G68)*E68+PI()*(G68^2-F68^2))*0.01</f>
        <v>48.56637061435918</v>
      </c>
      <c r="I68" s="185">
        <v>1296</v>
      </c>
      <c r="J68" s="174">
        <f t="shared" si="12"/>
        <v>185.14285714285714</v>
      </c>
      <c r="K68" s="173">
        <v>229</v>
      </c>
      <c r="L68" s="174">
        <f t="shared" si="11"/>
        <v>5.1657653626192754</v>
      </c>
      <c r="M68" s="176">
        <f t="shared" ref="M68:M131" si="14">2*(C68-2*G68)*E68*0.01</f>
        <v>18</v>
      </c>
      <c r="N68" s="176"/>
      <c r="O68" s="176"/>
      <c r="P68" s="176"/>
      <c r="Q68" s="176"/>
      <c r="R68" s="176"/>
      <c r="S68" s="185">
        <v>2274</v>
      </c>
      <c r="T68" s="177">
        <v>291</v>
      </c>
    </row>
    <row r="69" spans="1:20" x14ac:dyDescent="0.25">
      <c r="A69" s="172" t="str">
        <f t="shared" si="7"/>
        <v>CARF  140*12</v>
      </c>
      <c r="B69" s="174">
        <f>(H69*7850)/10000</f>
        <v>43.378681678089514</v>
      </c>
      <c r="C69" s="173">
        <v>140</v>
      </c>
      <c r="D69" s="173"/>
      <c r="E69" s="173">
        <v>12</v>
      </c>
      <c r="F69" s="173">
        <f t="shared" si="9"/>
        <v>24</v>
      </c>
      <c r="G69" s="173">
        <f t="shared" si="10"/>
        <v>36</v>
      </c>
      <c r="H69" s="174">
        <f t="shared" si="13"/>
        <v>55.259467105846511</v>
      </c>
      <c r="I69" s="185">
        <v>1361</v>
      </c>
      <c r="J69" s="174">
        <f t="shared" si="12"/>
        <v>194.42857142857142</v>
      </c>
      <c r="K69" s="173">
        <v>250</v>
      </c>
      <c r="L69" s="174">
        <f t="shared" si="11"/>
        <v>4.9627879191380906</v>
      </c>
      <c r="M69" s="176">
        <f t="shared" si="14"/>
        <v>16.32</v>
      </c>
      <c r="N69" s="176"/>
      <c r="O69" s="176"/>
      <c r="P69" s="176"/>
      <c r="Q69" s="176"/>
      <c r="R69" s="176"/>
      <c r="S69" s="185">
        <v>2567</v>
      </c>
      <c r="T69" s="177">
        <v>322</v>
      </c>
    </row>
    <row r="70" spans="1:20" x14ac:dyDescent="0.25">
      <c r="A70" s="178" t="str">
        <f t="shared" si="7"/>
        <v>CARF  140*12.5</v>
      </c>
      <c r="B70" s="180">
        <f>(H70*7850)/10000</f>
        <v>44.779298695843657</v>
      </c>
      <c r="C70" s="179">
        <v>140</v>
      </c>
      <c r="D70" s="179"/>
      <c r="E70" s="179">
        <v>12.5</v>
      </c>
      <c r="F70" s="179">
        <f t="shared" si="9"/>
        <v>25</v>
      </c>
      <c r="G70" s="179">
        <f t="shared" si="10"/>
        <v>37.5</v>
      </c>
      <c r="H70" s="180">
        <f t="shared" si="13"/>
        <v>57.043692606170261</v>
      </c>
      <c r="I70" s="186">
        <v>1383</v>
      </c>
      <c r="J70" s="180">
        <f t="shared" si="12"/>
        <v>197.57142857142858</v>
      </c>
      <c r="K70" s="179">
        <v>256</v>
      </c>
      <c r="L70" s="180">
        <f t="shared" si="11"/>
        <v>4.9238778958538338</v>
      </c>
      <c r="M70" s="182">
        <f t="shared" si="14"/>
        <v>16.25</v>
      </c>
      <c r="N70" s="182"/>
      <c r="O70" s="182"/>
      <c r="P70" s="182"/>
      <c r="Q70" s="182"/>
      <c r="R70" s="182"/>
      <c r="S70" s="186">
        <v>2634</v>
      </c>
      <c r="T70" s="183">
        <v>329</v>
      </c>
    </row>
    <row r="71" spans="1:20" x14ac:dyDescent="0.25">
      <c r="A71" s="162" t="str">
        <f t="shared" si="7"/>
        <v>CARF  150*4</v>
      </c>
      <c r="B71" s="163">
        <f t="shared" si="8"/>
        <v>18.014152111872633</v>
      </c>
      <c r="C71" s="64">
        <v>150</v>
      </c>
      <c r="E71" s="64">
        <v>4</v>
      </c>
      <c r="F71" s="64">
        <f t="shared" si="9"/>
        <v>4</v>
      </c>
      <c r="G71" s="64">
        <f t="shared" si="10"/>
        <v>8</v>
      </c>
      <c r="H71" s="163">
        <f t="shared" si="13"/>
        <v>22.947964473723101</v>
      </c>
      <c r="I71" s="187">
        <v>807</v>
      </c>
      <c r="J71" s="163">
        <f t="shared" si="12"/>
        <v>107.6</v>
      </c>
      <c r="K71" s="64">
        <v>125</v>
      </c>
      <c r="L71" s="163">
        <f t="shared" si="11"/>
        <v>5.9301364023408514</v>
      </c>
      <c r="M71" s="165">
        <f t="shared" si="14"/>
        <v>10.72</v>
      </c>
      <c r="N71" s="165"/>
      <c r="O71" s="165"/>
      <c r="P71" s="165"/>
      <c r="Q71" s="165"/>
      <c r="R71" s="165"/>
      <c r="S71" s="187">
        <v>1265</v>
      </c>
      <c r="T71" s="64">
        <v>162</v>
      </c>
    </row>
    <row r="72" spans="1:20" x14ac:dyDescent="0.25">
      <c r="A72" s="162" t="str">
        <f t="shared" si="7"/>
        <v>CARF  150*5</v>
      </c>
      <c r="B72" s="163">
        <f t="shared" si="8"/>
        <v>22.259612674800994</v>
      </c>
      <c r="C72" s="64">
        <v>150</v>
      </c>
      <c r="E72" s="64">
        <v>5</v>
      </c>
      <c r="F72" s="64">
        <f t="shared" si="9"/>
        <v>5</v>
      </c>
      <c r="G72" s="64">
        <f t="shared" si="10"/>
        <v>10</v>
      </c>
      <c r="H72" s="163">
        <f t="shared" si="13"/>
        <v>28.356194490192348</v>
      </c>
      <c r="I72" s="187">
        <v>981</v>
      </c>
      <c r="J72" s="163">
        <f t="shared" si="12"/>
        <v>130.80000000000001</v>
      </c>
      <c r="K72" s="64">
        <v>153</v>
      </c>
      <c r="L72" s="163">
        <f t="shared" si="11"/>
        <v>5.8818037575782061</v>
      </c>
      <c r="M72" s="165">
        <f t="shared" si="14"/>
        <v>13</v>
      </c>
      <c r="N72" s="165"/>
      <c r="O72" s="165"/>
      <c r="P72" s="165"/>
      <c r="Q72" s="165"/>
      <c r="R72" s="165"/>
      <c r="S72" s="187">
        <v>1554</v>
      </c>
      <c r="T72" s="64">
        <v>197</v>
      </c>
    </row>
    <row r="73" spans="1:20" x14ac:dyDescent="0.25">
      <c r="A73" s="162" t="str">
        <f t="shared" si="7"/>
        <v>CARF  150*6</v>
      </c>
      <c r="B73" s="163">
        <f t="shared" si="8"/>
        <v>26.401842251713429</v>
      </c>
      <c r="C73" s="64">
        <v>150</v>
      </c>
      <c r="E73" s="64">
        <v>6</v>
      </c>
      <c r="F73" s="64">
        <f t="shared" si="9"/>
        <v>6</v>
      </c>
      <c r="G73" s="64">
        <f t="shared" si="10"/>
        <v>12</v>
      </c>
      <c r="H73" s="163">
        <f t="shared" si="13"/>
        <v>33.632920065876981</v>
      </c>
      <c r="I73" s="187">
        <v>1143</v>
      </c>
      <c r="J73" s="163">
        <f t="shared" si="12"/>
        <v>152.4</v>
      </c>
      <c r="K73" s="64">
        <v>180</v>
      </c>
      <c r="L73" s="163">
        <f t="shared" si="11"/>
        <v>5.8296278010431708</v>
      </c>
      <c r="M73" s="165">
        <f t="shared" si="14"/>
        <v>15.120000000000001</v>
      </c>
      <c r="N73" s="165"/>
      <c r="O73" s="165"/>
      <c r="P73" s="165"/>
      <c r="Q73" s="165"/>
      <c r="R73" s="165"/>
      <c r="S73" s="187">
        <v>1833</v>
      </c>
      <c r="T73" s="64">
        <v>230</v>
      </c>
    </row>
    <row r="74" spans="1:20" x14ac:dyDescent="0.25">
      <c r="A74" s="162" t="str">
        <f t="shared" si="7"/>
        <v>CARF  150*6.3</v>
      </c>
      <c r="B74" s="163">
        <f t="shared" si="8"/>
        <v>27.356930110018741</v>
      </c>
      <c r="C74" s="64">
        <v>150</v>
      </c>
      <c r="E74" s="64">
        <v>6.3</v>
      </c>
      <c r="F74" s="64">
        <f t="shared" si="9"/>
        <v>9.4499999999999993</v>
      </c>
      <c r="G74" s="64">
        <f t="shared" si="10"/>
        <v>15.75</v>
      </c>
      <c r="H74" s="163">
        <f t="shared" si="13"/>
        <v>34.849592496839158</v>
      </c>
      <c r="I74" s="187">
        <v>1169</v>
      </c>
      <c r="J74" s="163">
        <f t="shared" si="12"/>
        <v>155.86666666666667</v>
      </c>
      <c r="K74" s="64">
        <v>185</v>
      </c>
      <c r="L74" s="163">
        <f t="shared" si="11"/>
        <v>5.7917312783651465</v>
      </c>
      <c r="M74" s="165">
        <f t="shared" si="14"/>
        <v>14.930999999999999</v>
      </c>
      <c r="N74" s="165"/>
      <c r="O74" s="165"/>
      <c r="P74" s="165"/>
      <c r="Q74" s="165"/>
      <c r="R74" s="165"/>
      <c r="S74" s="187">
        <v>1922</v>
      </c>
      <c r="T74" s="64">
        <v>239</v>
      </c>
    </row>
    <row r="75" spans="1:20" x14ac:dyDescent="0.25">
      <c r="A75" s="162" t="str">
        <f t="shared" si="7"/>
        <v>CARF  150*8</v>
      </c>
      <c r="B75" s="163">
        <f t="shared" si="8"/>
        <v>33.945344596654046</v>
      </c>
      <c r="C75" s="64">
        <v>150</v>
      </c>
      <c r="E75" s="64">
        <v>8</v>
      </c>
      <c r="F75" s="64">
        <f t="shared" si="9"/>
        <v>12</v>
      </c>
      <c r="G75" s="64">
        <f t="shared" si="10"/>
        <v>20</v>
      </c>
      <c r="H75" s="163">
        <f t="shared" si="13"/>
        <v>43.24247719318987</v>
      </c>
      <c r="I75" s="187">
        <v>1403</v>
      </c>
      <c r="J75" s="163">
        <f t="shared" si="12"/>
        <v>187.06666666666666</v>
      </c>
      <c r="K75" s="64">
        <v>225</v>
      </c>
      <c r="L75" s="163">
        <f t="shared" si="11"/>
        <v>5.6960468536769708</v>
      </c>
      <c r="M75" s="165">
        <f t="shared" si="14"/>
        <v>17.600000000000001</v>
      </c>
      <c r="N75" s="165"/>
      <c r="O75" s="165"/>
      <c r="P75" s="165"/>
      <c r="Q75" s="165"/>
      <c r="R75" s="165"/>
      <c r="S75" s="187">
        <v>2364</v>
      </c>
      <c r="T75" s="64">
        <v>289</v>
      </c>
    </row>
    <row r="76" spans="1:20" x14ac:dyDescent="0.25">
      <c r="A76" s="162" t="str">
        <f t="shared" si="7"/>
        <v>CARF  150*10</v>
      </c>
      <c r="B76" s="163">
        <f t="shared" si="8"/>
        <v>41.264600932271954</v>
      </c>
      <c r="C76" s="64">
        <v>150</v>
      </c>
      <c r="E76" s="64">
        <v>10</v>
      </c>
      <c r="F76" s="64">
        <f t="shared" si="9"/>
        <v>15</v>
      </c>
      <c r="G76" s="64">
        <f t="shared" si="10"/>
        <v>25</v>
      </c>
      <c r="H76" s="163">
        <f t="shared" si="13"/>
        <v>52.56637061435918</v>
      </c>
      <c r="I76" s="187">
        <v>1636</v>
      </c>
      <c r="J76" s="163">
        <f t="shared" si="12"/>
        <v>218.13333333333333</v>
      </c>
      <c r="K76" s="64">
        <v>268</v>
      </c>
      <c r="L76" s="163">
        <f t="shared" si="11"/>
        <v>5.5787596788464411</v>
      </c>
      <c r="M76" s="165">
        <f t="shared" si="14"/>
        <v>20</v>
      </c>
      <c r="N76" s="165"/>
      <c r="O76" s="165"/>
      <c r="P76" s="165"/>
      <c r="Q76" s="165"/>
      <c r="R76" s="165"/>
      <c r="S76" s="187">
        <v>2839</v>
      </c>
      <c r="T76" s="64">
        <v>341</v>
      </c>
    </row>
    <row r="77" spans="1:20" x14ac:dyDescent="0.25">
      <c r="A77" s="162" t="str">
        <f t="shared" si="7"/>
        <v>CARF  150*12</v>
      </c>
      <c r="B77" s="163">
        <f t="shared" si="8"/>
        <v>47.146681678089514</v>
      </c>
      <c r="C77" s="64">
        <v>150</v>
      </c>
      <c r="E77" s="64">
        <v>12</v>
      </c>
      <c r="F77" s="64">
        <f t="shared" si="9"/>
        <v>24</v>
      </c>
      <c r="G77" s="64">
        <f t="shared" si="10"/>
        <v>36</v>
      </c>
      <c r="H77" s="163">
        <f t="shared" si="13"/>
        <v>60.059467105846508</v>
      </c>
      <c r="I77" s="187">
        <v>1739</v>
      </c>
      <c r="J77" s="163">
        <f t="shared" si="12"/>
        <v>231.86666666666667</v>
      </c>
      <c r="K77" s="64">
        <v>295</v>
      </c>
      <c r="L77" s="163">
        <f t="shared" si="11"/>
        <v>5.3809512040229492</v>
      </c>
      <c r="M77" s="165">
        <f t="shared" si="14"/>
        <v>18.72</v>
      </c>
      <c r="N77" s="165"/>
      <c r="O77" s="165"/>
      <c r="P77" s="165"/>
      <c r="Q77" s="165"/>
      <c r="R77" s="165"/>
      <c r="S77" s="187">
        <v>3231</v>
      </c>
      <c r="T77" s="64">
        <v>380</v>
      </c>
    </row>
    <row r="78" spans="1:20" x14ac:dyDescent="0.25">
      <c r="A78" s="162" t="str">
        <f t="shared" si="7"/>
        <v>CARF  150*12.5</v>
      </c>
      <c r="B78" s="163">
        <f t="shared" si="8"/>
        <v>48.704298695843654</v>
      </c>
      <c r="C78" s="64">
        <v>150</v>
      </c>
      <c r="E78" s="64">
        <v>12.5</v>
      </c>
      <c r="F78" s="64">
        <f t="shared" si="9"/>
        <v>25</v>
      </c>
      <c r="G78" s="64">
        <f t="shared" si="10"/>
        <v>37.5</v>
      </c>
      <c r="H78" s="163">
        <f t="shared" si="13"/>
        <v>62.043692606170261</v>
      </c>
      <c r="I78" s="187">
        <v>1772</v>
      </c>
      <c r="J78" s="163">
        <f t="shared" si="12"/>
        <v>236.26666666666668</v>
      </c>
      <c r="K78" s="64">
        <v>302</v>
      </c>
      <c r="L78" s="163">
        <f t="shared" si="11"/>
        <v>5.3442041510989338</v>
      </c>
      <c r="M78" s="165">
        <f t="shared" si="14"/>
        <v>18.75</v>
      </c>
      <c r="N78" s="165"/>
      <c r="O78" s="165"/>
      <c r="P78" s="165"/>
      <c r="Q78" s="165"/>
      <c r="R78" s="165"/>
      <c r="S78" s="187">
        <v>3321</v>
      </c>
      <c r="T78" s="64">
        <v>389</v>
      </c>
    </row>
    <row r="79" spans="1:20" x14ac:dyDescent="0.25">
      <c r="A79" s="162" t="str">
        <f t="shared" si="7"/>
        <v>CARF  150*16</v>
      </c>
      <c r="B79" s="163">
        <f t="shared" si="8"/>
        <v>58.696322983270242</v>
      </c>
      <c r="C79" s="64">
        <v>150</v>
      </c>
      <c r="E79" s="64">
        <v>16</v>
      </c>
      <c r="F79" s="64">
        <f t="shared" si="9"/>
        <v>32</v>
      </c>
      <c r="G79" s="64">
        <f t="shared" si="10"/>
        <v>48</v>
      </c>
      <c r="H79" s="163">
        <f t="shared" si="13"/>
        <v>74.772385965949354</v>
      </c>
      <c r="I79" s="187">
        <v>1916</v>
      </c>
      <c r="J79" s="163">
        <f t="shared" si="12"/>
        <v>255.46666666666667</v>
      </c>
      <c r="K79" s="64">
        <v>344</v>
      </c>
      <c r="L79" s="163">
        <f t="shared" si="11"/>
        <v>5.0620581856030746</v>
      </c>
      <c r="M79" s="165">
        <f t="shared" si="14"/>
        <v>17.28</v>
      </c>
      <c r="N79" s="165"/>
      <c r="O79" s="165"/>
      <c r="P79" s="165"/>
      <c r="Q79" s="165"/>
      <c r="R79" s="165"/>
      <c r="S79" s="187">
        <v>3830</v>
      </c>
      <c r="T79" s="64">
        <v>440</v>
      </c>
    </row>
    <row r="80" spans="1:20" x14ac:dyDescent="0.25">
      <c r="A80" s="166" t="str">
        <f t="shared" si="7"/>
        <v>CARF  160*4</v>
      </c>
      <c r="B80" s="168">
        <f t="shared" si="8"/>
        <v>19.270152111872633</v>
      </c>
      <c r="C80" s="167">
        <v>160</v>
      </c>
      <c r="D80" s="167"/>
      <c r="E80" s="167">
        <v>4</v>
      </c>
      <c r="F80" s="167">
        <f t="shared" si="9"/>
        <v>4</v>
      </c>
      <c r="G80" s="167">
        <f t="shared" si="10"/>
        <v>8</v>
      </c>
      <c r="H80" s="168">
        <f t="shared" si="13"/>
        <v>24.547964473723102</v>
      </c>
      <c r="I80" s="184">
        <v>986</v>
      </c>
      <c r="J80" s="168">
        <f t="shared" si="12"/>
        <v>123.25</v>
      </c>
      <c r="K80" s="167">
        <v>143</v>
      </c>
      <c r="L80" s="168">
        <f t="shared" si="11"/>
        <v>6.3376859432634047</v>
      </c>
      <c r="M80" s="184">
        <f t="shared" si="14"/>
        <v>11.52</v>
      </c>
      <c r="N80" s="184"/>
      <c r="O80" s="184"/>
      <c r="P80" s="184"/>
      <c r="Q80" s="184"/>
      <c r="R80" s="184"/>
      <c r="S80" s="184">
        <v>1541</v>
      </c>
      <c r="T80" s="171">
        <v>185</v>
      </c>
    </row>
    <row r="81" spans="1:20" x14ac:dyDescent="0.25">
      <c r="A81" s="172" t="str">
        <f t="shared" si="7"/>
        <v>CARF  160*5</v>
      </c>
      <c r="B81" s="174">
        <f t="shared" si="8"/>
        <v>23.829612674800995</v>
      </c>
      <c r="C81" s="173">
        <v>160</v>
      </c>
      <c r="D81" s="173"/>
      <c r="E81" s="173">
        <v>5</v>
      </c>
      <c r="F81" s="173">
        <f t="shared" si="9"/>
        <v>5</v>
      </c>
      <c r="G81" s="173">
        <f>IF(E81&lt;=6,2*E81,IF(E81&lt;=10,2.5*E81,3*E81))</f>
        <v>10</v>
      </c>
      <c r="H81" s="174">
        <f t="shared" si="13"/>
        <v>30.356194490192348</v>
      </c>
      <c r="I81" s="185">
        <v>1201</v>
      </c>
      <c r="J81" s="174">
        <f t="shared" ref="J81:J144" si="15">I81/(0.5*C81*0.1)</f>
        <v>150.125</v>
      </c>
      <c r="K81" s="173">
        <v>175</v>
      </c>
      <c r="L81" s="174">
        <f t="shared" si="11"/>
        <v>6.2899593735155692</v>
      </c>
      <c r="M81" s="185">
        <f t="shared" si="14"/>
        <v>14</v>
      </c>
      <c r="N81" s="185"/>
      <c r="O81" s="185"/>
      <c r="P81" s="185"/>
      <c r="Q81" s="185"/>
      <c r="R81" s="185"/>
      <c r="S81" s="185">
        <v>1896</v>
      </c>
      <c r="T81" s="177">
        <v>226</v>
      </c>
    </row>
    <row r="82" spans="1:20" x14ac:dyDescent="0.25">
      <c r="A82" s="172" t="str">
        <f t="shared" si="7"/>
        <v>CARF  160*6</v>
      </c>
      <c r="B82" s="174">
        <f t="shared" si="8"/>
        <v>28.285842251713429</v>
      </c>
      <c r="C82" s="173">
        <v>160</v>
      </c>
      <c r="D82" s="173"/>
      <c r="E82" s="173">
        <v>6</v>
      </c>
      <c r="F82" s="173">
        <f t="shared" si="9"/>
        <v>6</v>
      </c>
      <c r="G82" s="173">
        <f t="shared" si="10"/>
        <v>12</v>
      </c>
      <c r="H82" s="174">
        <f t="shared" si="13"/>
        <v>36.032920065876979</v>
      </c>
      <c r="I82" s="185">
        <v>1403</v>
      </c>
      <c r="J82" s="174">
        <f t="shared" si="15"/>
        <v>175.375</v>
      </c>
      <c r="K82" s="173">
        <v>206</v>
      </c>
      <c r="L82" s="174">
        <f t="shared" si="11"/>
        <v>6.2399212156944186</v>
      </c>
      <c r="M82" s="185">
        <f t="shared" si="14"/>
        <v>16.32</v>
      </c>
      <c r="N82" s="185"/>
      <c r="O82" s="185"/>
      <c r="P82" s="185"/>
      <c r="Q82" s="185"/>
      <c r="R82" s="185"/>
      <c r="S82" s="185">
        <v>2239</v>
      </c>
      <c r="T82" s="177">
        <v>264</v>
      </c>
    </row>
    <row r="83" spans="1:20" x14ac:dyDescent="0.25">
      <c r="A83" s="172" t="str">
        <f t="shared" si="7"/>
        <v>CARF  160*6.3</v>
      </c>
      <c r="B83" s="174">
        <f t="shared" si="8"/>
        <v>29.335130110018735</v>
      </c>
      <c r="C83" s="173">
        <v>160</v>
      </c>
      <c r="D83" s="173"/>
      <c r="E83" s="173">
        <v>6.3</v>
      </c>
      <c r="F83" s="173">
        <f t="shared" si="9"/>
        <v>9.4499999999999993</v>
      </c>
      <c r="G83" s="173">
        <f t="shared" si="10"/>
        <v>15.75</v>
      </c>
      <c r="H83" s="174">
        <f t="shared" si="13"/>
        <v>37.369592496839154</v>
      </c>
      <c r="I83" s="185">
        <v>1438</v>
      </c>
      <c r="J83" s="174">
        <f t="shared" si="15"/>
        <v>179.75</v>
      </c>
      <c r="K83" s="173">
        <v>212</v>
      </c>
      <c r="L83" s="174">
        <f t="shared" si="11"/>
        <v>6.2032639662624076</v>
      </c>
      <c r="M83" s="185">
        <f t="shared" si="14"/>
        <v>16.190999999999999</v>
      </c>
      <c r="N83" s="185"/>
      <c r="O83" s="185"/>
      <c r="P83" s="185"/>
      <c r="Q83" s="185"/>
      <c r="R83" s="185"/>
      <c r="S83" s="185">
        <v>2349</v>
      </c>
      <c r="T83" s="177">
        <v>275</v>
      </c>
    </row>
    <row r="84" spans="1:20" x14ac:dyDescent="0.25">
      <c r="A84" s="172" t="str">
        <f t="shared" si="7"/>
        <v>CARF  160*8</v>
      </c>
      <c r="B84" s="174">
        <f t="shared" si="8"/>
        <v>36.457344596654046</v>
      </c>
      <c r="C84" s="173">
        <v>160</v>
      </c>
      <c r="D84" s="173"/>
      <c r="E84" s="173">
        <v>8</v>
      </c>
      <c r="F84" s="173">
        <f t="shared" si="9"/>
        <v>12</v>
      </c>
      <c r="G84" s="173">
        <f t="shared" si="10"/>
        <v>20</v>
      </c>
      <c r="H84" s="174">
        <f t="shared" si="13"/>
        <v>46.442477193189873</v>
      </c>
      <c r="I84" s="185">
        <v>1732</v>
      </c>
      <c r="J84" s="174">
        <f t="shared" si="15"/>
        <v>216.5</v>
      </c>
      <c r="K84" s="173">
        <v>260</v>
      </c>
      <c r="L84" s="174">
        <f t="shared" si="11"/>
        <v>6.1068359786664503</v>
      </c>
      <c r="M84" s="185">
        <f t="shared" si="14"/>
        <v>19.2</v>
      </c>
      <c r="N84" s="185"/>
      <c r="O84" s="185"/>
      <c r="P84" s="185"/>
      <c r="Q84" s="185"/>
      <c r="R84" s="185"/>
      <c r="S84" s="185">
        <v>2897</v>
      </c>
      <c r="T84" s="177">
        <v>334</v>
      </c>
    </row>
    <row r="85" spans="1:20" x14ac:dyDescent="0.25">
      <c r="A85" s="172" t="str">
        <f t="shared" si="7"/>
        <v>CARF  160*10</v>
      </c>
      <c r="B85" s="174">
        <f t="shared" si="8"/>
        <v>44.404600932271954</v>
      </c>
      <c r="C85" s="173">
        <v>160</v>
      </c>
      <c r="D85" s="173"/>
      <c r="E85" s="173">
        <v>10</v>
      </c>
      <c r="F85" s="173">
        <f t="shared" si="9"/>
        <v>15</v>
      </c>
      <c r="G85" s="173">
        <f t="shared" si="10"/>
        <v>25</v>
      </c>
      <c r="H85" s="174">
        <f t="shared" si="13"/>
        <v>56.56637061435918</v>
      </c>
      <c r="I85" s="185">
        <v>2030</v>
      </c>
      <c r="J85" s="174">
        <f t="shared" si="15"/>
        <v>253.75</v>
      </c>
      <c r="K85" s="173">
        <v>310</v>
      </c>
      <c r="L85" s="174">
        <f t="shared" si="11"/>
        <v>5.9905798538080557</v>
      </c>
      <c r="M85" s="185">
        <f t="shared" si="14"/>
        <v>22</v>
      </c>
      <c r="N85" s="185"/>
      <c r="O85" s="185"/>
      <c r="P85" s="185"/>
      <c r="Q85" s="185"/>
      <c r="R85" s="185"/>
      <c r="S85" s="185">
        <v>3490</v>
      </c>
      <c r="T85" s="177">
        <v>395</v>
      </c>
    </row>
    <row r="86" spans="1:20" x14ac:dyDescent="0.25">
      <c r="A86" s="172" t="str">
        <f t="shared" si="7"/>
        <v>CARF  160*12</v>
      </c>
      <c r="B86" s="174">
        <f t="shared" si="8"/>
        <v>50.914681678089508</v>
      </c>
      <c r="C86" s="173">
        <v>160</v>
      </c>
      <c r="D86" s="173"/>
      <c r="E86" s="173">
        <v>12</v>
      </c>
      <c r="F86" s="173">
        <f t="shared" si="9"/>
        <v>24</v>
      </c>
      <c r="G86" s="173">
        <f t="shared" si="10"/>
        <v>36</v>
      </c>
      <c r="H86" s="174">
        <f t="shared" si="13"/>
        <v>64.859467105846505</v>
      </c>
      <c r="I86" s="185">
        <v>2181</v>
      </c>
      <c r="J86" s="174">
        <f t="shared" si="15"/>
        <v>272.625</v>
      </c>
      <c r="K86" s="173">
        <v>343</v>
      </c>
      <c r="L86" s="174">
        <f t="shared" si="11"/>
        <v>5.7988402502910867</v>
      </c>
      <c r="M86" s="185">
        <f t="shared" si="14"/>
        <v>21.12</v>
      </c>
      <c r="N86" s="185"/>
      <c r="O86" s="185"/>
      <c r="P86" s="185"/>
      <c r="Q86" s="185"/>
      <c r="R86" s="185"/>
      <c r="S86" s="185">
        <v>3997</v>
      </c>
      <c r="T86" s="177">
        <v>443</v>
      </c>
    </row>
    <row r="87" spans="1:20" x14ac:dyDescent="0.25">
      <c r="A87" s="172" t="str">
        <f t="shared" si="7"/>
        <v>CARF  160*12.5</v>
      </c>
      <c r="B87" s="174">
        <f t="shared" si="8"/>
        <v>52.629298695843659</v>
      </c>
      <c r="C87" s="173">
        <v>160</v>
      </c>
      <c r="D87" s="173"/>
      <c r="E87" s="173">
        <v>12.5</v>
      </c>
      <c r="F87" s="173">
        <f t="shared" si="9"/>
        <v>25</v>
      </c>
      <c r="G87" s="173">
        <f t="shared" si="10"/>
        <v>37.5</v>
      </c>
      <c r="H87" s="174">
        <f t="shared" si="13"/>
        <v>67.043692606170268</v>
      </c>
      <c r="I87" s="185">
        <v>2226</v>
      </c>
      <c r="J87" s="174">
        <f t="shared" si="15"/>
        <v>278.25</v>
      </c>
      <c r="K87" s="173">
        <v>352</v>
      </c>
      <c r="L87" s="174">
        <f t="shared" si="11"/>
        <v>5.7621374922167723</v>
      </c>
      <c r="M87" s="185">
        <f t="shared" si="14"/>
        <v>21.25</v>
      </c>
      <c r="N87" s="185"/>
      <c r="O87" s="185"/>
      <c r="P87" s="185"/>
      <c r="Q87" s="185"/>
      <c r="R87" s="185"/>
      <c r="S87" s="185">
        <v>4114</v>
      </c>
      <c r="T87" s="177">
        <v>455</v>
      </c>
    </row>
    <row r="88" spans="1:20" x14ac:dyDescent="0.25">
      <c r="A88" s="178" t="str">
        <f t="shared" si="7"/>
        <v>CARF  160*16</v>
      </c>
      <c r="B88" s="180">
        <f t="shared" si="8"/>
        <v>63.720322983270243</v>
      </c>
      <c r="C88" s="179">
        <v>160</v>
      </c>
      <c r="D88" s="179"/>
      <c r="E88" s="179">
        <v>16</v>
      </c>
      <c r="F88" s="179">
        <f t="shared" si="9"/>
        <v>32</v>
      </c>
      <c r="G88" s="179">
        <f t="shared" si="10"/>
        <v>48</v>
      </c>
      <c r="H88" s="180">
        <f t="shared" si="13"/>
        <v>81.17238596594936</v>
      </c>
      <c r="I88" s="186">
        <v>2446</v>
      </c>
      <c r="J88" s="180">
        <f t="shared" si="15"/>
        <v>305.75</v>
      </c>
      <c r="K88" s="179">
        <v>406</v>
      </c>
      <c r="L88" s="180">
        <f t="shared" si="11"/>
        <v>5.489389793474805</v>
      </c>
      <c r="M88" s="186">
        <f t="shared" si="14"/>
        <v>20.48</v>
      </c>
      <c r="N88" s="186"/>
      <c r="O88" s="186"/>
      <c r="P88" s="186"/>
      <c r="Q88" s="186"/>
      <c r="R88" s="186"/>
      <c r="S88" s="186">
        <v>4799</v>
      </c>
      <c r="T88" s="183">
        <v>520</v>
      </c>
    </row>
    <row r="89" spans="1:20" x14ac:dyDescent="0.25">
      <c r="A89" s="162" t="str">
        <f t="shared" si="7"/>
        <v>CARF  180*4</v>
      </c>
      <c r="B89" s="163">
        <f t="shared" si="8"/>
        <v>21.782152111872634</v>
      </c>
      <c r="C89" s="64">
        <v>180</v>
      </c>
      <c r="E89" s="64">
        <v>4</v>
      </c>
      <c r="F89" s="64">
        <f t="shared" si="9"/>
        <v>4</v>
      </c>
      <c r="G89" s="64">
        <f t="shared" si="10"/>
        <v>8</v>
      </c>
      <c r="H89" s="163">
        <f t="shared" si="13"/>
        <v>27.747964473723101</v>
      </c>
      <c r="I89" s="187">
        <v>1421</v>
      </c>
      <c r="J89" s="163">
        <f t="shared" si="15"/>
        <v>157.88888888888889</v>
      </c>
      <c r="K89" s="64">
        <v>182</v>
      </c>
      <c r="L89" s="163">
        <f t="shared" si="11"/>
        <v>7.156183595261326</v>
      </c>
      <c r="M89" s="165">
        <f t="shared" si="14"/>
        <v>13.120000000000001</v>
      </c>
      <c r="N89" s="165"/>
      <c r="O89" s="165"/>
      <c r="P89" s="165"/>
      <c r="Q89" s="165"/>
      <c r="R89" s="165"/>
      <c r="S89" s="187">
        <v>2210</v>
      </c>
      <c r="T89" s="64">
        <v>237</v>
      </c>
    </row>
    <row r="90" spans="1:20" x14ac:dyDescent="0.25">
      <c r="A90" s="162" t="str">
        <f t="shared" si="7"/>
        <v>CARF  180*5</v>
      </c>
      <c r="B90" s="163">
        <f t="shared" si="8"/>
        <v>26.969612674800992</v>
      </c>
      <c r="C90" s="64">
        <v>180</v>
      </c>
      <c r="E90" s="64">
        <v>5</v>
      </c>
      <c r="F90" s="64">
        <f t="shared" si="9"/>
        <v>5</v>
      </c>
      <c r="G90" s="64">
        <f t="shared" si="10"/>
        <v>10</v>
      </c>
      <c r="H90" s="163">
        <f t="shared" si="13"/>
        <v>34.356194490192351</v>
      </c>
      <c r="I90" s="187">
        <v>1735</v>
      </c>
      <c r="J90" s="163">
        <f t="shared" si="15"/>
        <v>192.77777777777777</v>
      </c>
      <c r="K90" s="64">
        <v>224</v>
      </c>
      <c r="L90" s="163">
        <f t="shared" si="11"/>
        <v>7.1063601421646423</v>
      </c>
      <c r="M90" s="165">
        <f t="shared" si="14"/>
        <v>16</v>
      </c>
      <c r="N90" s="165"/>
      <c r="O90" s="165"/>
      <c r="P90" s="165"/>
      <c r="Q90" s="165"/>
      <c r="R90" s="165"/>
      <c r="S90" s="187">
        <v>2724</v>
      </c>
      <c r="T90" s="64">
        <v>290</v>
      </c>
    </row>
    <row r="91" spans="1:20" x14ac:dyDescent="0.25">
      <c r="A91" s="162" t="str">
        <f t="shared" si="7"/>
        <v>CARF  180*6</v>
      </c>
      <c r="B91" s="163">
        <f t="shared" si="8"/>
        <v>32.053842251713426</v>
      </c>
      <c r="C91" s="64">
        <v>180</v>
      </c>
      <c r="E91" s="64">
        <v>6</v>
      </c>
      <c r="F91" s="64">
        <f t="shared" si="9"/>
        <v>6</v>
      </c>
      <c r="G91" s="64">
        <f t="shared" si="10"/>
        <v>12</v>
      </c>
      <c r="H91" s="163">
        <f t="shared" si="13"/>
        <v>40.832920065876976</v>
      </c>
      <c r="I91" s="187">
        <v>2034</v>
      </c>
      <c r="J91" s="163">
        <f t="shared" si="15"/>
        <v>226</v>
      </c>
      <c r="K91" s="64">
        <v>264</v>
      </c>
      <c r="L91" s="163">
        <f t="shared" si="11"/>
        <v>7.057814749949614</v>
      </c>
      <c r="M91" s="165">
        <f t="shared" si="14"/>
        <v>18.72</v>
      </c>
      <c r="N91" s="165"/>
      <c r="O91" s="165"/>
      <c r="P91" s="165"/>
      <c r="Q91" s="165"/>
      <c r="R91" s="165"/>
      <c r="S91" s="187">
        <v>3223</v>
      </c>
      <c r="T91" s="64">
        <v>340</v>
      </c>
    </row>
    <row r="92" spans="1:20" x14ac:dyDescent="0.25">
      <c r="A92" s="162" t="str">
        <f t="shared" si="7"/>
        <v>CARF  180*6.3</v>
      </c>
      <c r="B92" s="163">
        <f t="shared" si="8"/>
        <v>33.291530110018741</v>
      </c>
      <c r="C92" s="64">
        <v>180</v>
      </c>
      <c r="E92" s="64">
        <v>6.3</v>
      </c>
      <c r="F92" s="64">
        <f t="shared" si="9"/>
        <v>9.4499999999999993</v>
      </c>
      <c r="G92" s="64">
        <f t="shared" si="10"/>
        <v>15.75</v>
      </c>
      <c r="H92" s="163">
        <f t="shared" si="13"/>
        <v>42.40959249683916</v>
      </c>
      <c r="I92" s="187">
        <v>2090</v>
      </c>
      <c r="J92" s="163">
        <f t="shared" si="15"/>
        <v>232.22222222222223</v>
      </c>
      <c r="K92" s="64">
        <v>273</v>
      </c>
      <c r="L92" s="163">
        <f>SQRT(I92/H92)</f>
        <v>7.0200643529876947</v>
      </c>
      <c r="M92" s="165">
        <f t="shared" si="14"/>
        <v>18.710999999999999</v>
      </c>
      <c r="N92" s="165"/>
      <c r="O92" s="165"/>
      <c r="P92" s="165"/>
      <c r="Q92" s="165"/>
      <c r="R92" s="165"/>
      <c r="S92" s="187">
        <v>3383</v>
      </c>
      <c r="T92" s="64">
        <v>354</v>
      </c>
    </row>
    <row r="93" spans="1:20" x14ac:dyDescent="0.25">
      <c r="A93" s="162" t="str">
        <f t="shared" si="7"/>
        <v>CARF  180*8</v>
      </c>
      <c r="B93" s="163">
        <f t="shared" si="8"/>
        <v>41.481344596654047</v>
      </c>
      <c r="C93" s="64">
        <v>180</v>
      </c>
      <c r="E93" s="64">
        <v>8</v>
      </c>
      <c r="F93" s="64">
        <f t="shared" si="9"/>
        <v>12</v>
      </c>
      <c r="G93" s="64">
        <f t="shared" si="10"/>
        <v>20</v>
      </c>
      <c r="H93" s="163">
        <f t="shared" si="13"/>
        <v>52.842477193189872</v>
      </c>
      <c r="I93" s="187">
        <v>2535</v>
      </c>
      <c r="J93" s="163">
        <f t="shared" si="15"/>
        <v>281.66666666666669</v>
      </c>
      <c r="K93" s="64">
        <v>335</v>
      </c>
      <c r="L93" s="163">
        <f t="shared" si="11"/>
        <v>6.926237789203209</v>
      </c>
      <c r="M93" s="165">
        <f t="shared" si="14"/>
        <v>22.400000000000002</v>
      </c>
      <c r="N93" s="165"/>
      <c r="O93" s="165"/>
      <c r="P93" s="165"/>
      <c r="Q93" s="165"/>
      <c r="R93" s="165"/>
      <c r="S93" s="187">
        <v>4189</v>
      </c>
      <c r="T93" s="64">
        <v>432</v>
      </c>
    </row>
    <row r="94" spans="1:20" x14ac:dyDescent="0.25">
      <c r="A94" s="162" t="str">
        <f t="shared" si="7"/>
        <v>CARF  180*10</v>
      </c>
      <c r="B94" s="163">
        <f t="shared" si="8"/>
        <v>50.684600932271955</v>
      </c>
      <c r="C94" s="64">
        <v>180</v>
      </c>
      <c r="E94" s="64">
        <v>10</v>
      </c>
      <c r="F94" s="64">
        <f t="shared" si="9"/>
        <v>15</v>
      </c>
      <c r="G94" s="64">
        <f t="shared" si="10"/>
        <v>25</v>
      </c>
      <c r="H94" s="163">
        <f t="shared" si="13"/>
        <v>64.566370614359172</v>
      </c>
      <c r="I94" s="187">
        <v>2996</v>
      </c>
      <c r="J94" s="163">
        <f t="shared" si="15"/>
        <v>332.88888888888891</v>
      </c>
      <c r="K94" s="64">
        <v>402</v>
      </c>
      <c r="L94" s="163">
        <f t="shared" si="11"/>
        <v>6.811891426171484</v>
      </c>
      <c r="M94" s="165">
        <f t="shared" si="14"/>
        <v>26</v>
      </c>
      <c r="N94" s="165"/>
      <c r="O94" s="165"/>
      <c r="P94" s="165"/>
      <c r="Q94" s="165"/>
      <c r="R94" s="165"/>
      <c r="S94" s="187">
        <v>5074</v>
      </c>
      <c r="T94" s="64">
        <v>515</v>
      </c>
    </row>
    <row r="95" spans="1:20" x14ac:dyDescent="0.25">
      <c r="A95" s="162" t="str">
        <f t="shared" si="7"/>
        <v>CARF  180*12</v>
      </c>
      <c r="B95" s="163">
        <f t="shared" si="8"/>
        <v>58.450681678089509</v>
      </c>
      <c r="C95" s="64">
        <v>180</v>
      </c>
      <c r="E95" s="64">
        <v>12</v>
      </c>
      <c r="F95" s="64">
        <f t="shared" si="9"/>
        <v>24</v>
      </c>
      <c r="G95" s="64">
        <f t="shared" si="10"/>
        <v>36</v>
      </c>
      <c r="H95" s="163">
        <f t="shared" si="13"/>
        <v>74.459467105846514</v>
      </c>
      <c r="I95" s="187">
        <v>3273</v>
      </c>
      <c r="J95" s="163">
        <f t="shared" si="15"/>
        <v>363.66666666666669</v>
      </c>
      <c r="K95" s="64">
        <v>451</v>
      </c>
      <c r="L95" s="163">
        <f t="shared" si="11"/>
        <v>6.6299925560752238</v>
      </c>
      <c r="M95" s="165">
        <f t="shared" si="14"/>
        <v>25.92</v>
      </c>
      <c r="N95" s="165"/>
      <c r="O95" s="165"/>
      <c r="P95" s="165"/>
      <c r="Q95" s="165"/>
      <c r="R95" s="165"/>
      <c r="S95" s="187">
        <v>5865</v>
      </c>
      <c r="T95" s="64">
        <v>584</v>
      </c>
    </row>
    <row r="96" spans="1:20" x14ac:dyDescent="0.25">
      <c r="A96" s="162" t="str">
        <f t="shared" si="7"/>
        <v>CARF  180*12.5</v>
      </c>
      <c r="B96" s="163">
        <f t="shared" si="8"/>
        <v>60.479298695843653</v>
      </c>
      <c r="C96" s="64">
        <v>180</v>
      </c>
      <c r="E96" s="64">
        <v>12.5</v>
      </c>
      <c r="F96" s="64">
        <f t="shared" si="9"/>
        <v>25</v>
      </c>
      <c r="G96" s="64">
        <f t="shared" si="10"/>
        <v>37.5</v>
      </c>
      <c r="H96" s="163">
        <f t="shared" si="13"/>
        <v>77.043692606170268</v>
      </c>
      <c r="I96" s="187">
        <v>3350</v>
      </c>
      <c r="J96" s="163">
        <f t="shared" si="15"/>
        <v>372.22222222222223</v>
      </c>
      <c r="K96" s="64">
        <v>464</v>
      </c>
      <c r="L96" s="163">
        <f t="shared" si="11"/>
        <v>6.5940746384153739</v>
      </c>
      <c r="M96" s="165">
        <f t="shared" si="14"/>
        <v>26.25</v>
      </c>
      <c r="N96" s="165"/>
      <c r="O96" s="165"/>
      <c r="P96" s="165"/>
      <c r="Q96" s="165"/>
      <c r="R96" s="165"/>
      <c r="S96" s="187">
        <v>6050</v>
      </c>
      <c r="T96" s="64">
        <v>600</v>
      </c>
    </row>
    <row r="97" spans="1:20" x14ac:dyDescent="0.25">
      <c r="A97" s="162" t="str">
        <f t="shared" si="7"/>
        <v>CARF  180*16</v>
      </c>
      <c r="B97" s="163">
        <f t="shared" si="8"/>
        <v>73.768322983270238</v>
      </c>
      <c r="C97" s="64">
        <v>180</v>
      </c>
      <c r="E97" s="64">
        <v>16</v>
      </c>
      <c r="F97" s="64">
        <f t="shared" si="9"/>
        <v>32</v>
      </c>
      <c r="G97" s="64">
        <f t="shared" si="10"/>
        <v>48</v>
      </c>
      <c r="H97" s="163">
        <f t="shared" si="13"/>
        <v>93.972385965949357</v>
      </c>
      <c r="I97" s="187">
        <v>3772</v>
      </c>
      <c r="J97" s="163">
        <f t="shared" si="15"/>
        <v>419.11111111111109</v>
      </c>
      <c r="K97" s="64">
        <v>542</v>
      </c>
      <c r="L97" s="163">
        <f t="shared" si="11"/>
        <v>6.3355703131856593</v>
      </c>
      <c r="M97" s="165">
        <f t="shared" si="14"/>
        <v>26.88</v>
      </c>
      <c r="N97" s="165"/>
      <c r="O97" s="165"/>
      <c r="P97" s="165"/>
      <c r="Q97" s="165"/>
      <c r="R97" s="165"/>
      <c r="S97" s="187">
        <v>7178</v>
      </c>
      <c r="T97" s="64">
        <v>698</v>
      </c>
    </row>
    <row r="98" spans="1:20" x14ac:dyDescent="0.25">
      <c r="A98" s="166" t="str">
        <f t="shared" si="7"/>
        <v>CARF  200*4</v>
      </c>
      <c r="B98" s="168">
        <f t="shared" si="8"/>
        <v>24.294152111872634</v>
      </c>
      <c r="C98" s="167">
        <v>200</v>
      </c>
      <c r="D98" s="167"/>
      <c r="E98" s="167">
        <v>4</v>
      </c>
      <c r="F98" s="167">
        <f t="shared" si="9"/>
        <v>4</v>
      </c>
      <c r="G98" s="167">
        <f t="shared" si="10"/>
        <v>8</v>
      </c>
      <c r="H98" s="168">
        <f t="shared" si="13"/>
        <v>30.947964473723101</v>
      </c>
      <c r="I98" s="184">
        <v>1967</v>
      </c>
      <c r="J98" s="168">
        <f t="shared" si="15"/>
        <v>196.7</v>
      </c>
      <c r="K98" s="167">
        <v>226</v>
      </c>
      <c r="L98" s="168">
        <f t="shared" si="11"/>
        <v>7.9723459322599224</v>
      </c>
      <c r="M98" s="184">
        <f t="shared" si="14"/>
        <v>14.72</v>
      </c>
      <c r="N98" s="184"/>
      <c r="O98" s="184"/>
      <c r="P98" s="184"/>
      <c r="Q98" s="184"/>
      <c r="R98" s="184"/>
      <c r="S98" s="184">
        <v>3049</v>
      </c>
      <c r="T98" s="171">
        <v>295</v>
      </c>
    </row>
    <row r="99" spans="1:20" x14ac:dyDescent="0.25">
      <c r="A99" s="172" t="str">
        <f t="shared" si="7"/>
        <v>CARF  200*5</v>
      </c>
      <c r="B99" s="174">
        <f t="shared" si="8"/>
        <v>30.109612674800992</v>
      </c>
      <c r="C99" s="173">
        <v>200</v>
      </c>
      <c r="D99" s="173"/>
      <c r="E99" s="173">
        <v>5</v>
      </c>
      <c r="F99" s="173">
        <f t="shared" si="9"/>
        <v>5</v>
      </c>
      <c r="G99" s="173">
        <f t="shared" si="10"/>
        <v>10</v>
      </c>
      <c r="H99" s="174">
        <f t="shared" si="13"/>
        <v>38.356194490192351</v>
      </c>
      <c r="I99" s="185">
        <v>2408</v>
      </c>
      <c r="J99" s="174">
        <f t="shared" si="15"/>
        <v>240.8</v>
      </c>
      <c r="K99" s="173">
        <v>279</v>
      </c>
      <c r="L99" s="174">
        <f t="shared" si="11"/>
        <v>7.9233800061956368</v>
      </c>
      <c r="M99" s="185">
        <f t="shared" si="14"/>
        <v>18</v>
      </c>
      <c r="N99" s="185"/>
      <c r="O99" s="185"/>
      <c r="P99" s="185"/>
      <c r="Q99" s="185"/>
      <c r="R99" s="185"/>
      <c r="S99" s="185">
        <v>6763</v>
      </c>
      <c r="T99" s="177">
        <v>362</v>
      </c>
    </row>
    <row r="100" spans="1:20" x14ac:dyDescent="0.25">
      <c r="A100" s="172" t="str">
        <f t="shared" si="7"/>
        <v>CARF  200*6</v>
      </c>
      <c r="B100" s="174">
        <f t="shared" si="8"/>
        <v>35.821842251713427</v>
      </c>
      <c r="C100" s="173">
        <v>200</v>
      </c>
      <c r="D100" s="173"/>
      <c r="E100" s="173">
        <v>6</v>
      </c>
      <c r="F100" s="173">
        <f t="shared" si="9"/>
        <v>6</v>
      </c>
      <c r="G100" s="173">
        <f t="shared" si="10"/>
        <v>12</v>
      </c>
      <c r="H100" s="174">
        <f t="shared" si="13"/>
        <v>45.632920065876981</v>
      </c>
      <c r="I100" s="185">
        <v>2830</v>
      </c>
      <c r="J100" s="174">
        <f t="shared" si="15"/>
        <v>283</v>
      </c>
      <c r="K100" s="173">
        <v>330</v>
      </c>
      <c r="L100" s="174">
        <f t="shared" si="11"/>
        <v>7.8750639212065892</v>
      </c>
      <c r="M100" s="185">
        <f t="shared" si="14"/>
        <v>21.12</v>
      </c>
      <c r="N100" s="185"/>
      <c r="O100" s="185"/>
      <c r="P100" s="185"/>
      <c r="Q100" s="185"/>
      <c r="R100" s="185"/>
      <c r="S100" s="185">
        <v>4459</v>
      </c>
      <c r="T100" s="177">
        <v>426</v>
      </c>
    </row>
    <row r="101" spans="1:20" x14ac:dyDescent="0.25">
      <c r="A101" s="172" t="str">
        <f t="shared" si="7"/>
        <v>CARF  200*6.3</v>
      </c>
      <c r="B101" s="174">
        <f t="shared" si="8"/>
        <v>37.247930110018743</v>
      </c>
      <c r="C101" s="173">
        <v>200</v>
      </c>
      <c r="D101" s="173"/>
      <c r="E101" s="173">
        <v>6.3</v>
      </c>
      <c r="F101" s="173">
        <f t="shared" si="9"/>
        <v>9.4499999999999993</v>
      </c>
      <c r="G101" s="173">
        <f t="shared" si="10"/>
        <v>15.75</v>
      </c>
      <c r="H101" s="174">
        <f t="shared" si="13"/>
        <v>47.449592496839159</v>
      </c>
      <c r="I101" s="185">
        <v>2916</v>
      </c>
      <c r="J101" s="174">
        <f t="shared" si="15"/>
        <v>291.60000000000002</v>
      </c>
      <c r="K101" s="173">
        <v>341</v>
      </c>
      <c r="L101" s="174">
        <f t="shared" si="11"/>
        <v>7.839304181639779</v>
      </c>
      <c r="M101" s="185">
        <f t="shared" si="14"/>
        <v>21.230999999999998</v>
      </c>
      <c r="N101" s="185"/>
      <c r="O101" s="185"/>
      <c r="P101" s="185"/>
      <c r="Q101" s="185"/>
      <c r="R101" s="185"/>
      <c r="S101" s="185">
        <v>4682</v>
      </c>
      <c r="T101" s="177">
        <v>444</v>
      </c>
    </row>
    <row r="102" spans="1:20" x14ac:dyDescent="0.25">
      <c r="A102" s="172" t="str">
        <f t="shared" si="7"/>
        <v>CARF  200*8</v>
      </c>
      <c r="B102" s="174">
        <f t="shared" si="8"/>
        <v>46.505344596654048</v>
      </c>
      <c r="C102" s="173">
        <v>200</v>
      </c>
      <c r="D102" s="173"/>
      <c r="E102" s="173">
        <v>8</v>
      </c>
      <c r="F102" s="173">
        <f t="shared" si="9"/>
        <v>12</v>
      </c>
      <c r="G102" s="173">
        <f t="shared" si="10"/>
        <v>20</v>
      </c>
      <c r="H102" s="174">
        <f t="shared" si="13"/>
        <v>59.24247719318987</v>
      </c>
      <c r="I102" s="185">
        <v>3554</v>
      </c>
      <c r="J102" s="174">
        <f t="shared" si="15"/>
        <v>355.4</v>
      </c>
      <c r="K102" s="173">
        <v>420</v>
      </c>
      <c r="L102" s="174">
        <f t="shared" si="11"/>
        <v>7.74536888852084</v>
      </c>
      <c r="M102" s="185">
        <f t="shared" si="14"/>
        <v>25.6</v>
      </c>
      <c r="N102" s="185"/>
      <c r="O102" s="185"/>
      <c r="P102" s="185"/>
      <c r="Q102" s="185"/>
      <c r="R102" s="185"/>
      <c r="S102" s="185">
        <v>5815</v>
      </c>
      <c r="T102" s="177">
        <v>544</v>
      </c>
    </row>
    <row r="103" spans="1:20" x14ac:dyDescent="0.25">
      <c r="A103" s="172" t="str">
        <f t="shared" si="7"/>
        <v>CARF  200*10</v>
      </c>
      <c r="B103" s="174">
        <f t="shared" si="8"/>
        <v>56.964600932271956</v>
      </c>
      <c r="C103" s="173">
        <v>200</v>
      </c>
      <c r="D103" s="173"/>
      <c r="E103" s="173">
        <v>10</v>
      </c>
      <c r="F103" s="173">
        <f t="shared" si="9"/>
        <v>15</v>
      </c>
      <c r="G103" s="173">
        <f t="shared" si="10"/>
        <v>25</v>
      </c>
      <c r="H103" s="174">
        <f t="shared" si="13"/>
        <v>72.566370614359172</v>
      </c>
      <c r="I103" s="185">
        <v>4228</v>
      </c>
      <c r="J103" s="174">
        <f t="shared" si="15"/>
        <v>422.8</v>
      </c>
      <c r="K103" s="173">
        <v>507</v>
      </c>
      <c r="L103" s="174">
        <f t="shared" si="11"/>
        <v>7.6330795420832347</v>
      </c>
      <c r="M103" s="185">
        <f t="shared" si="14"/>
        <v>30</v>
      </c>
      <c r="N103" s="185"/>
      <c r="O103" s="185"/>
      <c r="P103" s="185"/>
      <c r="Q103" s="185"/>
      <c r="R103" s="185"/>
      <c r="S103" s="185">
        <v>7072</v>
      </c>
      <c r="T103" s="177">
        <v>651</v>
      </c>
    </row>
    <row r="104" spans="1:20" x14ac:dyDescent="0.25">
      <c r="A104" s="172" t="str">
        <f t="shared" si="7"/>
        <v>CARF  200*12</v>
      </c>
      <c r="B104" s="174">
        <f t="shared" si="8"/>
        <v>65.986681678089511</v>
      </c>
      <c r="C104" s="173">
        <v>200</v>
      </c>
      <c r="D104" s="173"/>
      <c r="E104" s="173">
        <v>12</v>
      </c>
      <c r="F104" s="173">
        <f t="shared" si="9"/>
        <v>24</v>
      </c>
      <c r="G104" s="173">
        <f t="shared" si="10"/>
        <v>36</v>
      </c>
      <c r="H104" s="174">
        <f t="shared" si="13"/>
        <v>84.059467105846508</v>
      </c>
      <c r="I104" s="185">
        <v>4675</v>
      </c>
      <c r="J104" s="174">
        <f t="shared" si="15"/>
        <v>467.5</v>
      </c>
      <c r="K104" s="173">
        <v>573</v>
      </c>
      <c r="L104" s="174">
        <f t="shared" si="11"/>
        <v>7.4575726244798908</v>
      </c>
      <c r="M104" s="185">
        <f t="shared" si="14"/>
        <v>30.72</v>
      </c>
      <c r="N104" s="185"/>
      <c r="O104" s="185"/>
      <c r="P104" s="185"/>
      <c r="Q104" s="185"/>
      <c r="R104" s="185"/>
      <c r="S104" s="185">
        <v>8230</v>
      </c>
      <c r="T104" s="177">
        <v>743</v>
      </c>
    </row>
    <row r="105" spans="1:20" x14ac:dyDescent="0.25">
      <c r="A105" s="172" t="str">
        <f t="shared" si="7"/>
        <v>CARF  200*12.5</v>
      </c>
      <c r="B105" s="174">
        <f t="shared" si="8"/>
        <v>68.329298695843661</v>
      </c>
      <c r="C105" s="173">
        <v>200</v>
      </c>
      <c r="D105" s="173"/>
      <c r="E105" s="173">
        <v>12.5</v>
      </c>
      <c r="F105" s="173">
        <f t="shared" si="9"/>
        <v>25</v>
      </c>
      <c r="G105" s="173">
        <f t="shared" si="10"/>
        <v>37.5</v>
      </c>
      <c r="H105" s="174">
        <f t="shared" si="13"/>
        <v>87.043692606170268</v>
      </c>
      <c r="I105" s="185">
        <v>4797</v>
      </c>
      <c r="J105" s="174">
        <f t="shared" si="15"/>
        <v>479.7</v>
      </c>
      <c r="K105" s="173">
        <v>590</v>
      </c>
      <c r="L105" s="174">
        <f t="shared" si="11"/>
        <v>7.4236280820717111</v>
      </c>
      <c r="M105" s="185">
        <f t="shared" si="14"/>
        <v>31.25</v>
      </c>
      <c r="N105" s="185"/>
      <c r="O105" s="185"/>
      <c r="P105" s="185"/>
      <c r="Q105" s="185"/>
      <c r="R105" s="185"/>
      <c r="S105" s="185">
        <v>8502</v>
      </c>
      <c r="T105" s="177">
        <v>765</v>
      </c>
    </row>
    <row r="106" spans="1:20" x14ac:dyDescent="0.25">
      <c r="A106" s="178" t="str">
        <f t="shared" si="7"/>
        <v>CARF  200*16</v>
      </c>
      <c r="B106" s="180">
        <f t="shared" si="8"/>
        <v>83.816322983270254</v>
      </c>
      <c r="C106" s="179">
        <v>200</v>
      </c>
      <c r="D106" s="179"/>
      <c r="E106" s="179">
        <v>16</v>
      </c>
      <c r="F106" s="179">
        <f t="shared" si="9"/>
        <v>32</v>
      </c>
      <c r="G106" s="179">
        <f t="shared" si="10"/>
        <v>48</v>
      </c>
      <c r="H106" s="180">
        <f t="shared" si="13"/>
        <v>106.77238596594937</v>
      </c>
      <c r="I106" s="186">
        <v>5496</v>
      </c>
      <c r="J106" s="180">
        <f t="shared" si="15"/>
        <v>549.6</v>
      </c>
      <c r="K106" s="179">
        <v>699</v>
      </c>
      <c r="L106" s="180">
        <f t="shared" si="11"/>
        <v>7.1745371409282139</v>
      </c>
      <c r="M106" s="186">
        <f t="shared" si="14"/>
        <v>33.28</v>
      </c>
      <c r="N106" s="186"/>
      <c r="O106" s="186"/>
      <c r="P106" s="186"/>
      <c r="Q106" s="186"/>
      <c r="R106" s="186"/>
      <c r="S106" s="186">
        <v>10210</v>
      </c>
      <c r="T106" s="183">
        <v>901</v>
      </c>
    </row>
    <row r="107" spans="1:20" x14ac:dyDescent="0.25">
      <c r="A107" s="162" t="str">
        <f t="shared" si="7"/>
        <v>CARF  220*5</v>
      </c>
      <c r="B107" s="163">
        <f t="shared" si="8"/>
        <v>33.249612674800993</v>
      </c>
      <c r="C107" s="64">
        <v>220</v>
      </c>
      <c r="E107" s="64">
        <v>5</v>
      </c>
      <c r="F107" s="64">
        <f t="shared" si="9"/>
        <v>5</v>
      </c>
      <c r="G107" s="64">
        <f t="shared" si="10"/>
        <v>10</v>
      </c>
      <c r="H107" s="163">
        <f t="shared" si="13"/>
        <v>42.356194490192351</v>
      </c>
      <c r="I107" s="187">
        <v>3236</v>
      </c>
      <c r="J107" s="163">
        <f t="shared" si="15"/>
        <v>294.18181818181819</v>
      </c>
      <c r="K107" s="64">
        <v>340</v>
      </c>
      <c r="L107" s="163">
        <f t="shared" si="11"/>
        <v>8.7406914465119137</v>
      </c>
      <c r="M107" s="165">
        <f t="shared" si="14"/>
        <v>20</v>
      </c>
      <c r="N107" s="165"/>
      <c r="O107" s="165"/>
      <c r="P107" s="165"/>
      <c r="Q107" s="165"/>
      <c r="R107" s="165"/>
      <c r="S107" s="187">
        <v>5038</v>
      </c>
      <c r="T107" s="64">
        <v>442</v>
      </c>
    </row>
    <row r="108" spans="1:20" x14ac:dyDescent="0.25">
      <c r="A108" s="162" t="str">
        <f t="shared" si="7"/>
        <v>CARF  220*6</v>
      </c>
      <c r="B108" s="163">
        <f t="shared" si="8"/>
        <v>39.589842251713428</v>
      </c>
      <c r="C108" s="64">
        <v>220</v>
      </c>
      <c r="E108" s="64">
        <v>6</v>
      </c>
      <c r="F108" s="64">
        <f t="shared" si="9"/>
        <v>6</v>
      </c>
      <c r="G108" s="64">
        <f t="shared" si="10"/>
        <v>12</v>
      </c>
      <c r="H108" s="163">
        <f t="shared" si="13"/>
        <v>50.432920065876978</v>
      </c>
      <c r="I108" s="187">
        <v>3810</v>
      </c>
      <c r="J108" s="163">
        <f t="shared" si="15"/>
        <v>346.36363636363637</v>
      </c>
      <c r="K108" s="64">
        <v>402</v>
      </c>
      <c r="L108" s="163">
        <f t="shared" si="11"/>
        <v>8.6917140621163504</v>
      </c>
      <c r="M108" s="165">
        <f t="shared" si="14"/>
        <v>23.52</v>
      </c>
      <c r="N108" s="165"/>
      <c r="O108" s="165"/>
      <c r="P108" s="165"/>
      <c r="Q108" s="165"/>
      <c r="R108" s="165"/>
      <c r="S108" s="187">
        <v>5976</v>
      </c>
      <c r="T108" s="64">
        <v>521</v>
      </c>
    </row>
    <row r="109" spans="1:20" x14ac:dyDescent="0.25">
      <c r="A109" s="162" t="str">
        <f t="shared" si="7"/>
        <v>CARF  220*6.3</v>
      </c>
      <c r="B109" s="163">
        <f t="shared" si="8"/>
        <v>41.204330110018738</v>
      </c>
      <c r="C109" s="64">
        <v>220</v>
      </c>
      <c r="E109" s="64">
        <v>6.3</v>
      </c>
      <c r="F109" s="64">
        <f t="shared" si="9"/>
        <v>9.4499999999999993</v>
      </c>
      <c r="G109" s="64">
        <f t="shared" si="10"/>
        <v>15.75</v>
      </c>
      <c r="H109" s="163">
        <f t="shared" si="13"/>
        <v>52.489592496839158</v>
      </c>
      <c r="I109" s="187">
        <v>3934</v>
      </c>
      <c r="J109" s="163">
        <f t="shared" si="15"/>
        <v>357.63636363636363</v>
      </c>
      <c r="K109" s="64">
        <v>416</v>
      </c>
      <c r="L109" s="163">
        <f t="shared" si="11"/>
        <v>8.6572623227239749</v>
      </c>
      <c r="M109" s="165">
        <f t="shared" si="14"/>
        <v>23.751000000000001</v>
      </c>
      <c r="N109" s="165"/>
      <c r="O109" s="165"/>
      <c r="P109" s="165"/>
      <c r="Q109" s="165"/>
      <c r="R109" s="165"/>
      <c r="S109" s="187">
        <v>6277</v>
      </c>
      <c r="T109" s="64">
        <v>543</v>
      </c>
    </row>
    <row r="110" spans="1:20" x14ac:dyDescent="0.25">
      <c r="A110" s="162" t="str">
        <f t="shared" si="7"/>
        <v>CARF  220*8</v>
      </c>
      <c r="B110" s="163">
        <f t="shared" si="8"/>
        <v>51.529344596654056</v>
      </c>
      <c r="C110" s="64">
        <v>220</v>
      </c>
      <c r="E110" s="64">
        <v>8</v>
      </c>
      <c r="F110" s="64">
        <f t="shared" si="9"/>
        <v>12</v>
      </c>
      <c r="G110" s="64">
        <f t="shared" si="10"/>
        <v>20</v>
      </c>
      <c r="H110" s="163">
        <f t="shared" si="13"/>
        <v>65.642477193189876</v>
      </c>
      <c r="I110" s="187">
        <v>4815</v>
      </c>
      <c r="J110" s="163">
        <f t="shared" si="15"/>
        <v>437.72727272727275</v>
      </c>
      <c r="K110" s="64">
        <v>515</v>
      </c>
      <c r="L110" s="163">
        <f t="shared" si="11"/>
        <v>8.5645720009020394</v>
      </c>
      <c r="M110" s="165">
        <f t="shared" si="14"/>
        <v>28.8</v>
      </c>
      <c r="N110" s="165"/>
      <c r="O110" s="165"/>
      <c r="P110" s="165"/>
      <c r="Q110" s="165"/>
      <c r="R110" s="165"/>
      <c r="S110" s="187">
        <v>7815</v>
      </c>
      <c r="T110" s="64">
        <v>668</v>
      </c>
    </row>
    <row r="111" spans="1:20" x14ac:dyDescent="0.25">
      <c r="A111" s="162" t="str">
        <f t="shared" si="7"/>
        <v>CARF  220*10</v>
      </c>
      <c r="B111" s="163">
        <f t="shared" si="8"/>
        <v>63.24460093227195</v>
      </c>
      <c r="C111" s="64">
        <v>220</v>
      </c>
      <c r="E111" s="64">
        <v>10</v>
      </c>
      <c r="F111" s="64">
        <f t="shared" si="9"/>
        <v>15</v>
      </c>
      <c r="G111" s="64">
        <f t="shared" si="10"/>
        <v>25</v>
      </c>
      <c r="H111" s="163">
        <f t="shared" si="13"/>
        <v>80.566370614359172</v>
      </c>
      <c r="I111" s="187">
        <v>5757</v>
      </c>
      <c r="J111" s="163">
        <f t="shared" si="15"/>
        <v>523.36363636363637</v>
      </c>
      <c r="K111" s="64">
        <v>623</v>
      </c>
      <c r="L111" s="163">
        <f t="shared" si="11"/>
        <v>8.4532013713406062</v>
      </c>
      <c r="M111" s="165">
        <f t="shared" si="14"/>
        <v>34</v>
      </c>
      <c r="N111" s="165"/>
      <c r="O111" s="165"/>
      <c r="P111" s="165"/>
      <c r="Q111" s="165"/>
      <c r="R111" s="165"/>
      <c r="S111" s="187">
        <v>9533</v>
      </c>
      <c r="T111" s="64">
        <v>804</v>
      </c>
    </row>
    <row r="112" spans="1:20" x14ac:dyDescent="0.25">
      <c r="A112" s="162" t="str">
        <f t="shared" si="7"/>
        <v>CARF  220*12</v>
      </c>
      <c r="B112" s="163">
        <f t="shared" si="8"/>
        <v>73.522681678089498</v>
      </c>
      <c r="C112" s="64">
        <v>220</v>
      </c>
      <c r="E112" s="64">
        <v>12</v>
      </c>
      <c r="F112" s="64">
        <f t="shared" si="9"/>
        <v>24</v>
      </c>
      <c r="G112" s="64">
        <f t="shared" si="10"/>
        <v>36</v>
      </c>
      <c r="H112" s="163">
        <f t="shared" si="13"/>
        <v>93.659467105846502</v>
      </c>
      <c r="I112" s="187">
        <v>6425</v>
      </c>
      <c r="J112" s="163">
        <f t="shared" si="15"/>
        <v>584.09090909090912</v>
      </c>
      <c r="K112" s="64">
        <v>709</v>
      </c>
      <c r="L112" s="163">
        <f t="shared" si="11"/>
        <v>8.2824862730380246</v>
      </c>
      <c r="M112" s="165">
        <f t="shared" si="14"/>
        <v>35.520000000000003</v>
      </c>
      <c r="N112" s="165"/>
      <c r="O112" s="165"/>
      <c r="P112" s="165"/>
      <c r="Q112" s="165"/>
      <c r="R112" s="165"/>
      <c r="S112" s="187">
        <v>11149</v>
      </c>
      <c r="T112" s="64">
        <v>922</v>
      </c>
    </row>
    <row r="113" spans="1:20" x14ac:dyDescent="0.25">
      <c r="A113" s="162" t="str">
        <f t="shared" si="7"/>
        <v>CARF  220*12.5</v>
      </c>
      <c r="B113" s="163">
        <f t="shared" si="8"/>
        <v>76.179298695843656</v>
      </c>
      <c r="C113" s="64">
        <v>220</v>
      </c>
      <c r="E113" s="64">
        <v>12.5</v>
      </c>
      <c r="F113" s="64">
        <f t="shared" si="9"/>
        <v>25</v>
      </c>
      <c r="G113" s="64">
        <f t="shared" si="10"/>
        <v>37.5</v>
      </c>
      <c r="H113" s="163">
        <f t="shared" si="13"/>
        <v>97.043692606170268</v>
      </c>
      <c r="I113" s="187">
        <v>6605</v>
      </c>
      <c r="J113" s="163">
        <f t="shared" si="15"/>
        <v>600.4545454545455</v>
      </c>
      <c r="K113" s="64">
        <v>732</v>
      </c>
      <c r="L113" s="163">
        <f t="shared" si="11"/>
        <v>8.2499773122766626</v>
      </c>
      <c r="M113" s="165">
        <f t="shared" si="14"/>
        <v>36.25</v>
      </c>
      <c r="N113" s="165"/>
      <c r="O113" s="165"/>
      <c r="P113" s="165"/>
      <c r="Q113" s="165"/>
      <c r="R113" s="165"/>
      <c r="S113" s="187">
        <v>11530</v>
      </c>
      <c r="T113" s="64">
        <v>951</v>
      </c>
    </row>
    <row r="114" spans="1:20" x14ac:dyDescent="0.25">
      <c r="A114" s="162" t="str">
        <f t="shared" si="7"/>
        <v>CARF  220*16</v>
      </c>
      <c r="B114" s="163">
        <f t="shared" si="8"/>
        <v>93.864322983270256</v>
      </c>
      <c r="C114" s="64">
        <v>220</v>
      </c>
      <c r="E114" s="64">
        <v>16</v>
      </c>
      <c r="F114" s="64">
        <f t="shared" si="9"/>
        <v>32</v>
      </c>
      <c r="G114" s="64">
        <f t="shared" si="10"/>
        <v>48</v>
      </c>
      <c r="H114" s="163">
        <f t="shared" si="13"/>
        <v>119.57238596594937</v>
      </c>
      <c r="I114" s="187">
        <v>7669</v>
      </c>
      <c r="J114" s="163">
        <f t="shared" si="15"/>
        <v>697.18181818181813</v>
      </c>
      <c r="K114" s="64">
        <v>874</v>
      </c>
      <c r="L114" s="163">
        <f t="shared" si="11"/>
        <v>8.0085505507190593</v>
      </c>
      <c r="M114" s="165">
        <f t="shared" si="14"/>
        <v>39.68</v>
      </c>
      <c r="N114" s="165"/>
      <c r="O114" s="165"/>
      <c r="P114" s="165"/>
      <c r="Q114" s="165"/>
      <c r="R114" s="165"/>
      <c r="S114" s="187">
        <v>13971</v>
      </c>
      <c r="T114" s="64">
        <v>1129</v>
      </c>
    </row>
    <row r="115" spans="1:20" x14ac:dyDescent="0.25">
      <c r="A115" s="166" t="str">
        <f t="shared" si="7"/>
        <v>CARF  250*5</v>
      </c>
      <c r="B115" s="168">
        <f t="shared" si="8"/>
        <v>37.959612674800994</v>
      </c>
      <c r="C115" s="167">
        <v>250</v>
      </c>
      <c r="D115" s="167"/>
      <c r="E115" s="167">
        <v>5</v>
      </c>
      <c r="F115" s="167">
        <f t="shared" si="9"/>
        <v>5</v>
      </c>
      <c r="G115" s="167">
        <f t="shared" si="10"/>
        <v>10</v>
      </c>
      <c r="H115" s="168">
        <f t="shared" si="13"/>
        <v>48.356194490192351</v>
      </c>
      <c r="I115" s="184">
        <v>4803</v>
      </c>
      <c r="J115" s="168">
        <f t="shared" si="15"/>
        <v>384.24</v>
      </c>
      <c r="K115" s="167">
        <v>442</v>
      </c>
      <c r="L115" s="168">
        <f t="shared" si="11"/>
        <v>9.9662146229410027</v>
      </c>
      <c r="M115" s="184">
        <f t="shared" si="14"/>
        <v>23</v>
      </c>
      <c r="N115" s="184"/>
      <c r="O115" s="184"/>
      <c r="P115" s="184"/>
      <c r="Q115" s="184"/>
      <c r="R115" s="184"/>
      <c r="S115" s="184">
        <v>7443</v>
      </c>
      <c r="T115" s="171">
        <v>577</v>
      </c>
    </row>
    <row r="116" spans="1:20" x14ac:dyDescent="0.25">
      <c r="A116" s="172" t="str">
        <f t="shared" si="7"/>
        <v>CARF  250*6</v>
      </c>
      <c r="B116" s="174">
        <f t="shared" si="8"/>
        <v>45.241842251713429</v>
      </c>
      <c r="C116" s="173">
        <v>250</v>
      </c>
      <c r="D116" s="173"/>
      <c r="E116" s="173">
        <v>6</v>
      </c>
      <c r="F116" s="173">
        <f t="shared" si="9"/>
        <v>6</v>
      </c>
      <c r="G116" s="173">
        <f t="shared" si="10"/>
        <v>12</v>
      </c>
      <c r="H116" s="174">
        <f t="shared" si="13"/>
        <v>57.632920065876981</v>
      </c>
      <c r="I116" s="185">
        <v>5668</v>
      </c>
      <c r="J116" s="174">
        <f t="shared" si="15"/>
        <v>453.44</v>
      </c>
      <c r="K116" s="173">
        <v>524</v>
      </c>
      <c r="L116" s="174">
        <f t="shared" si="11"/>
        <v>9.9169839098775334</v>
      </c>
      <c r="M116" s="185">
        <f t="shared" si="14"/>
        <v>27.12</v>
      </c>
      <c r="N116" s="185"/>
      <c r="O116" s="185"/>
      <c r="P116" s="185"/>
      <c r="Q116" s="185"/>
      <c r="R116" s="185"/>
      <c r="S116" s="185">
        <v>8843</v>
      </c>
      <c r="T116" s="177">
        <v>681</v>
      </c>
    </row>
    <row r="117" spans="1:20" x14ac:dyDescent="0.25">
      <c r="A117" s="172" t="str">
        <f t="shared" si="7"/>
        <v>CARF  250*6.3</v>
      </c>
      <c r="B117" s="174">
        <f t="shared" si="8"/>
        <v>47.138930110018741</v>
      </c>
      <c r="C117" s="173">
        <v>250</v>
      </c>
      <c r="D117" s="173"/>
      <c r="E117" s="173">
        <v>6.3</v>
      </c>
      <c r="F117" s="173">
        <f t="shared" si="9"/>
        <v>9.4499999999999993</v>
      </c>
      <c r="G117" s="173">
        <f t="shared" si="10"/>
        <v>15.75</v>
      </c>
      <c r="H117" s="174">
        <f t="shared" si="13"/>
        <v>60.049592496839161</v>
      </c>
      <c r="I117" s="185">
        <v>5865</v>
      </c>
      <c r="J117" s="174">
        <f t="shared" si="15"/>
        <v>469.2</v>
      </c>
      <c r="K117" s="173">
        <v>544</v>
      </c>
      <c r="L117" s="174">
        <f t="shared" si="11"/>
        <v>9.8827765472083371</v>
      </c>
      <c r="M117" s="185">
        <f t="shared" si="14"/>
        <v>27.530999999999999</v>
      </c>
      <c r="N117" s="185"/>
      <c r="O117" s="185"/>
      <c r="P117" s="185"/>
      <c r="Q117" s="185"/>
      <c r="R117" s="185"/>
      <c r="S117" s="185">
        <v>9290</v>
      </c>
      <c r="T117" s="177">
        <v>711</v>
      </c>
    </row>
    <row r="118" spans="1:20" x14ac:dyDescent="0.25">
      <c r="A118" s="172" t="str">
        <f t="shared" si="7"/>
        <v>CARF  250*8</v>
      </c>
      <c r="B118" s="174">
        <f t="shared" si="8"/>
        <v>59.06534459665405</v>
      </c>
      <c r="C118" s="173">
        <v>250</v>
      </c>
      <c r="D118" s="173"/>
      <c r="E118" s="173">
        <v>8</v>
      </c>
      <c r="F118" s="173">
        <f t="shared" si="9"/>
        <v>12</v>
      </c>
      <c r="G118" s="173">
        <f t="shared" si="10"/>
        <v>20</v>
      </c>
      <c r="H118" s="174">
        <f t="shared" si="13"/>
        <v>75.24247719318987</v>
      </c>
      <c r="I118" s="185">
        <v>7214</v>
      </c>
      <c r="J118" s="174">
        <f t="shared" si="15"/>
        <v>577.12</v>
      </c>
      <c r="K118" s="173">
        <v>675</v>
      </c>
      <c r="L118" s="174">
        <f t="shared" si="11"/>
        <v>9.7916645423359832</v>
      </c>
      <c r="M118" s="185">
        <f t="shared" si="14"/>
        <v>33.6</v>
      </c>
      <c r="N118" s="185"/>
      <c r="O118" s="185"/>
      <c r="P118" s="185"/>
      <c r="Q118" s="185"/>
      <c r="R118" s="185"/>
      <c r="S118" s="185">
        <v>11598</v>
      </c>
      <c r="T118" s="177">
        <v>878</v>
      </c>
    </row>
    <row r="119" spans="1:20" x14ac:dyDescent="0.25">
      <c r="A119" s="172" t="str">
        <f t="shared" ref="A119:A145" si="16">$B$3&amp;"  "&amp;C119&amp;"*"&amp;E119</f>
        <v>CARF  250*10</v>
      </c>
      <c r="B119" s="174">
        <f t="shared" ref="B119:B145" si="17">(H119*7850)/10000</f>
        <v>72.664600932271952</v>
      </c>
      <c r="C119" s="173">
        <v>250</v>
      </c>
      <c r="D119" s="173"/>
      <c r="E119" s="173">
        <v>10</v>
      </c>
      <c r="F119" s="173">
        <f t="shared" ref="F119:F145" si="18">IF(E119&lt;=6,1*E119,IF(E119&lt;=10,1.5*E119,2*E119))</f>
        <v>15</v>
      </c>
      <c r="G119" s="173">
        <f t="shared" ref="G119:G145" si="19">IF(E119&lt;=6,2*E119,IF(E119&lt;=10,2.5*E119,3*E119))</f>
        <v>25</v>
      </c>
      <c r="H119" s="174">
        <f t="shared" si="13"/>
        <v>92.566370614359172</v>
      </c>
      <c r="I119" s="185">
        <v>8678</v>
      </c>
      <c r="J119" s="174">
        <f t="shared" si="15"/>
        <v>694.24</v>
      </c>
      <c r="K119" s="173">
        <v>821</v>
      </c>
      <c r="L119" s="174">
        <f t="shared" ref="L119:L145" si="20">SQRT(I119/H119)</f>
        <v>9.6824041154792688</v>
      </c>
      <c r="M119" s="185">
        <f t="shared" si="14"/>
        <v>40</v>
      </c>
      <c r="N119" s="185"/>
      <c r="O119" s="185"/>
      <c r="P119" s="185"/>
      <c r="Q119" s="185"/>
      <c r="R119" s="185"/>
      <c r="S119" s="185">
        <v>14197</v>
      </c>
      <c r="T119" s="177">
        <v>1062</v>
      </c>
    </row>
    <row r="120" spans="1:20" x14ac:dyDescent="0.25">
      <c r="A120" s="172" t="str">
        <f t="shared" si="16"/>
        <v>CARF  250*12</v>
      </c>
      <c r="B120" s="174">
        <f t="shared" si="17"/>
        <v>84.826681678089514</v>
      </c>
      <c r="C120" s="173">
        <v>250</v>
      </c>
      <c r="D120" s="173"/>
      <c r="E120" s="173">
        <v>12</v>
      </c>
      <c r="F120" s="173">
        <f t="shared" si="18"/>
        <v>24</v>
      </c>
      <c r="G120" s="173">
        <f t="shared" si="19"/>
        <v>36</v>
      </c>
      <c r="H120" s="174">
        <f t="shared" si="13"/>
        <v>108.05946710584651</v>
      </c>
      <c r="I120" s="185">
        <v>9789</v>
      </c>
      <c r="J120" s="174">
        <f t="shared" si="15"/>
        <v>783.12</v>
      </c>
      <c r="K120" s="173">
        <v>941</v>
      </c>
      <c r="L120" s="174">
        <f t="shared" si="20"/>
        <v>9.5178258361147652</v>
      </c>
      <c r="M120" s="185">
        <f t="shared" si="14"/>
        <v>42.72</v>
      </c>
      <c r="N120" s="185"/>
      <c r="O120" s="185"/>
      <c r="P120" s="185"/>
      <c r="Q120" s="185"/>
      <c r="R120" s="185"/>
      <c r="S120" s="185">
        <v>16691</v>
      </c>
      <c r="T120" s="177">
        <v>1226</v>
      </c>
    </row>
    <row r="121" spans="1:20" x14ac:dyDescent="0.25">
      <c r="A121" s="172" t="str">
        <f t="shared" si="16"/>
        <v>CARF  250*12.5</v>
      </c>
      <c r="B121" s="174">
        <f t="shared" si="17"/>
        <v>87.954298695843661</v>
      </c>
      <c r="C121" s="173">
        <v>250</v>
      </c>
      <c r="D121" s="173"/>
      <c r="E121" s="173">
        <v>12.5</v>
      </c>
      <c r="F121" s="173">
        <f t="shared" si="18"/>
        <v>25</v>
      </c>
      <c r="G121" s="173">
        <f t="shared" si="19"/>
        <v>37.5</v>
      </c>
      <c r="H121" s="174">
        <f t="shared" si="13"/>
        <v>112.04369260617027</v>
      </c>
      <c r="I121" s="185">
        <v>10082</v>
      </c>
      <c r="J121" s="174">
        <f t="shared" si="15"/>
        <v>806.56</v>
      </c>
      <c r="K121" s="173">
        <v>972</v>
      </c>
      <c r="L121" s="174">
        <f t="shared" si="20"/>
        <v>9.4859239792906376</v>
      </c>
      <c r="M121" s="185">
        <f t="shared" si="14"/>
        <v>43.75</v>
      </c>
      <c r="N121" s="185"/>
      <c r="O121" s="185"/>
      <c r="P121" s="185"/>
      <c r="Q121" s="185"/>
      <c r="R121" s="185"/>
      <c r="S121" s="185">
        <v>13283</v>
      </c>
      <c r="T121" s="177">
        <v>1266</v>
      </c>
    </row>
    <row r="122" spans="1:20" x14ac:dyDescent="0.25">
      <c r="A122" s="178" t="str">
        <f t="shared" si="16"/>
        <v>CARF  250*16</v>
      </c>
      <c r="B122" s="180">
        <f t="shared" si="17"/>
        <v>108.93632298327023</v>
      </c>
      <c r="C122" s="179">
        <v>250</v>
      </c>
      <c r="D122" s="179"/>
      <c r="E122" s="179">
        <v>16</v>
      </c>
      <c r="F122" s="179">
        <f t="shared" si="18"/>
        <v>32</v>
      </c>
      <c r="G122" s="179">
        <f t="shared" si="19"/>
        <v>48</v>
      </c>
      <c r="H122" s="180">
        <f t="shared" si="13"/>
        <v>138.77238596594935</v>
      </c>
      <c r="I122" s="186">
        <v>11883</v>
      </c>
      <c r="J122" s="180">
        <f t="shared" si="15"/>
        <v>950.64</v>
      </c>
      <c r="K122" s="179">
        <v>1173</v>
      </c>
      <c r="L122" s="180">
        <f t="shared" si="20"/>
        <v>9.2536170099099948</v>
      </c>
      <c r="M122" s="186">
        <f t="shared" si="14"/>
        <v>49.28</v>
      </c>
      <c r="N122" s="186"/>
      <c r="O122" s="186"/>
      <c r="P122" s="186"/>
      <c r="Q122" s="186"/>
      <c r="R122" s="186"/>
      <c r="S122" s="186">
        <v>21146</v>
      </c>
      <c r="T122" s="183">
        <v>1520</v>
      </c>
    </row>
    <row r="123" spans="1:20" x14ac:dyDescent="0.25">
      <c r="A123" s="162" t="str">
        <f t="shared" si="16"/>
        <v>CARF  260*6</v>
      </c>
      <c r="B123" s="163">
        <f t="shared" si="17"/>
        <v>47.125842251713429</v>
      </c>
      <c r="C123" s="64">
        <v>260</v>
      </c>
      <c r="E123" s="64">
        <v>6</v>
      </c>
      <c r="F123" s="64">
        <f t="shared" si="18"/>
        <v>6</v>
      </c>
      <c r="G123" s="64">
        <f t="shared" si="19"/>
        <v>12</v>
      </c>
      <c r="H123" s="163">
        <f t="shared" si="13"/>
        <v>60.032920065876979</v>
      </c>
      <c r="I123" s="187">
        <v>6400</v>
      </c>
      <c r="J123" s="163">
        <f t="shared" si="15"/>
        <v>492.30769230769232</v>
      </c>
      <c r="K123" s="64">
        <v>569</v>
      </c>
      <c r="L123" s="163">
        <f t="shared" si="20"/>
        <v>10.325123447108979</v>
      </c>
      <c r="M123" s="165">
        <f t="shared" si="14"/>
        <v>28.32</v>
      </c>
      <c r="N123" s="165"/>
      <c r="O123" s="165"/>
      <c r="P123" s="165"/>
      <c r="Q123" s="165"/>
      <c r="R123" s="165"/>
      <c r="S123" s="187">
        <v>9970</v>
      </c>
      <c r="T123" s="64">
        <v>739</v>
      </c>
    </row>
    <row r="124" spans="1:20" x14ac:dyDescent="0.25">
      <c r="A124" s="162" t="str">
        <f t="shared" si="16"/>
        <v>CARF  260*6.3</v>
      </c>
      <c r="B124" s="163">
        <f t="shared" si="17"/>
        <v>49.117130110018742</v>
      </c>
      <c r="C124" s="64">
        <v>260</v>
      </c>
      <c r="E124" s="64">
        <v>6.3</v>
      </c>
      <c r="F124" s="64">
        <f t="shared" si="18"/>
        <v>9.4499999999999993</v>
      </c>
      <c r="G124" s="64">
        <f t="shared" si="19"/>
        <v>15.75</v>
      </c>
      <c r="H124" s="163">
        <f t="shared" si="13"/>
        <v>62.569592496839164</v>
      </c>
      <c r="I124" s="187">
        <v>6627</v>
      </c>
      <c r="J124" s="163">
        <f t="shared" si="15"/>
        <v>509.76923076923077</v>
      </c>
      <c r="K124" s="64">
        <v>590</v>
      </c>
      <c r="L124" s="163">
        <f t="shared" si="20"/>
        <v>10.29145601021763</v>
      </c>
      <c r="M124" s="165">
        <f t="shared" si="14"/>
        <v>28.791</v>
      </c>
      <c r="N124" s="165"/>
      <c r="O124" s="165"/>
      <c r="P124" s="165"/>
      <c r="Q124" s="165"/>
      <c r="R124" s="165"/>
      <c r="S124" s="187">
        <v>10475</v>
      </c>
      <c r="T124" s="64">
        <v>772</v>
      </c>
    </row>
    <row r="125" spans="1:20" x14ac:dyDescent="0.25">
      <c r="A125" s="162" t="str">
        <f t="shared" si="16"/>
        <v>CARF  260*8</v>
      </c>
      <c r="B125" s="163">
        <f t="shared" si="17"/>
        <v>61.577344596654051</v>
      </c>
      <c r="C125" s="64">
        <v>260</v>
      </c>
      <c r="E125" s="64">
        <v>8</v>
      </c>
      <c r="F125" s="64">
        <f t="shared" si="18"/>
        <v>12</v>
      </c>
      <c r="G125" s="64">
        <f t="shared" si="19"/>
        <v>20</v>
      </c>
      <c r="H125" s="163">
        <f t="shared" si="13"/>
        <v>78.442477193189873</v>
      </c>
      <c r="I125" s="187">
        <v>8163</v>
      </c>
      <c r="J125" s="163">
        <f t="shared" si="15"/>
        <v>627.92307692307691</v>
      </c>
      <c r="K125" s="64">
        <v>733</v>
      </c>
      <c r="L125" s="163">
        <f t="shared" si="20"/>
        <v>10.201152692168279</v>
      </c>
      <c r="M125" s="165">
        <f t="shared" si="14"/>
        <v>35.200000000000003</v>
      </c>
      <c r="N125" s="165"/>
      <c r="O125" s="165"/>
      <c r="P125" s="165"/>
      <c r="Q125" s="165"/>
      <c r="R125" s="165"/>
      <c r="S125" s="187">
        <v>13087</v>
      </c>
      <c r="T125" s="64">
        <v>955</v>
      </c>
    </row>
    <row r="126" spans="1:20" x14ac:dyDescent="0.25">
      <c r="A126" s="162" t="str">
        <f t="shared" si="16"/>
        <v>CARF  260*10</v>
      </c>
      <c r="B126" s="163">
        <f t="shared" si="17"/>
        <v>75.804600932271953</v>
      </c>
      <c r="C126" s="64">
        <v>260</v>
      </c>
      <c r="E126" s="64">
        <v>10</v>
      </c>
      <c r="F126" s="64">
        <f t="shared" si="18"/>
        <v>15</v>
      </c>
      <c r="G126" s="64">
        <f t="shared" si="19"/>
        <v>25</v>
      </c>
      <c r="H126" s="163">
        <f t="shared" si="13"/>
        <v>96.566370614359172</v>
      </c>
      <c r="I126" s="187">
        <v>9835</v>
      </c>
      <c r="J126" s="163">
        <f t="shared" si="15"/>
        <v>756.53846153846155</v>
      </c>
      <c r="K126" s="64">
        <v>893</v>
      </c>
      <c r="L126" s="163">
        <f t="shared" si="20"/>
        <v>10.091929956437607</v>
      </c>
      <c r="M126" s="165">
        <f t="shared" si="14"/>
        <v>42</v>
      </c>
      <c r="N126" s="165"/>
      <c r="O126" s="165"/>
      <c r="P126" s="165"/>
      <c r="Q126" s="165"/>
      <c r="R126" s="165"/>
      <c r="S126" s="187">
        <v>16035</v>
      </c>
      <c r="T126" s="64">
        <v>1156</v>
      </c>
    </row>
    <row r="127" spans="1:20" x14ac:dyDescent="0.25">
      <c r="A127" s="162" t="str">
        <f t="shared" si="16"/>
        <v>CARF  260*12</v>
      </c>
      <c r="B127" s="163">
        <f t="shared" si="17"/>
        <v>88.594681678089515</v>
      </c>
      <c r="C127" s="64">
        <v>260</v>
      </c>
      <c r="E127" s="64">
        <v>12</v>
      </c>
      <c r="F127" s="64">
        <f t="shared" si="18"/>
        <v>24</v>
      </c>
      <c r="G127" s="64">
        <f t="shared" si="19"/>
        <v>36</v>
      </c>
      <c r="H127" s="163">
        <f t="shared" si="13"/>
        <v>112.85946710584651</v>
      </c>
      <c r="I127" s="187">
        <v>11126</v>
      </c>
      <c r="J127" s="163">
        <f t="shared" si="15"/>
        <v>855.84615384615381</v>
      </c>
      <c r="K127" s="64">
        <v>1025</v>
      </c>
      <c r="L127" s="163">
        <f t="shared" si="20"/>
        <v>9.9288861335398604</v>
      </c>
      <c r="M127" s="165">
        <f t="shared" si="14"/>
        <v>45.12</v>
      </c>
      <c r="N127" s="165"/>
      <c r="O127" s="165"/>
      <c r="P127" s="165"/>
      <c r="Q127" s="165"/>
      <c r="R127" s="165"/>
      <c r="S127" s="187">
        <v>18878</v>
      </c>
      <c r="T127" s="64">
        <v>1337</v>
      </c>
    </row>
    <row r="128" spans="1:20" x14ac:dyDescent="0.25">
      <c r="A128" s="162" t="str">
        <f t="shared" si="16"/>
        <v>CARF  260*12.5</v>
      </c>
      <c r="B128" s="163">
        <f t="shared" si="17"/>
        <v>91.879298695843659</v>
      </c>
      <c r="C128" s="64">
        <v>260</v>
      </c>
      <c r="E128" s="64">
        <v>12.5</v>
      </c>
      <c r="F128" s="64">
        <f t="shared" si="18"/>
        <v>25</v>
      </c>
      <c r="G128" s="64">
        <f t="shared" si="19"/>
        <v>37.5</v>
      </c>
      <c r="H128" s="163">
        <f t="shared" si="13"/>
        <v>117.04369260617027</v>
      </c>
      <c r="I128" s="187">
        <v>11465</v>
      </c>
      <c r="J128" s="163">
        <f t="shared" si="15"/>
        <v>881.92307692307691</v>
      </c>
      <c r="K128" s="64">
        <v>1059</v>
      </c>
      <c r="L128" s="163">
        <f t="shared" si="20"/>
        <v>9.8972153971806662</v>
      </c>
      <c r="M128" s="165">
        <f t="shared" si="14"/>
        <v>46.25</v>
      </c>
      <c r="N128" s="165"/>
      <c r="O128" s="165"/>
      <c r="P128" s="165"/>
      <c r="Q128" s="165"/>
      <c r="R128" s="165"/>
      <c r="S128" s="187">
        <v>19553</v>
      </c>
      <c r="T128" s="64">
        <v>1381</v>
      </c>
    </row>
    <row r="129" spans="1:20" x14ac:dyDescent="0.25">
      <c r="A129" s="162" t="str">
        <f t="shared" si="16"/>
        <v>CARF  260*16</v>
      </c>
      <c r="B129" s="163">
        <f t="shared" si="17"/>
        <v>113.96032298327026</v>
      </c>
      <c r="C129" s="64">
        <v>260</v>
      </c>
      <c r="E129" s="64">
        <v>16</v>
      </c>
      <c r="F129" s="64">
        <f t="shared" si="18"/>
        <v>32</v>
      </c>
      <c r="G129" s="64">
        <f t="shared" si="19"/>
        <v>48</v>
      </c>
      <c r="H129" s="163">
        <f t="shared" si="13"/>
        <v>145.17238596594936</v>
      </c>
      <c r="I129" s="187">
        <v>13568</v>
      </c>
      <c r="J129" s="163">
        <f t="shared" si="15"/>
        <v>1043.6923076923076</v>
      </c>
      <c r="K129" s="64">
        <v>1282</v>
      </c>
      <c r="L129" s="163">
        <f t="shared" si="20"/>
        <v>9.6675384961902413</v>
      </c>
      <c r="M129" s="165">
        <f t="shared" si="14"/>
        <v>52.480000000000004</v>
      </c>
      <c r="N129" s="165"/>
      <c r="O129" s="165"/>
      <c r="P129" s="165"/>
      <c r="Q129" s="165"/>
      <c r="R129" s="165"/>
      <c r="S129" s="187">
        <v>23986</v>
      </c>
      <c r="T129" s="64">
        <v>1663</v>
      </c>
    </row>
    <row r="130" spans="1:20" x14ac:dyDescent="0.25">
      <c r="A130" s="166" t="str">
        <f t="shared" si="16"/>
        <v>CARF  300*6</v>
      </c>
      <c r="B130" s="168">
        <f t="shared" si="17"/>
        <v>54.661842251713423</v>
      </c>
      <c r="C130" s="167">
        <v>300</v>
      </c>
      <c r="D130" s="167"/>
      <c r="E130" s="167">
        <v>6</v>
      </c>
      <c r="F130" s="167">
        <f t="shared" si="18"/>
        <v>6</v>
      </c>
      <c r="G130" s="167">
        <f t="shared" si="19"/>
        <v>12</v>
      </c>
      <c r="H130" s="168">
        <f t="shared" si="13"/>
        <v>69.632920065876974</v>
      </c>
      <c r="I130" s="184">
        <v>9959</v>
      </c>
      <c r="J130" s="168">
        <f t="shared" si="15"/>
        <v>663.93333333333328</v>
      </c>
      <c r="K130" s="167">
        <v>764</v>
      </c>
      <c r="L130" s="168">
        <f t="shared" si="20"/>
        <v>11.959156861191962</v>
      </c>
      <c r="M130" s="184">
        <f t="shared" si="14"/>
        <v>33.119999999999997</v>
      </c>
      <c r="N130" s="184"/>
      <c r="O130" s="184"/>
      <c r="P130" s="184"/>
      <c r="Q130" s="184"/>
      <c r="R130" s="184"/>
      <c r="S130" s="184">
        <v>15434</v>
      </c>
      <c r="T130" s="171">
        <v>997</v>
      </c>
    </row>
    <row r="131" spans="1:20" x14ac:dyDescent="0.25">
      <c r="A131" s="172" t="str">
        <f t="shared" si="16"/>
        <v>CARF  300*6.3</v>
      </c>
      <c r="B131" s="174">
        <f t="shared" si="17"/>
        <v>57.029930110018746</v>
      </c>
      <c r="C131" s="173">
        <v>300</v>
      </c>
      <c r="D131" s="173"/>
      <c r="E131" s="173">
        <v>6.3</v>
      </c>
      <c r="F131" s="173">
        <f t="shared" si="18"/>
        <v>9.4499999999999993</v>
      </c>
      <c r="G131" s="173">
        <f t="shared" si="19"/>
        <v>15.75</v>
      </c>
      <c r="H131" s="174">
        <f t="shared" si="13"/>
        <v>72.649592496839162</v>
      </c>
      <c r="I131" s="185">
        <v>10333</v>
      </c>
      <c r="J131" s="174">
        <f t="shared" si="15"/>
        <v>688.86666666666667</v>
      </c>
      <c r="K131" s="173">
        <v>795</v>
      </c>
      <c r="L131" s="174">
        <f t="shared" si="20"/>
        <v>11.926049933909507</v>
      </c>
      <c r="M131" s="185">
        <f t="shared" si="14"/>
        <v>33.831000000000003</v>
      </c>
      <c r="N131" s="185"/>
      <c r="O131" s="185"/>
      <c r="P131" s="185"/>
      <c r="Q131" s="185"/>
      <c r="R131" s="185"/>
      <c r="S131" s="185">
        <v>16218</v>
      </c>
      <c r="T131" s="177">
        <v>1042</v>
      </c>
    </row>
    <row r="132" spans="1:20" x14ac:dyDescent="0.25">
      <c r="A132" s="172" t="str">
        <f t="shared" si="16"/>
        <v>CARF  300*8</v>
      </c>
      <c r="B132" s="174">
        <f t="shared" si="17"/>
        <v>71.62534459665406</v>
      </c>
      <c r="C132" s="173">
        <v>300</v>
      </c>
      <c r="D132" s="173"/>
      <c r="E132" s="173">
        <v>8</v>
      </c>
      <c r="F132" s="173">
        <f t="shared" si="18"/>
        <v>12</v>
      </c>
      <c r="G132" s="173">
        <f t="shared" si="19"/>
        <v>20</v>
      </c>
      <c r="H132" s="174">
        <f t="shared" ref="H132:H145" si="21">(4*(C132-2*G132)*E132+PI()*(G132^2-F132^2))*0.01</f>
        <v>91.242477193189885</v>
      </c>
      <c r="I132" s="185">
        <v>12783</v>
      </c>
      <c r="J132" s="174">
        <f t="shared" si="15"/>
        <v>852.2</v>
      </c>
      <c r="K132" s="173">
        <v>990</v>
      </c>
      <c r="L132" s="174">
        <f t="shared" si="20"/>
        <v>11.836351686792376</v>
      </c>
      <c r="M132" s="185">
        <f t="shared" ref="M132:M145" si="22">2*(C132-2*G132)*E132*0.01</f>
        <v>41.6</v>
      </c>
      <c r="N132" s="185"/>
      <c r="O132" s="185"/>
      <c r="P132" s="185"/>
      <c r="Q132" s="185"/>
      <c r="R132" s="185"/>
      <c r="S132" s="185">
        <v>20312</v>
      </c>
      <c r="T132" s="177">
        <v>1293</v>
      </c>
    </row>
    <row r="133" spans="1:20" x14ac:dyDescent="0.25">
      <c r="A133" s="172" t="str">
        <f t="shared" si="16"/>
        <v>CARF  300*10</v>
      </c>
      <c r="B133" s="174">
        <f t="shared" si="17"/>
        <v>88.364600932271955</v>
      </c>
      <c r="C133" s="173">
        <v>300</v>
      </c>
      <c r="D133" s="173"/>
      <c r="E133" s="173">
        <v>10</v>
      </c>
      <c r="F133" s="173">
        <f t="shared" si="18"/>
        <v>15</v>
      </c>
      <c r="G133" s="173">
        <f t="shared" si="19"/>
        <v>25</v>
      </c>
      <c r="H133" s="174">
        <f t="shared" si="21"/>
        <v>112.56637061435917</v>
      </c>
      <c r="I133" s="185">
        <v>15484</v>
      </c>
      <c r="J133" s="174">
        <f t="shared" si="15"/>
        <v>1032.2666666666667</v>
      </c>
      <c r="K133" s="173">
        <v>1210</v>
      </c>
      <c r="L133" s="174">
        <f t="shared" si="20"/>
        <v>11.728358956804252</v>
      </c>
      <c r="M133" s="185">
        <f t="shared" si="22"/>
        <v>50</v>
      </c>
      <c r="N133" s="185"/>
      <c r="O133" s="185"/>
      <c r="P133" s="185"/>
      <c r="Q133" s="185"/>
      <c r="R133" s="185"/>
      <c r="S133" s="185">
        <v>24966</v>
      </c>
      <c r="T133" s="177">
        <v>1572</v>
      </c>
    </row>
    <row r="134" spans="1:20" x14ac:dyDescent="0.25">
      <c r="A134" s="172" t="str">
        <f t="shared" si="16"/>
        <v>CARF  300*12</v>
      </c>
      <c r="B134" s="174">
        <f t="shared" si="17"/>
        <v>103.66668167808952</v>
      </c>
      <c r="C134" s="173">
        <v>300</v>
      </c>
      <c r="D134" s="173"/>
      <c r="E134" s="173">
        <v>12</v>
      </c>
      <c r="F134" s="173">
        <f t="shared" si="18"/>
        <v>24</v>
      </c>
      <c r="G134" s="173">
        <f t="shared" si="19"/>
        <v>36</v>
      </c>
      <c r="H134" s="174">
        <f t="shared" si="21"/>
        <v>132.05946710584652</v>
      </c>
      <c r="I134" s="185">
        <v>17682</v>
      </c>
      <c r="J134" s="174">
        <f t="shared" si="15"/>
        <v>1178.8</v>
      </c>
      <c r="K134" s="173">
        <v>1399</v>
      </c>
      <c r="L134" s="174">
        <f t="shared" si="20"/>
        <v>11.571267216017194</v>
      </c>
      <c r="M134" s="185">
        <f t="shared" si="22"/>
        <v>54.72</v>
      </c>
      <c r="N134" s="185"/>
      <c r="O134" s="185"/>
      <c r="P134" s="185"/>
      <c r="Q134" s="185"/>
      <c r="R134" s="185"/>
      <c r="S134" s="185">
        <v>29514</v>
      </c>
      <c r="T134" s="177">
        <v>1829</v>
      </c>
    </row>
    <row r="135" spans="1:20" x14ac:dyDescent="0.25">
      <c r="A135" s="172" t="str">
        <f t="shared" si="16"/>
        <v>CARF  300*12.5</v>
      </c>
      <c r="B135" s="174">
        <f t="shared" si="17"/>
        <v>107.57929869584365</v>
      </c>
      <c r="C135" s="173">
        <v>300</v>
      </c>
      <c r="D135" s="173"/>
      <c r="E135" s="173">
        <v>12.5</v>
      </c>
      <c r="F135" s="173">
        <f t="shared" si="18"/>
        <v>25</v>
      </c>
      <c r="G135" s="173">
        <f t="shared" si="19"/>
        <v>37.5</v>
      </c>
      <c r="H135" s="174">
        <f t="shared" si="21"/>
        <v>137.04369260617025</v>
      </c>
      <c r="I135" s="185">
        <v>18252</v>
      </c>
      <c r="J135" s="174">
        <f t="shared" si="15"/>
        <v>1216.8</v>
      </c>
      <c r="K135" s="173">
        <v>1447</v>
      </c>
      <c r="L135" s="174">
        <f t="shared" si="20"/>
        <v>11.540528663964205</v>
      </c>
      <c r="M135" s="185">
        <f t="shared" si="22"/>
        <v>56.25</v>
      </c>
      <c r="N135" s="185"/>
      <c r="O135" s="185"/>
      <c r="P135" s="185"/>
      <c r="Q135" s="185"/>
      <c r="R135" s="185"/>
      <c r="S135" s="185">
        <v>30601</v>
      </c>
      <c r="T135" s="177">
        <v>1892</v>
      </c>
    </row>
    <row r="136" spans="1:20" x14ac:dyDescent="0.25">
      <c r="A136" s="178" t="str">
        <f t="shared" si="16"/>
        <v>CARF  300*16</v>
      </c>
      <c r="B136" s="180">
        <f t="shared" si="17"/>
        <v>134.05632298327023</v>
      </c>
      <c r="C136" s="179">
        <v>300</v>
      </c>
      <c r="D136" s="179"/>
      <c r="E136" s="179">
        <v>16</v>
      </c>
      <c r="F136" s="179">
        <f t="shared" si="18"/>
        <v>32</v>
      </c>
      <c r="G136" s="179">
        <f t="shared" si="19"/>
        <v>48</v>
      </c>
      <c r="H136" s="180">
        <f t="shared" si="21"/>
        <v>170.77238596594935</v>
      </c>
      <c r="I136" s="186">
        <v>21877</v>
      </c>
      <c r="J136" s="180">
        <f t="shared" si="15"/>
        <v>1458.4666666666667</v>
      </c>
      <c r="K136" s="179">
        <v>1767</v>
      </c>
      <c r="L136" s="180">
        <f t="shared" si="20"/>
        <v>11.318400576947388</v>
      </c>
      <c r="M136" s="186">
        <f t="shared" si="22"/>
        <v>65.28</v>
      </c>
      <c r="N136" s="186"/>
      <c r="O136" s="186"/>
      <c r="P136" s="186"/>
      <c r="Q136" s="186"/>
      <c r="R136" s="186"/>
      <c r="S136" s="186">
        <v>37837</v>
      </c>
      <c r="T136" s="183">
        <v>2299</v>
      </c>
    </row>
    <row r="137" spans="1:20" x14ac:dyDescent="0.25">
      <c r="A137" s="162" t="str">
        <f t="shared" si="16"/>
        <v>CARF  350*8</v>
      </c>
      <c r="B137" s="163">
        <f t="shared" si="17"/>
        <v>84.185344596654062</v>
      </c>
      <c r="C137" s="64">
        <v>350</v>
      </c>
      <c r="E137" s="64">
        <v>8</v>
      </c>
      <c r="F137" s="64">
        <f t="shared" si="18"/>
        <v>12</v>
      </c>
      <c r="G137" s="64">
        <f t="shared" si="19"/>
        <v>20</v>
      </c>
      <c r="H137" s="163">
        <f t="shared" si="21"/>
        <v>107.24247719318988</v>
      </c>
      <c r="I137" s="187">
        <v>20660</v>
      </c>
      <c r="J137" s="163">
        <f t="shared" si="15"/>
        <v>1180.5714285714287</v>
      </c>
      <c r="K137" s="64">
        <v>1365</v>
      </c>
      <c r="L137" s="163">
        <f t="shared" si="20"/>
        <v>13.879753076227047</v>
      </c>
      <c r="M137" s="165">
        <f t="shared" si="22"/>
        <v>49.6</v>
      </c>
      <c r="N137" s="165"/>
      <c r="O137" s="165"/>
      <c r="P137" s="165"/>
      <c r="Q137" s="165"/>
      <c r="R137" s="165"/>
      <c r="S137" s="187">
        <v>32577</v>
      </c>
      <c r="T137" s="64">
        <v>1787</v>
      </c>
    </row>
    <row r="138" spans="1:20" x14ac:dyDescent="0.25">
      <c r="A138" s="162" t="str">
        <f t="shared" si="16"/>
        <v>CARF  350*10</v>
      </c>
      <c r="B138" s="163">
        <f t="shared" si="17"/>
        <v>104.06460093227194</v>
      </c>
      <c r="C138" s="64">
        <v>350</v>
      </c>
      <c r="E138" s="64">
        <v>10</v>
      </c>
      <c r="F138" s="64">
        <f t="shared" si="18"/>
        <v>15</v>
      </c>
      <c r="G138" s="64">
        <f t="shared" si="19"/>
        <v>25</v>
      </c>
      <c r="H138" s="163">
        <f t="shared" si="21"/>
        <v>132.56637061435916</v>
      </c>
      <c r="I138" s="187">
        <v>25148</v>
      </c>
      <c r="J138" s="163">
        <f t="shared" si="15"/>
        <v>1437.0285714285715</v>
      </c>
      <c r="K138" s="64">
        <v>1674</v>
      </c>
      <c r="L138" s="163">
        <f t="shared" si="20"/>
        <v>13.773205985865605</v>
      </c>
      <c r="M138" s="165">
        <f t="shared" si="22"/>
        <v>60</v>
      </c>
      <c r="N138" s="165"/>
      <c r="O138" s="165"/>
      <c r="P138" s="165"/>
      <c r="Q138" s="165"/>
      <c r="R138" s="165"/>
      <c r="S138" s="187">
        <v>40127</v>
      </c>
      <c r="T138" s="64">
        <v>2182</v>
      </c>
    </row>
    <row r="139" spans="1:20" x14ac:dyDescent="0.25">
      <c r="A139" s="162" t="str">
        <f t="shared" si="16"/>
        <v>CARF  350*12</v>
      </c>
      <c r="B139" s="163">
        <f t="shared" si="17"/>
        <v>122.50668167808952</v>
      </c>
      <c r="C139" s="64">
        <v>350</v>
      </c>
      <c r="E139" s="64">
        <v>12</v>
      </c>
      <c r="F139" s="64">
        <f t="shared" si="18"/>
        <v>24</v>
      </c>
      <c r="G139" s="64">
        <f t="shared" si="19"/>
        <v>36</v>
      </c>
      <c r="H139" s="163">
        <f t="shared" si="21"/>
        <v>156.05946710584652</v>
      </c>
      <c r="I139" s="187">
        <v>28954</v>
      </c>
      <c r="J139" s="163">
        <f t="shared" si="15"/>
        <v>1654.5142857142857</v>
      </c>
      <c r="K139" s="64">
        <v>1946</v>
      </c>
      <c r="L139" s="163">
        <f t="shared" si="20"/>
        <v>13.621007285708819</v>
      </c>
      <c r="M139" s="165">
        <f t="shared" si="22"/>
        <v>66.72</v>
      </c>
      <c r="N139" s="165"/>
      <c r="O139" s="165"/>
      <c r="P139" s="165"/>
      <c r="Q139" s="165"/>
      <c r="R139" s="165"/>
      <c r="S139" s="187">
        <v>47598</v>
      </c>
      <c r="T139" s="64">
        <v>2552</v>
      </c>
    </row>
    <row r="140" spans="1:20" x14ac:dyDescent="0.25">
      <c r="A140" s="162" t="str">
        <f t="shared" si="16"/>
        <v>CARF  350*12.5</v>
      </c>
      <c r="B140" s="163">
        <f t="shared" si="17"/>
        <v>127.20429869584365</v>
      </c>
      <c r="C140" s="64">
        <v>350</v>
      </c>
      <c r="E140" s="64">
        <v>12.5</v>
      </c>
      <c r="F140" s="64">
        <f t="shared" si="18"/>
        <v>25</v>
      </c>
      <c r="G140" s="64">
        <f t="shared" si="19"/>
        <v>37.5</v>
      </c>
      <c r="H140" s="163">
        <f t="shared" si="21"/>
        <v>162.04369260617025</v>
      </c>
      <c r="I140" s="187">
        <v>29932</v>
      </c>
      <c r="J140" s="163">
        <f t="shared" si="15"/>
        <v>1710.4</v>
      </c>
      <c r="K140" s="64">
        <v>2016</v>
      </c>
      <c r="L140" s="163">
        <f t="shared" si="20"/>
        <v>13.591012211114407</v>
      </c>
      <c r="M140" s="165">
        <f t="shared" si="22"/>
        <v>68.75</v>
      </c>
      <c r="N140" s="165"/>
      <c r="O140" s="165"/>
      <c r="P140" s="165"/>
      <c r="Q140" s="165"/>
      <c r="R140" s="165"/>
      <c r="S140" s="187">
        <v>49393</v>
      </c>
      <c r="T140" s="64">
        <v>2642</v>
      </c>
    </row>
    <row r="141" spans="1:20" x14ac:dyDescent="0.25">
      <c r="A141" s="162" t="str">
        <f t="shared" si="16"/>
        <v>CARF  350*16</v>
      </c>
      <c r="B141" s="163">
        <f t="shared" si="17"/>
        <v>159.17632298327024</v>
      </c>
      <c r="C141" s="64">
        <v>350</v>
      </c>
      <c r="E141" s="64">
        <v>16</v>
      </c>
      <c r="F141" s="64">
        <f t="shared" si="18"/>
        <v>32</v>
      </c>
      <c r="G141" s="64">
        <f t="shared" si="19"/>
        <v>48</v>
      </c>
      <c r="H141" s="163">
        <f t="shared" si="21"/>
        <v>202.77238596594935</v>
      </c>
      <c r="I141" s="187">
        <v>36277</v>
      </c>
      <c r="J141" s="163">
        <f t="shared" si="15"/>
        <v>2072.9714285714285</v>
      </c>
      <c r="K141" s="64">
        <v>2481</v>
      </c>
      <c r="L141" s="163">
        <f t="shared" si="20"/>
        <v>13.375538531733842</v>
      </c>
      <c r="M141" s="165">
        <f t="shared" si="22"/>
        <v>81.28</v>
      </c>
      <c r="N141" s="165"/>
      <c r="O141" s="165"/>
      <c r="P141" s="165"/>
      <c r="Q141" s="165"/>
      <c r="R141" s="165"/>
      <c r="S141" s="187">
        <v>61481</v>
      </c>
      <c r="T141" s="64">
        <v>3238</v>
      </c>
    </row>
    <row r="142" spans="1:20" x14ac:dyDescent="0.25">
      <c r="A142" s="166" t="str">
        <f t="shared" si="16"/>
        <v>CARF  400*10</v>
      </c>
      <c r="B142" s="168">
        <f t="shared" si="17"/>
        <v>119.76460093227195</v>
      </c>
      <c r="C142" s="167">
        <v>400</v>
      </c>
      <c r="D142" s="167"/>
      <c r="E142" s="167">
        <v>10</v>
      </c>
      <c r="F142" s="167">
        <f t="shared" si="18"/>
        <v>15</v>
      </c>
      <c r="G142" s="167">
        <f t="shared" si="19"/>
        <v>25</v>
      </c>
      <c r="H142" s="168">
        <f t="shared" si="21"/>
        <v>152.56637061435916</v>
      </c>
      <c r="I142" s="184">
        <v>38169</v>
      </c>
      <c r="J142" s="168">
        <f t="shared" si="15"/>
        <v>1908.45</v>
      </c>
      <c r="K142" s="167">
        <v>2213</v>
      </c>
      <c r="L142" s="168">
        <f t="shared" si="20"/>
        <v>15.817068063361127</v>
      </c>
      <c r="M142" s="184">
        <f t="shared" si="22"/>
        <v>70</v>
      </c>
      <c r="N142" s="184"/>
      <c r="O142" s="184"/>
      <c r="P142" s="184"/>
      <c r="Q142" s="184"/>
      <c r="R142" s="184"/>
      <c r="S142" s="184">
        <v>60431</v>
      </c>
      <c r="T142" s="171">
        <v>2892</v>
      </c>
    </row>
    <row r="143" spans="1:20" x14ac:dyDescent="0.25">
      <c r="A143" s="172" t="str">
        <f t="shared" si="16"/>
        <v>CARF  400*12</v>
      </c>
      <c r="B143" s="174">
        <f t="shared" si="17"/>
        <v>141.34668167808951</v>
      </c>
      <c r="C143" s="173">
        <v>400</v>
      </c>
      <c r="D143" s="173"/>
      <c r="E143" s="173">
        <v>12</v>
      </c>
      <c r="F143" s="173">
        <f t="shared" si="18"/>
        <v>24</v>
      </c>
      <c r="G143" s="173">
        <f t="shared" si="19"/>
        <v>36</v>
      </c>
      <c r="H143" s="174">
        <f t="shared" si="21"/>
        <v>180.05946710584652</v>
      </c>
      <c r="I143" s="185">
        <v>44204</v>
      </c>
      <c r="J143" s="174">
        <f t="shared" si="15"/>
        <v>2210.1999999999998</v>
      </c>
      <c r="K143" s="173">
        <v>2584</v>
      </c>
      <c r="L143" s="174">
        <f t="shared" si="20"/>
        <v>15.668333426124926</v>
      </c>
      <c r="M143" s="185">
        <f t="shared" si="22"/>
        <v>78.72</v>
      </c>
      <c r="N143" s="185"/>
      <c r="O143" s="185"/>
      <c r="P143" s="185"/>
      <c r="Q143" s="185"/>
      <c r="R143" s="185"/>
      <c r="S143" s="185">
        <v>71843</v>
      </c>
      <c r="T143" s="177">
        <v>3395</v>
      </c>
    </row>
    <row r="144" spans="1:20" x14ac:dyDescent="0.25">
      <c r="A144" s="172" t="str">
        <f t="shared" si="16"/>
        <v>CARF  400*12.5</v>
      </c>
      <c r="B144" s="174">
        <f t="shared" si="17"/>
        <v>146.82929869584365</v>
      </c>
      <c r="C144" s="173">
        <v>400</v>
      </c>
      <c r="D144" s="173"/>
      <c r="E144" s="173">
        <v>12.5</v>
      </c>
      <c r="F144" s="173">
        <f t="shared" si="18"/>
        <v>25</v>
      </c>
      <c r="G144" s="173">
        <f t="shared" si="19"/>
        <v>37.5</v>
      </c>
      <c r="H144" s="174">
        <f t="shared" si="21"/>
        <v>187.04369260617025</v>
      </c>
      <c r="I144" s="185">
        <v>45746</v>
      </c>
      <c r="J144" s="174">
        <f t="shared" si="15"/>
        <v>2287.3000000000002</v>
      </c>
      <c r="K144" s="173">
        <v>2679</v>
      </c>
      <c r="L144" s="174">
        <f t="shared" si="20"/>
        <v>15.638857735918283</v>
      </c>
      <c r="M144" s="185">
        <f t="shared" si="22"/>
        <v>81.25</v>
      </c>
      <c r="N144" s="185"/>
      <c r="O144" s="185"/>
      <c r="P144" s="185"/>
      <c r="Q144" s="185"/>
      <c r="R144" s="185"/>
      <c r="S144" s="185">
        <v>74598</v>
      </c>
      <c r="T144" s="177">
        <v>3518</v>
      </c>
    </row>
    <row r="145" spans="1:20" ht="15.75" thickBot="1" x14ac:dyDescent="0.3">
      <c r="A145" s="172" t="str">
        <f t="shared" si="16"/>
        <v>CARF  400*16</v>
      </c>
      <c r="B145" s="174">
        <f t="shared" si="17"/>
        <v>184.29632298327024</v>
      </c>
      <c r="C145" s="173">
        <v>400</v>
      </c>
      <c r="D145" s="173"/>
      <c r="E145" s="173">
        <v>16</v>
      </c>
      <c r="F145" s="173">
        <f t="shared" si="18"/>
        <v>32</v>
      </c>
      <c r="G145" s="173">
        <f t="shared" si="19"/>
        <v>48</v>
      </c>
      <c r="H145" s="174">
        <f t="shared" si="21"/>
        <v>234.77238596594935</v>
      </c>
      <c r="I145" s="185">
        <v>55884</v>
      </c>
      <c r="J145" s="174">
        <f t="shared" ref="J145" si="23">I145/(0.5*C145*0.1)</f>
        <v>2794.2</v>
      </c>
      <c r="K145" s="173">
        <v>3315</v>
      </c>
      <c r="L145" s="174">
        <f t="shared" si="20"/>
        <v>15.428376738303486</v>
      </c>
      <c r="M145" s="185">
        <f t="shared" si="22"/>
        <v>97.28</v>
      </c>
      <c r="N145" s="185"/>
      <c r="O145" s="185"/>
      <c r="P145" s="185"/>
      <c r="Q145" s="185"/>
      <c r="R145" s="185"/>
      <c r="S145" s="185">
        <v>93279</v>
      </c>
      <c r="T145" s="177">
        <v>4336</v>
      </c>
    </row>
    <row r="146" spans="1:20" ht="16.5" thickBot="1" x14ac:dyDescent="0.3">
      <c r="A146" s="157"/>
      <c r="B146" s="158" t="s">
        <v>416</v>
      </c>
      <c r="C146" s="159"/>
      <c r="D146" s="159"/>
      <c r="E146" s="159"/>
      <c r="F146" s="159"/>
      <c r="G146" s="159"/>
      <c r="H146" s="159"/>
      <c r="I146" s="159"/>
      <c r="J146" s="159"/>
      <c r="K146" s="159"/>
      <c r="L146" s="159"/>
      <c r="M146" s="159"/>
      <c r="N146" s="159"/>
      <c r="O146" s="159"/>
      <c r="P146" s="159"/>
      <c r="Q146" s="159"/>
      <c r="R146" s="159"/>
      <c r="S146" s="159"/>
      <c r="T146" s="160"/>
    </row>
    <row r="147" spans="1:20" x14ac:dyDescent="0.25">
      <c r="A147" s="162" t="str">
        <f>$B$146&amp;"  "&amp;C147&amp;"*"&amp;E147</f>
        <v>CARC  40*2.6</v>
      </c>
      <c r="B147" s="163">
        <f>(H147*7850)/10000</f>
        <v>2.8371976946942459</v>
      </c>
      <c r="C147" s="64">
        <v>40</v>
      </c>
      <c r="E147" s="64">
        <v>2.6</v>
      </c>
      <c r="F147" s="64">
        <f>1*E147</f>
        <v>2.6</v>
      </c>
      <c r="G147" s="64">
        <f>1.5*E147</f>
        <v>3.9000000000000004</v>
      </c>
      <c r="H147" s="163">
        <f t="shared" ref="H147:H206" si="24">(4*(C147-2*G147)*E147+PI()*(G147^2-F147^2))*0.01</f>
        <v>3.6142645792283385</v>
      </c>
      <c r="I147" s="64">
        <v>8.8000000000000007</v>
      </c>
      <c r="J147" s="163">
        <f t="shared" ref="J147:J206" si="25">I147/(0.5*C147*0.1)</f>
        <v>4.4000000000000004</v>
      </c>
      <c r="K147" s="64">
        <v>5.31</v>
      </c>
      <c r="L147" s="163">
        <f>SQRT(I147/H147)</f>
        <v>1.5603835575016916</v>
      </c>
      <c r="M147" s="188">
        <f t="shared" ref="M147:M210" si="26">2*(C147-2*G147)*E147*0.01</f>
        <v>1.6744000000000003</v>
      </c>
      <c r="N147" s="188"/>
      <c r="O147" s="188"/>
      <c r="P147" s="188"/>
      <c r="Q147" s="188"/>
      <c r="R147" s="188"/>
      <c r="S147" s="64">
        <v>14</v>
      </c>
      <c r="T147" s="64">
        <v>6.41</v>
      </c>
    </row>
    <row r="148" spans="1:20" x14ac:dyDescent="0.25">
      <c r="A148" s="162" t="str">
        <f t="shared" ref="A148:A238" si="27">$B$146&amp;"  "&amp;C148&amp;"*"&amp;E148</f>
        <v>CARC  40*3.2</v>
      </c>
      <c r="B148" s="163">
        <f t="shared" ref="B148:B190" si="28">(H148*7850)/10000</f>
        <v>3.370259229832703</v>
      </c>
      <c r="C148" s="64">
        <v>40</v>
      </c>
      <c r="E148" s="64">
        <v>3.2</v>
      </c>
      <c r="F148" s="64">
        <f>1*E148</f>
        <v>3.2</v>
      </c>
      <c r="G148" s="64">
        <f>1.5*E148</f>
        <v>4.8000000000000007</v>
      </c>
      <c r="H148" s="163">
        <f>(4*(C148-2*G148)*E148+PI()*(G148^2-F148^2))*0.01</f>
        <v>4.2933238596594938</v>
      </c>
      <c r="I148" s="64">
        <v>10.199999999999999</v>
      </c>
      <c r="J148" s="163">
        <f>I148/(0.5*C148*0.1)</f>
        <v>5.0999999999999996</v>
      </c>
      <c r="K148" s="64">
        <v>6.28</v>
      </c>
      <c r="L148" s="163">
        <f>SQRT(I148/H148)</f>
        <v>1.5413570773567649</v>
      </c>
      <c r="M148" s="188">
        <f t="shared" si="26"/>
        <v>1.9456</v>
      </c>
      <c r="N148" s="188"/>
      <c r="O148" s="188"/>
      <c r="P148" s="188"/>
      <c r="Q148" s="188"/>
      <c r="R148" s="188"/>
      <c r="S148" s="64">
        <v>16.5</v>
      </c>
      <c r="T148" s="64">
        <v>7.42</v>
      </c>
    </row>
    <row r="149" spans="1:20" x14ac:dyDescent="0.25">
      <c r="A149" s="162" t="str">
        <f t="shared" si="27"/>
        <v>CARC  40*4</v>
      </c>
      <c r="B149" s="163">
        <f t="shared" si="28"/>
        <v>4.0100300466135979</v>
      </c>
      <c r="C149" s="64">
        <v>40</v>
      </c>
      <c r="E149" s="64">
        <v>4</v>
      </c>
      <c r="F149" s="64">
        <f t="shared" ref="F149:F238" si="29">1*E149</f>
        <v>4</v>
      </c>
      <c r="G149" s="64">
        <f t="shared" ref="G149:G238" si="30">1.5*E149</f>
        <v>6</v>
      </c>
      <c r="H149" s="163">
        <f t="shared" si="24"/>
        <v>5.108318530717959</v>
      </c>
      <c r="I149" s="64">
        <v>11.8</v>
      </c>
      <c r="J149" s="163">
        <f t="shared" si="25"/>
        <v>5.9</v>
      </c>
      <c r="K149" s="64">
        <v>7.44</v>
      </c>
      <c r="L149" s="163">
        <f t="shared" ref="L149:L238" si="31">SQRT(I149/H149)</f>
        <v>1.5198545173841318</v>
      </c>
      <c r="M149" s="188">
        <f t="shared" si="26"/>
        <v>2.2400000000000002</v>
      </c>
      <c r="N149" s="188"/>
      <c r="O149" s="188"/>
      <c r="P149" s="188"/>
      <c r="Q149" s="188"/>
      <c r="R149" s="188"/>
      <c r="S149" s="64">
        <v>19.5</v>
      </c>
      <c r="T149" s="64">
        <v>8.5399999999999991</v>
      </c>
    </row>
    <row r="150" spans="1:20" x14ac:dyDescent="0.25">
      <c r="A150" s="162" t="str">
        <f>$B$146&amp;"  "&amp;C150&amp;"*"&amp;E150</f>
        <v>CARC  40*5</v>
      </c>
      <c r="B150" s="163">
        <f>(H150*7850)/10000</f>
        <v>4.6956719478337465</v>
      </c>
      <c r="C150" s="64">
        <v>40</v>
      </c>
      <c r="E150" s="64">
        <v>5</v>
      </c>
      <c r="F150" s="64">
        <f>1*E150</f>
        <v>5</v>
      </c>
      <c r="G150" s="64">
        <f>1.5*E150</f>
        <v>7.5</v>
      </c>
      <c r="H150" s="163">
        <f>(4*(C150-2*G150)*E150+PI()*(G150^2-F150^2))*0.01</f>
        <v>5.9817477042468106</v>
      </c>
      <c r="I150" s="64">
        <v>13.4</v>
      </c>
      <c r="J150" s="163">
        <f>I150/(0.5*C150*0.1)</f>
        <v>6.7</v>
      </c>
      <c r="K150" s="64">
        <v>8.66</v>
      </c>
      <c r="L150" s="163">
        <f>SQRT(I150/H150)</f>
        <v>1.4967123885007869</v>
      </c>
      <c r="M150" s="188">
        <f t="shared" si="26"/>
        <v>2.5</v>
      </c>
      <c r="N150" s="188"/>
      <c r="O150" s="188"/>
      <c r="P150" s="188"/>
      <c r="Q150" s="188"/>
      <c r="R150" s="188"/>
      <c r="S150" s="64">
        <v>22.5</v>
      </c>
      <c r="T150" s="64">
        <v>9.6</v>
      </c>
    </row>
    <row r="151" spans="1:20" x14ac:dyDescent="0.25">
      <c r="A151" s="166" t="str">
        <f t="shared" si="27"/>
        <v>CARC  50*2.6</v>
      </c>
      <c r="B151" s="168">
        <f t="shared" si="28"/>
        <v>3.6535976946942457</v>
      </c>
      <c r="C151" s="167">
        <v>50</v>
      </c>
      <c r="D151" s="167"/>
      <c r="E151" s="167">
        <v>2.6</v>
      </c>
      <c r="F151" s="167">
        <f t="shared" si="29"/>
        <v>2.6</v>
      </c>
      <c r="G151" s="167">
        <f t="shared" si="30"/>
        <v>3.9000000000000004</v>
      </c>
      <c r="H151" s="168">
        <f t="shared" si="24"/>
        <v>4.6542645792283386</v>
      </c>
      <c r="I151" s="167">
        <v>18</v>
      </c>
      <c r="J151" s="168">
        <f t="shared" si="25"/>
        <v>7.2</v>
      </c>
      <c r="K151" s="167">
        <v>5.58</v>
      </c>
      <c r="L151" s="168">
        <f t="shared" si="31"/>
        <v>1.9665759270443677</v>
      </c>
      <c r="M151" s="170">
        <f t="shared" si="26"/>
        <v>2.1944000000000004</v>
      </c>
      <c r="N151" s="170"/>
      <c r="O151" s="170"/>
      <c r="P151" s="170"/>
      <c r="Q151" s="170"/>
      <c r="R151" s="170"/>
      <c r="S151" s="167">
        <v>28.4</v>
      </c>
      <c r="T151" s="171">
        <v>10.6</v>
      </c>
    </row>
    <row r="152" spans="1:20" x14ac:dyDescent="0.25">
      <c r="A152" s="172" t="str">
        <f>$B$146&amp;"  "&amp;C152&amp;"*"&amp;E152</f>
        <v>CARC  50*3.2</v>
      </c>
      <c r="B152" s="174">
        <f>(H152*7850)/10000</f>
        <v>4.3750592298327025</v>
      </c>
      <c r="C152" s="173">
        <v>50</v>
      </c>
      <c r="D152" s="173"/>
      <c r="E152" s="173">
        <v>3.2</v>
      </c>
      <c r="F152" s="173">
        <f>1*E152</f>
        <v>3.2</v>
      </c>
      <c r="G152" s="173">
        <f>1.5*E152</f>
        <v>4.8000000000000007</v>
      </c>
      <c r="H152" s="174">
        <f>(4*(C152-2*G152)*E152+PI()*(G152^2-F152^2))*0.01</f>
        <v>5.5733238596594941</v>
      </c>
      <c r="I152" s="173">
        <v>21.2</v>
      </c>
      <c r="J152" s="174">
        <f>I152/(0.5*C152*0.1)</f>
        <v>8.48</v>
      </c>
      <c r="K152" s="173">
        <v>10.199999999999999</v>
      </c>
      <c r="L152" s="174">
        <f>SQRT(I152/H152)</f>
        <v>1.950342076928232</v>
      </c>
      <c r="M152" s="176">
        <f t="shared" si="26"/>
        <v>2.5855999999999999</v>
      </c>
      <c r="N152" s="176"/>
      <c r="O152" s="176"/>
      <c r="P152" s="176"/>
      <c r="Q152" s="176"/>
      <c r="R152" s="176"/>
      <c r="S152" s="173">
        <v>33.799999999999997</v>
      </c>
      <c r="T152" s="177">
        <v>12.4</v>
      </c>
    </row>
    <row r="153" spans="1:20" x14ac:dyDescent="0.25">
      <c r="A153" s="172" t="str">
        <f t="shared" si="27"/>
        <v>CARC  50*4</v>
      </c>
      <c r="B153" s="174">
        <f t="shared" si="28"/>
        <v>5.2660300466135972</v>
      </c>
      <c r="C153" s="173">
        <v>50</v>
      </c>
      <c r="D153" s="173"/>
      <c r="E153" s="173">
        <v>4</v>
      </c>
      <c r="F153" s="173">
        <f t="shared" si="29"/>
        <v>4</v>
      </c>
      <c r="G153" s="173">
        <f t="shared" si="30"/>
        <v>6</v>
      </c>
      <c r="H153" s="174">
        <f t="shared" si="24"/>
        <v>6.7083185307179587</v>
      </c>
      <c r="I153" s="173">
        <v>25</v>
      </c>
      <c r="J153" s="174">
        <f t="shared" si="25"/>
        <v>10</v>
      </c>
      <c r="K153" s="173">
        <v>12.3</v>
      </c>
      <c r="L153" s="174">
        <f t="shared" si="31"/>
        <v>1.9304704861536361</v>
      </c>
      <c r="M153" s="176">
        <f t="shared" si="26"/>
        <v>3.04</v>
      </c>
      <c r="N153" s="176"/>
      <c r="O153" s="176"/>
      <c r="P153" s="176"/>
      <c r="Q153" s="176"/>
      <c r="R153" s="176"/>
      <c r="S153" s="173">
        <v>40.4</v>
      </c>
      <c r="T153" s="177">
        <v>14.5</v>
      </c>
    </row>
    <row r="154" spans="1:20" x14ac:dyDescent="0.25">
      <c r="A154" s="172" t="str">
        <f t="shared" si="27"/>
        <v>CARC  50*5</v>
      </c>
      <c r="B154" s="174">
        <f t="shared" si="28"/>
        <v>6.2656719478337468</v>
      </c>
      <c r="C154" s="173">
        <v>50</v>
      </c>
      <c r="D154" s="173"/>
      <c r="E154" s="173">
        <v>5</v>
      </c>
      <c r="F154" s="173">
        <f t="shared" si="29"/>
        <v>5</v>
      </c>
      <c r="G154" s="173">
        <f t="shared" si="30"/>
        <v>7.5</v>
      </c>
      <c r="H154" s="174">
        <f t="shared" si="24"/>
        <v>7.9817477042468106</v>
      </c>
      <c r="I154" s="173">
        <v>28.9</v>
      </c>
      <c r="J154" s="174">
        <f t="shared" si="25"/>
        <v>11.559999999999999</v>
      </c>
      <c r="K154" s="173">
        <v>14.5</v>
      </c>
      <c r="L154" s="174">
        <f t="shared" si="31"/>
        <v>1.9028297085786354</v>
      </c>
      <c r="M154" s="176">
        <f t="shared" si="26"/>
        <v>3.5</v>
      </c>
      <c r="N154" s="176"/>
      <c r="O154" s="176"/>
      <c r="P154" s="176"/>
      <c r="Q154" s="176"/>
      <c r="R154" s="176"/>
      <c r="S154" s="173">
        <v>47.6</v>
      </c>
      <c r="T154" s="177">
        <v>16.7</v>
      </c>
    </row>
    <row r="155" spans="1:20" x14ac:dyDescent="0.25">
      <c r="A155" s="178" t="str">
        <f t="shared" si="27"/>
        <v>CARC  50*6.3</v>
      </c>
      <c r="B155" s="180">
        <f t="shared" si="28"/>
        <v>7.3757207843808557</v>
      </c>
      <c r="C155" s="179">
        <v>50</v>
      </c>
      <c r="D155" s="179"/>
      <c r="E155" s="179">
        <v>6.3</v>
      </c>
      <c r="F155" s="179">
        <f t="shared" si="29"/>
        <v>6.3</v>
      </c>
      <c r="G155" s="179">
        <f t="shared" si="30"/>
        <v>9.4499999999999993</v>
      </c>
      <c r="H155" s="180">
        <f t="shared" si="24"/>
        <v>9.3958226552622364</v>
      </c>
      <c r="I155" s="179">
        <v>32.799999999999997</v>
      </c>
      <c r="J155" s="180">
        <f t="shared" si="25"/>
        <v>13.12</v>
      </c>
      <c r="K155" s="179">
        <v>17</v>
      </c>
      <c r="L155" s="180">
        <f t="shared" si="31"/>
        <v>1.8683985276762396</v>
      </c>
      <c r="M155" s="182">
        <f t="shared" si="26"/>
        <v>3.9186000000000001</v>
      </c>
      <c r="N155" s="182"/>
      <c r="O155" s="182"/>
      <c r="P155" s="182"/>
      <c r="Q155" s="182"/>
      <c r="R155" s="182"/>
      <c r="S155" s="179">
        <v>55.2</v>
      </c>
      <c r="T155" s="183">
        <v>18.8</v>
      </c>
    </row>
    <row r="156" spans="1:20" x14ac:dyDescent="0.25">
      <c r="A156" s="162" t="str">
        <f>$B$146&amp;"  "&amp;C156&amp;"*"&amp;E156</f>
        <v>CARC  60*2.6</v>
      </c>
      <c r="B156" s="163">
        <f>(H156*7850)/10000</f>
        <v>4.4699976946942446</v>
      </c>
      <c r="C156" s="64">
        <v>60</v>
      </c>
      <c r="E156" s="64">
        <v>2.6</v>
      </c>
      <c r="F156" s="64">
        <f>1*E156</f>
        <v>2.6</v>
      </c>
      <c r="G156" s="64">
        <f>1.5*E156</f>
        <v>3.9000000000000004</v>
      </c>
      <c r="H156" s="163">
        <f>(4*(C156-2*G156)*E156+PI()*(G156^2-F156^2))*0.01</f>
        <v>5.6942645792283377</v>
      </c>
      <c r="I156" s="64">
        <v>32.200000000000003</v>
      </c>
      <c r="J156" s="163">
        <f>I156/(0.5*C156*0.1)</f>
        <v>10.733333333333334</v>
      </c>
      <c r="K156" s="64">
        <v>12.6</v>
      </c>
      <c r="L156" s="163">
        <f>SQRT(I156/H156)</f>
        <v>2.3779850209258555</v>
      </c>
      <c r="M156" s="188">
        <f t="shared" si="26"/>
        <v>2.7143999999999999</v>
      </c>
      <c r="N156" s="188"/>
      <c r="O156" s="188"/>
      <c r="P156" s="188"/>
      <c r="Q156" s="188"/>
      <c r="R156" s="188"/>
      <c r="S156" s="64">
        <v>50.2</v>
      </c>
      <c r="T156" s="64">
        <v>15.7</v>
      </c>
    </row>
    <row r="157" spans="1:20" x14ac:dyDescent="0.25">
      <c r="A157" s="162" t="str">
        <f t="shared" si="27"/>
        <v>CARC  60*3.2</v>
      </c>
      <c r="B157" s="163">
        <f t="shared" si="28"/>
        <v>5.3798592298327019</v>
      </c>
      <c r="C157" s="64">
        <v>60</v>
      </c>
      <c r="E157" s="64">
        <v>3.2</v>
      </c>
      <c r="F157" s="64">
        <f t="shared" si="29"/>
        <v>3.2</v>
      </c>
      <c r="G157" s="64">
        <f t="shared" si="30"/>
        <v>4.8000000000000007</v>
      </c>
      <c r="H157" s="163">
        <f t="shared" si="24"/>
        <v>6.8533238596594934</v>
      </c>
      <c r="I157" s="64">
        <v>38.200000000000003</v>
      </c>
      <c r="J157" s="163">
        <f t="shared" si="25"/>
        <v>12.733333333333334</v>
      </c>
      <c r="K157" s="64">
        <v>15.2</v>
      </c>
      <c r="L157" s="163">
        <f t="shared" si="31"/>
        <v>2.36091881821392</v>
      </c>
      <c r="M157" s="188">
        <f t="shared" si="26"/>
        <v>3.2256</v>
      </c>
      <c r="N157" s="188"/>
      <c r="O157" s="188"/>
      <c r="P157" s="188"/>
      <c r="Q157" s="188"/>
      <c r="R157" s="188"/>
      <c r="S157" s="64">
        <v>60.2</v>
      </c>
      <c r="T157" s="64">
        <v>18.600000000000001</v>
      </c>
    </row>
    <row r="158" spans="1:20" x14ac:dyDescent="0.25">
      <c r="A158" s="162" t="str">
        <f t="shared" si="27"/>
        <v>CARC  60*4</v>
      </c>
      <c r="B158" s="163">
        <f t="shared" si="28"/>
        <v>6.5220300466135974</v>
      </c>
      <c r="C158" s="64">
        <v>60</v>
      </c>
      <c r="E158" s="64">
        <v>4</v>
      </c>
      <c r="F158" s="64">
        <f t="shared" si="29"/>
        <v>4</v>
      </c>
      <c r="G158" s="64">
        <f t="shared" si="30"/>
        <v>6</v>
      </c>
      <c r="H158" s="163">
        <f t="shared" si="24"/>
        <v>8.3083185307179583</v>
      </c>
      <c r="I158" s="64">
        <v>45.4</v>
      </c>
      <c r="J158" s="163">
        <f t="shared" si="25"/>
        <v>15.133333333333333</v>
      </c>
      <c r="K158" s="64">
        <v>18.3</v>
      </c>
      <c r="L158" s="163">
        <f t="shared" si="31"/>
        <v>2.3376062361399264</v>
      </c>
      <c r="M158" s="188">
        <f t="shared" si="26"/>
        <v>3.84</v>
      </c>
      <c r="N158" s="188"/>
      <c r="O158" s="188"/>
      <c r="P158" s="188"/>
      <c r="Q158" s="188"/>
      <c r="R158" s="188"/>
      <c r="S158" s="64">
        <v>72.5</v>
      </c>
      <c r="T158" s="64">
        <v>22</v>
      </c>
    </row>
    <row r="159" spans="1:20" x14ac:dyDescent="0.25">
      <c r="A159" s="162" t="str">
        <f t="shared" si="27"/>
        <v>CARC  60*5</v>
      </c>
      <c r="B159" s="163">
        <f t="shared" si="28"/>
        <v>7.8356719478337462</v>
      </c>
      <c r="C159" s="64">
        <v>60</v>
      </c>
      <c r="E159" s="64">
        <v>5</v>
      </c>
      <c r="F159" s="64">
        <f t="shared" si="29"/>
        <v>5</v>
      </c>
      <c r="G159" s="64">
        <f t="shared" si="30"/>
        <v>7.5</v>
      </c>
      <c r="H159" s="163">
        <f t="shared" si="24"/>
        <v>9.9817477042468106</v>
      </c>
      <c r="I159" s="64">
        <v>53.3</v>
      </c>
      <c r="J159" s="163">
        <f t="shared" si="25"/>
        <v>17.766666666666666</v>
      </c>
      <c r="K159" s="64">
        <v>21.9</v>
      </c>
      <c r="L159" s="163">
        <f t="shared" si="31"/>
        <v>2.3107890995942419</v>
      </c>
      <c r="M159" s="188">
        <f t="shared" si="26"/>
        <v>4.5</v>
      </c>
      <c r="N159" s="188"/>
      <c r="O159" s="188"/>
      <c r="P159" s="188"/>
      <c r="Q159" s="188"/>
      <c r="R159" s="188"/>
      <c r="S159" s="64">
        <v>86.4</v>
      </c>
      <c r="T159" s="64">
        <v>25.7</v>
      </c>
    </row>
    <row r="160" spans="1:20" x14ac:dyDescent="0.25">
      <c r="A160" s="162" t="str">
        <f>$B$146&amp;"  "&amp;C160&amp;"*"&amp;E160</f>
        <v>CARC  60*6.3</v>
      </c>
      <c r="B160" s="163">
        <f>(H160*7850)/10000</f>
        <v>9.3539207843808558</v>
      </c>
      <c r="C160" s="64">
        <v>60</v>
      </c>
      <c r="E160" s="64">
        <v>6.3</v>
      </c>
      <c r="F160" s="64">
        <f>1*E160</f>
        <v>6.3</v>
      </c>
      <c r="G160" s="64">
        <f>1.5*E160</f>
        <v>9.4499999999999993</v>
      </c>
      <c r="H160" s="163">
        <f>(4*(C160-2*G160)*E160+PI()*(G160^2-F160^2))*0.01</f>
        <v>11.915822655262236</v>
      </c>
      <c r="I160" s="64">
        <v>61.6</v>
      </c>
      <c r="J160" s="163">
        <f>I160/(0.5*C160*0.1)</f>
        <v>20.533333333333335</v>
      </c>
      <c r="K160" s="64">
        <v>26</v>
      </c>
      <c r="L160" s="163">
        <f>SQRT(I160/H160)</f>
        <v>2.2736747594550994</v>
      </c>
      <c r="M160" s="188">
        <f t="shared" si="26"/>
        <v>5.1786000000000003</v>
      </c>
      <c r="N160" s="188"/>
      <c r="O160" s="188"/>
      <c r="P160" s="188"/>
      <c r="Q160" s="188"/>
      <c r="R160" s="188"/>
      <c r="S160" s="64">
        <v>102</v>
      </c>
      <c r="T160" s="64">
        <v>29.6</v>
      </c>
    </row>
    <row r="161" spans="1:20" x14ac:dyDescent="0.25">
      <c r="A161" s="162" t="str">
        <f>$B$146&amp;"  "&amp;C161&amp;"*"&amp;E161</f>
        <v>CARC  60*8</v>
      </c>
      <c r="B161" s="163">
        <f>(H161*7850)/10000</f>
        <v>11.016120186454391</v>
      </c>
      <c r="C161" s="64">
        <v>60</v>
      </c>
      <c r="E161" s="64">
        <v>8</v>
      </c>
      <c r="F161" s="64">
        <f>1*E161</f>
        <v>8</v>
      </c>
      <c r="G161" s="64">
        <f>1.5*E161</f>
        <v>12</v>
      </c>
      <c r="H161" s="163">
        <f>(4*(C161-2*G161)*E161+PI()*(G161^2-F161^2))*0.01</f>
        <v>14.033274122871836</v>
      </c>
      <c r="I161" s="64">
        <v>69.7</v>
      </c>
      <c r="J161" s="163">
        <f>I161/(0.5*C161*0.1)</f>
        <v>23.233333333333334</v>
      </c>
      <c r="K161" s="64">
        <v>30.4</v>
      </c>
      <c r="L161" s="163">
        <f>SQRT(I161/H161)</f>
        <v>2.2286244186435762</v>
      </c>
      <c r="M161" s="188">
        <f t="shared" si="26"/>
        <v>5.76</v>
      </c>
      <c r="N161" s="188"/>
      <c r="O161" s="188"/>
      <c r="P161" s="188"/>
      <c r="Q161" s="188"/>
      <c r="R161" s="188"/>
      <c r="S161" s="64">
        <v>118</v>
      </c>
      <c r="T161" s="64">
        <v>33.4</v>
      </c>
    </row>
    <row r="162" spans="1:20" x14ac:dyDescent="0.25">
      <c r="A162" s="166" t="str">
        <f>$B$146&amp;"  "&amp;C162&amp;"*"&amp;E162</f>
        <v>CARC  70*3.2</v>
      </c>
      <c r="B162" s="168">
        <f>(H162*7850)/10000</f>
        <v>6.3846592298327032</v>
      </c>
      <c r="C162" s="167">
        <v>70</v>
      </c>
      <c r="D162" s="167"/>
      <c r="E162" s="167">
        <v>3.2</v>
      </c>
      <c r="F162" s="167">
        <f>1*E162</f>
        <v>3.2</v>
      </c>
      <c r="G162" s="167">
        <f>1.5*E162</f>
        <v>4.8000000000000007</v>
      </c>
      <c r="H162" s="168">
        <f>(4*(C162-2*G162)*E162+PI()*(G162^2-F162^2))*0.01</f>
        <v>8.1333238596594946</v>
      </c>
      <c r="I162" s="167">
        <v>62.3</v>
      </c>
      <c r="J162" s="168">
        <f>I162/(0.5*C162*0.1)</f>
        <v>17.8</v>
      </c>
      <c r="K162" s="167">
        <v>21</v>
      </c>
      <c r="L162" s="168">
        <f>SQRT(I162/H162)</f>
        <v>2.7676424963730946</v>
      </c>
      <c r="M162" s="170">
        <f t="shared" si="26"/>
        <v>3.8656000000000001</v>
      </c>
      <c r="N162" s="170"/>
      <c r="O162" s="170"/>
      <c r="P162" s="170"/>
      <c r="Q162" s="170"/>
      <c r="R162" s="170"/>
      <c r="S162" s="167">
        <v>97.6</v>
      </c>
      <c r="T162" s="171">
        <v>26.1</v>
      </c>
    </row>
    <row r="163" spans="1:20" x14ac:dyDescent="0.25">
      <c r="A163" s="172" t="str">
        <f t="shared" si="27"/>
        <v>CARC  70*4</v>
      </c>
      <c r="B163" s="174">
        <f t="shared" si="28"/>
        <v>7.7780300466135985</v>
      </c>
      <c r="C163" s="173">
        <v>70</v>
      </c>
      <c r="D163" s="173"/>
      <c r="E163" s="173">
        <v>4</v>
      </c>
      <c r="F163" s="173">
        <f t="shared" si="29"/>
        <v>4</v>
      </c>
      <c r="G163" s="173">
        <f t="shared" si="30"/>
        <v>6</v>
      </c>
      <c r="H163" s="174">
        <f t="shared" si="24"/>
        <v>9.9083185307179598</v>
      </c>
      <c r="I163" s="173">
        <v>74.7</v>
      </c>
      <c r="J163" s="174">
        <f t="shared" si="25"/>
        <v>21.342857142857145</v>
      </c>
      <c r="K163" s="173">
        <v>25.5</v>
      </c>
      <c r="L163" s="174">
        <f t="shared" si="31"/>
        <v>2.7457457561921932</v>
      </c>
      <c r="M163" s="176">
        <f t="shared" si="26"/>
        <v>4.6399999999999997</v>
      </c>
      <c r="N163" s="176"/>
      <c r="O163" s="176"/>
      <c r="P163" s="176"/>
      <c r="Q163" s="176"/>
      <c r="R163" s="176"/>
      <c r="S163" s="173">
        <v>118</v>
      </c>
      <c r="T163" s="177">
        <v>31.2</v>
      </c>
    </row>
    <row r="164" spans="1:20" x14ac:dyDescent="0.25">
      <c r="A164" s="172" t="str">
        <f t="shared" si="27"/>
        <v>CARC  70*5</v>
      </c>
      <c r="B164" s="174">
        <f t="shared" si="28"/>
        <v>9.4056719478337474</v>
      </c>
      <c r="C164" s="173">
        <v>70</v>
      </c>
      <c r="D164" s="173"/>
      <c r="E164" s="173">
        <v>5</v>
      </c>
      <c r="F164" s="173">
        <f t="shared" si="29"/>
        <v>5</v>
      </c>
      <c r="G164" s="173">
        <f t="shared" si="30"/>
        <v>7.5</v>
      </c>
      <c r="H164" s="174">
        <f t="shared" si="24"/>
        <v>11.981747704246812</v>
      </c>
      <c r="I164" s="173">
        <v>88.5</v>
      </c>
      <c r="J164" s="174">
        <f t="shared" si="25"/>
        <v>25.285714285714285</v>
      </c>
      <c r="K164" s="173">
        <v>30.8</v>
      </c>
      <c r="L164" s="174">
        <f t="shared" si="31"/>
        <v>2.7177628014484299</v>
      </c>
      <c r="M164" s="176">
        <f t="shared" si="26"/>
        <v>5.5</v>
      </c>
      <c r="N164" s="176"/>
      <c r="O164" s="176"/>
      <c r="P164" s="176"/>
      <c r="Q164" s="176"/>
      <c r="R164" s="176"/>
      <c r="S164" s="173">
        <v>142</v>
      </c>
      <c r="T164" s="177">
        <v>36.799999999999997</v>
      </c>
    </row>
    <row r="165" spans="1:20" x14ac:dyDescent="0.25">
      <c r="A165" s="172" t="str">
        <f>$B$146&amp;"  "&amp;C165&amp;"*"&amp;E165</f>
        <v>CARC  70*6.3</v>
      </c>
      <c r="B165" s="174">
        <f>(H165*7850)/10000</f>
        <v>11.332120784380855</v>
      </c>
      <c r="C165" s="173">
        <v>70</v>
      </c>
      <c r="D165" s="173"/>
      <c r="E165" s="173">
        <v>6.3</v>
      </c>
      <c r="F165" s="173">
        <f>1*E165</f>
        <v>6.3</v>
      </c>
      <c r="G165" s="173">
        <f>1.5*E165</f>
        <v>9.4499999999999993</v>
      </c>
      <c r="H165" s="174">
        <f>(4*(C165-2*G165)*E165+PI()*(G165^2-F165^2))*0.01</f>
        <v>14.435822655262237</v>
      </c>
      <c r="I165" s="173">
        <v>104</v>
      </c>
      <c r="J165" s="174">
        <f>I165/(0.5*C165*0.1)</f>
        <v>29.714285714285715</v>
      </c>
      <c r="K165" s="173">
        <v>36.9</v>
      </c>
      <c r="L165" s="174">
        <f>SQRT(I165/H165)</f>
        <v>2.6840827478037994</v>
      </c>
      <c r="M165" s="176">
        <f t="shared" si="26"/>
        <v>6.4386000000000001</v>
      </c>
      <c r="N165" s="176"/>
      <c r="O165" s="176"/>
      <c r="P165" s="176"/>
      <c r="Q165" s="176"/>
      <c r="R165" s="176"/>
      <c r="S165" s="173">
        <v>169</v>
      </c>
      <c r="T165" s="177">
        <v>42.9</v>
      </c>
    </row>
    <row r="166" spans="1:20" x14ac:dyDescent="0.25">
      <c r="A166" s="178" t="str">
        <f>$B$146&amp;"  "&amp;C166&amp;"*"&amp;E166</f>
        <v>CARC  70*8</v>
      </c>
      <c r="B166" s="180">
        <f>(H166*7850)/10000</f>
        <v>13.528120186454393</v>
      </c>
      <c r="C166" s="179">
        <v>70</v>
      </c>
      <c r="D166" s="179"/>
      <c r="E166" s="179">
        <v>8</v>
      </c>
      <c r="F166" s="179">
        <f>1*E166</f>
        <v>8</v>
      </c>
      <c r="G166" s="179">
        <f>1.5*E166</f>
        <v>12</v>
      </c>
      <c r="H166" s="180">
        <f>(4*(C166-2*G166)*E166+PI()*(G166^2-F166^2))*0.01</f>
        <v>17.233274122871837</v>
      </c>
      <c r="I166" s="179">
        <v>120</v>
      </c>
      <c r="J166" s="180">
        <f>I166/(0.5*C166*0.1)</f>
        <v>34.285714285714285</v>
      </c>
      <c r="K166" s="179">
        <v>43.8</v>
      </c>
      <c r="L166" s="180">
        <f>SQRT(I166/H166)</f>
        <v>2.6388015160156582</v>
      </c>
      <c r="M166" s="182">
        <f t="shared" si="26"/>
        <v>7.36</v>
      </c>
      <c r="N166" s="182"/>
      <c r="O166" s="182"/>
      <c r="P166" s="182"/>
      <c r="Q166" s="182"/>
      <c r="R166" s="182"/>
      <c r="S166" s="179">
        <v>200</v>
      </c>
      <c r="T166" s="183">
        <v>49.2</v>
      </c>
    </row>
    <row r="167" spans="1:20" x14ac:dyDescent="0.25">
      <c r="A167" s="162" t="str">
        <f>$B$146&amp;"  "&amp;C167&amp;"*"&amp;E167</f>
        <v>CARC  80*3.2</v>
      </c>
      <c r="B167" s="163">
        <f>(H167*7850)/10000</f>
        <v>7.3894592298327044</v>
      </c>
      <c r="C167" s="64">
        <v>80</v>
      </c>
      <c r="E167" s="64">
        <v>3.2</v>
      </c>
      <c r="F167" s="64">
        <f>1*E167</f>
        <v>3.2</v>
      </c>
      <c r="G167" s="64">
        <f>1.5*E167</f>
        <v>4.8000000000000007</v>
      </c>
      <c r="H167" s="163">
        <f>(4*(C167-2*G167)*E167+PI()*(G167^2-F167^2))*0.01</f>
        <v>9.4133238596594957</v>
      </c>
      <c r="I167" s="64">
        <v>95</v>
      </c>
      <c r="J167" s="163">
        <f>I167/(0.5*C167*0.1)</f>
        <v>23.75</v>
      </c>
      <c r="K167" s="64">
        <v>27.9</v>
      </c>
      <c r="L167" s="163">
        <f>SQRT(I167/H167)</f>
        <v>3.1768031329369522</v>
      </c>
      <c r="M167" s="188">
        <f t="shared" si="26"/>
        <v>4.5056000000000003</v>
      </c>
      <c r="N167" s="188"/>
      <c r="O167" s="188"/>
      <c r="P167" s="188"/>
      <c r="Q167" s="188"/>
      <c r="R167" s="188"/>
      <c r="S167" s="64">
        <v>148</v>
      </c>
      <c r="T167" s="64">
        <v>34.9</v>
      </c>
    </row>
    <row r="168" spans="1:20" x14ac:dyDescent="0.25">
      <c r="A168" s="162" t="str">
        <f t="shared" si="27"/>
        <v>CARC  80*4</v>
      </c>
      <c r="B168" s="163">
        <f t="shared" si="28"/>
        <v>9.0340300466135997</v>
      </c>
      <c r="C168" s="64">
        <v>80</v>
      </c>
      <c r="E168" s="64">
        <v>4</v>
      </c>
      <c r="F168" s="64">
        <f t="shared" si="29"/>
        <v>4</v>
      </c>
      <c r="G168" s="64">
        <f t="shared" si="30"/>
        <v>6</v>
      </c>
      <c r="H168" s="163">
        <f t="shared" si="24"/>
        <v>11.508318530717959</v>
      </c>
      <c r="I168" s="64">
        <v>114</v>
      </c>
      <c r="J168" s="163">
        <f t="shared" si="25"/>
        <v>28.5</v>
      </c>
      <c r="K168" s="64">
        <v>34</v>
      </c>
      <c r="L168" s="163">
        <f t="shared" si="31"/>
        <v>3.1473604903860952</v>
      </c>
      <c r="M168" s="188">
        <f t="shared" si="26"/>
        <v>5.44</v>
      </c>
      <c r="N168" s="188"/>
      <c r="O168" s="188"/>
      <c r="P168" s="188"/>
      <c r="Q168" s="188"/>
      <c r="R168" s="188"/>
      <c r="S168" s="64">
        <v>180</v>
      </c>
      <c r="T168" s="64">
        <v>41.9</v>
      </c>
    </row>
    <row r="169" spans="1:20" x14ac:dyDescent="0.25">
      <c r="A169" s="162" t="str">
        <f t="shared" si="27"/>
        <v>CARC  80*5</v>
      </c>
      <c r="B169" s="163">
        <f t="shared" si="28"/>
        <v>10.975671947833748</v>
      </c>
      <c r="C169" s="64">
        <v>80</v>
      </c>
      <c r="E169" s="64">
        <v>5</v>
      </c>
      <c r="F169" s="64">
        <f t="shared" si="29"/>
        <v>5</v>
      </c>
      <c r="G169" s="64">
        <f t="shared" si="30"/>
        <v>7.5</v>
      </c>
      <c r="H169" s="163">
        <f t="shared" si="24"/>
        <v>13.981747704246812</v>
      </c>
      <c r="I169" s="64">
        <v>137</v>
      </c>
      <c r="J169" s="163">
        <f t="shared" si="25"/>
        <v>34.25</v>
      </c>
      <c r="K169" s="64">
        <v>41.1</v>
      </c>
      <c r="L169" s="163">
        <f t="shared" si="31"/>
        <v>3.1302538112262601</v>
      </c>
      <c r="M169" s="188">
        <f t="shared" si="26"/>
        <v>6.5</v>
      </c>
      <c r="N169" s="188"/>
      <c r="O169" s="188"/>
      <c r="P169" s="188"/>
      <c r="Q169" s="188"/>
      <c r="R169" s="188"/>
      <c r="S169" s="64">
        <v>217</v>
      </c>
      <c r="T169" s="64">
        <v>49.8</v>
      </c>
    </row>
    <row r="170" spans="1:20" x14ac:dyDescent="0.25">
      <c r="A170" s="162" t="str">
        <f t="shared" si="27"/>
        <v>CARC  80*6.3</v>
      </c>
      <c r="B170" s="163">
        <f t="shared" si="28"/>
        <v>13.310320784380854</v>
      </c>
      <c r="C170" s="64">
        <v>80</v>
      </c>
      <c r="E170" s="64">
        <v>6.3</v>
      </c>
      <c r="F170" s="64">
        <f t="shared" si="29"/>
        <v>6.3</v>
      </c>
      <c r="G170" s="64">
        <f t="shared" si="30"/>
        <v>9.4499999999999993</v>
      </c>
      <c r="H170" s="163">
        <f t="shared" si="24"/>
        <v>16.955822655262235</v>
      </c>
      <c r="I170" s="64">
        <v>162</v>
      </c>
      <c r="J170" s="163">
        <f t="shared" si="25"/>
        <v>40.5</v>
      </c>
      <c r="K170" s="64">
        <v>49.7</v>
      </c>
      <c r="L170" s="163">
        <f t="shared" si="31"/>
        <v>3.0909933769380529</v>
      </c>
      <c r="M170" s="188">
        <f t="shared" si="26"/>
        <v>7.6985999999999999</v>
      </c>
      <c r="N170" s="188"/>
      <c r="O170" s="188"/>
      <c r="P170" s="188"/>
      <c r="Q170" s="188"/>
      <c r="R170" s="188"/>
      <c r="S170" s="64">
        <v>262</v>
      </c>
      <c r="T170" s="64">
        <v>58.7</v>
      </c>
    </row>
    <row r="171" spans="1:20" x14ac:dyDescent="0.25">
      <c r="A171" s="162" t="str">
        <f t="shared" si="27"/>
        <v>CARC  80*8</v>
      </c>
      <c r="B171" s="163">
        <f t="shared" si="28"/>
        <v>16.040120186454391</v>
      </c>
      <c r="C171" s="64">
        <v>80</v>
      </c>
      <c r="E171" s="64">
        <v>8</v>
      </c>
      <c r="F171" s="64">
        <f t="shared" si="29"/>
        <v>8</v>
      </c>
      <c r="G171" s="64">
        <f t="shared" si="30"/>
        <v>12</v>
      </c>
      <c r="H171" s="163">
        <f t="shared" si="24"/>
        <v>20.433274122871836</v>
      </c>
      <c r="I171" s="64">
        <v>189</v>
      </c>
      <c r="J171" s="163">
        <f t="shared" si="25"/>
        <v>47.25</v>
      </c>
      <c r="K171" s="64">
        <v>39.5</v>
      </c>
      <c r="L171" s="163">
        <f t="shared" si="31"/>
        <v>3.0413186239913452</v>
      </c>
      <c r="M171" s="188">
        <f t="shared" si="26"/>
        <v>8.9600000000000009</v>
      </c>
      <c r="N171" s="188"/>
      <c r="O171" s="188"/>
      <c r="P171" s="188"/>
      <c r="Q171" s="188"/>
      <c r="R171" s="188"/>
      <c r="S171" s="64">
        <v>312</v>
      </c>
      <c r="T171" s="64">
        <v>68.3</v>
      </c>
    </row>
    <row r="172" spans="1:20" x14ac:dyDescent="0.25">
      <c r="A172" s="166" t="str">
        <f t="shared" si="27"/>
        <v>CARC  90*4</v>
      </c>
      <c r="B172" s="168">
        <f t="shared" si="28"/>
        <v>10.290030046613598</v>
      </c>
      <c r="C172" s="167">
        <v>90</v>
      </c>
      <c r="D172" s="167"/>
      <c r="E172" s="167">
        <v>4</v>
      </c>
      <c r="F172" s="167">
        <f t="shared" si="29"/>
        <v>4</v>
      </c>
      <c r="G172" s="167">
        <f t="shared" si="30"/>
        <v>6</v>
      </c>
      <c r="H172" s="168">
        <f t="shared" si="24"/>
        <v>13.108318530717959</v>
      </c>
      <c r="I172" s="167">
        <v>166</v>
      </c>
      <c r="J172" s="168">
        <f t="shared" si="25"/>
        <v>36.888888888888886</v>
      </c>
      <c r="K172" s="167">
        <v>43.6</v>
      </c>
      <c r="L172" s="168">
        <f t="shared" si="31"/>
        <v>3.5586112792710942</v>
      </c>
      <c r="M172" s="170">
        <f t="shared" si="26"/>
        <v>6.24</v>
      </c>
      <c r="N172" s="170"/>
      <c r="O172" s="170"/>
      <c r="P172" s="170"/>
      <c r="Q172" s="170"/>
      <c r="R172" s="170"/>
      <c r="S172" s="167">
        <v>260</v>
      </c>
      <c r="T172" s="171">
        <v>54.2</v>
      </c>
    </row>
    <row r="173" spans="1:20" x14ac:dyDescent="0.25">
      <c r="A173" s="172" t="str">
        <f t="shared" si="27"/>
        <v>CARC  90*5</v>
      </c>
      <c r="B173" s="174">
        <f t="shared" si="28"/>
        <v>12.545671947833748</v>
      </c>
      <c r="C173" s="173">
        <v>90</v>
      </c>
      <c r="D173" s="173"/>
      <c r="E173" s="173">
        <v>5</v>
      </c>
      <c r="F173" s="173">
        <f t="shared" si="29"/>
        <v>5</v>
      </c>
      <c r="G173" s="173">
        <f t="shared" si="30"/>
        <v>7.5</v>
      </c>
      <c r="H173" s="174">
        <f t="shared" si="24"/>
        <v>15.981747704246812</v>
      </c>
      <c r="I173" s="173">
        <v>200</v>
      </c>
      <c r="J173" s="174">
        <f t="shared" si="25"/>
        <v>44.444444444444443</v>
      </c>
      <c r="K173" s="173">
        <v>53</v>
      </c>
      <c r="L173" s="174">
        <f t="shared" si="31"/>
        <v>3.5375522457688651</v>
      </c>
      <c r="M173" s="176">
        <f t="shared" si="26"/>
        <v>7.5</v>
      </c>
      <c r="N173" s="176"/>
      <c r="O173" s="176"/>
      <c r="P173" s="176"/>
      <c r="Q173" s="176"/>
      <c r="R173" s="176"/>
      <c r="S173" s="173">
        <v>316</v>
      </c>
      <c r="T173" s="177">
        <v>64.8</v>
      </c>
    </row>
    <row r="174" spans="1:20" x14ac:dyDescent="0.25">
      <c r="A174" s="172" t="str">
        <f>$B$146&amp;"  "&amp;C174&amp;"*"&amp;E174</f>
        <v>CARC  90*6.3</v>
      </c>
      <c r="B174" s="174">
        <f>(H174*7850)/10000</f>
        <v>15.288520784380854</v>
      </c>
      <c r="C174" s="173">
        <v>90</v>
      </c>
      <c r="D174" s="173"/>
      <c r="E174" s="173">
        <v>6.3</v>
      </c>
      <c r="F174" s="173">
        <f>1*E174</f>
        <v>6.3</v>
      </c>
      <c r="G174" s="173">
        <f>1.5*E174</f>
        <v>9.4499999999999993</v>
      </c>
      <c r="H174" s="174">
        <f>(4*(C174-2*G174)*E174+PI()*(G174^2-F174^2))*0.01</f>
        <v>19.475822655262235</v>
      </c>
      <c r="I174" s="173">
        <v>238</v>
      </c>
      <c r="J174" s="174">
        <f>I174/(0.5*C174*0.1)</f>
        <v>52.888888888888886</v>
      </c>
      <c r="K174" s="173">
        <v>64.3</v>
      </c>
      <c r="L174" s="174">
        <f>SQRT(I174/H174)</f>
        <v>3.4957516627956897</v>
      </c>
      <c r="M174" s="176">
        <f t="shared" si="26"/>
        <v>8.9585999999999988</v>
      </c>
      <c r="N174" s="176"/>
      <c r="O174" s="176"/>
      <c r="P174" s="176"/>
      <c r="Q174" s="176"/>
      <c r="R174" s="176"/>
      <c r="S174" s="173">
        <v>382</v>
      </c>
      <c r="T174" s="177">
        <v>77</v>
      </c>
    </row>
    <row r="175" spans="1:20" x14ac:dyDescent="0.25">
      <c r="A175" s="178" t="str">
        <f t="shared" si="27"/>
        <v>CARC  90*8</v>
      </c>
      <c r="B175" s="180">
        <f t="shared" si="28"/>
        <v>18.552120186454388</v>
      </c>
      <c r="C175" s="179">
        <v>90</v>
      </c>
      <c r="D175" s="179"/>
      <c r="E175" s="179">
        <v>8</v>
      </c>
      <c r="F175" s="179">
        <f t="shared" si="29"/>
        <v>8</v>
      </c>
      <c r="G175" s="179">
        <f t="shared" si="30"/>
        <v>12</v>
      </c>
      <c r="H175" s="180">
        <f t="shared" si="24"/>
        <v>23.633274122871835</v>
      </c>
      <c r="I175" s="179">
        <v>281</v>
      </c>
      <c r="J175" s="180">
        <f t="shared" si="25"/>
        <v>62.444444444444443</v>
      </c>
      <c r="K175" s="179">
        <v>77.599999999999994</v>
      </c>
      <c r="L175" s="180">
        <f t="shared" si="31"/>
        <v>3.4481902042412766</v>
      </c>
      <c r="M175" s="182">
        <f t="shared" si="26"/>
        <v>10.56</v>
      </c>
      <c r="N175" s="182"/>
      <c r="O175" s="182"/>
      <c r="P175" s="182"/>
      <c r="Q175" s="182"/>
      <c r="R175" s="182"/>
      <c r="S175" s="179">
        <v>459</v>
      </c>
      <c r="T175" s="183">
        <v>90.5</v>
      </c>
    </row>
    <row r="176" spans="1:20" x14ac:dyDescent="0.25">
      <c r="A176" s="162" t="str">
        <f t="shared" si="27"/>
        <v>CARC  100*4</v>
      </c>
      <c r="B176" s="163">
        <f t="shared" si="28"/>
        <v>11.546030046613597</v>
      </c>
      <c r="C176" s="64">
        <v>100</v>
      </c>
      <c r="E176" s="64">
        <v>4</v>
      </c>
      <c r="F176" s="64">
        <f t="shared" si="29"/>
        <v>4</v>
      </c>
      <c r="G176" s="64">
        <f t="shared" si="30"/>
        <v>6</v>
      </c>
      <c r="H176" s="163">
        <f t="shared" si="24"/>
        <v>14.708318530717959</v>
      </c>
      <c r="I176" s="64">
        <v>232</v>
      </c>
      <c r="J176" s="163">
        <f t="shared" si="25"/>
        <v>46.4</v>
      </c>
      <c r="K176" s="64">
        <v>54.4</v>
      </c>
      <c r="L176" s="163">
        <f t="shared" si="31"/>
        <v>3.9715723560464053</v>
      </c>
      <c r="M176" s="188">
        <f t="shared" si="26"/>
        <v>7.04</v>
      </c>
      <c r="N176" s="188"/>
      <c r="O176" s="188"/>
      <c r="P176" s="188"/>
      <c r="Q176" s="188"/>
      <c r="R176" s="188"/>
      <c r="S176" s="64">
        <v>361</v>
      </c>
      <c r="T176" s="64">
        <v>68.2</v>
      </c>
    </row>
    <row r="177" spans="1:20" x14ac:dyDescent="0.25">
      <c r="A177" s="162" t="str">
        <f t="shared" si="27"/>
        <v>CARC  100*5</v>
      </c>
      <c r="B177" s="163">
        <f t="shared" si="28"/>
        <v>14.115671947833746</v>
      </c>
      <c r="C177" s="64">
        <v>100</v>
      </c>
      <c r="E177" s="64">
        <v>5</v>
      </c>
      <c r="F177" s="64">
        <f t="shared" si="29"/>
        <v>5</v>
      </c>
      <c r="G177" s="64">
        <f t="shared" si="30"/>
        <v>7.5</v>
      </c>
      <c r="H177" s="163">
        <f t="shared" si="24"/>
        <v>17.981747704246811</v>
      </c>
      <c r="I177" s="64">
        <v>279</v>
      </c>
      <c r="J177" s="163">
        <f t="shared" si="25"/>
        <v>55.8</v>
      </c>
      <c r="K177" s="64">
        <v>66.400000000000006</v>
      </c>
      <c r="L177" s="163">
        <f t="shared" si="31"/>
        <v>3.9390015496833954</v>
      </c>
      <c r="M177" s="188">
        <f t="shared" si="26"/>
        <v>8.5</v>
      </c>
      <c r="N177" s="188"/>
      <c r="O177" s="188"/>
      <c r="P177" s="188"/>
      <c r="Q177" s="188"/>
      <c r="R177" s="188"/>
      <c r="S177" s="64">
        <v>439</v>
      </c>
      <c r="T177" s="64">
        <v>81.8</v>
      </c>
    </row>
    <row r="178" spans="1:20" x14ac:dyDescent="0.25">
      <c r="A178" s="162" t="str">
        <f t="shared" si="27"/>
        <v>CARC  100*6.3</v>
      </c>
      <c r="B178" s="163">
        <f t="shared" si="28"/>
        <v>17.266720784380851</v>
      </c>
      <c r="C178" s="64">
        <v>100</v>
      </c>
      <c r="E178" s="64">
        <v>6.3</v>
      </c>
      <c r="F178" s="64">
        <f t="shared" si="29"/>
        <v>6.3</v>
      </c>
      <c r="G178" s="64">
        <f t="shared" si="30"/>
        <v>9.4499999999999993</v>
      </c>
      <c r="H178" s="163">
        <f t="shared" si="24"/>
        <v>21.995822655262231</v>
      </c>
      <c r="I178" s="64">
        <v>336</v>
      </c>
      <c r="J178" s="163">
        <f t="shared" si="25"/>
        <v>67.2</v>
      </c>
      <c r="K178" s="64">
        <v>80.900000000000006</v>
      </c>
      <c r="L178" s="163">
        <f t="shared" si="31"/>
        <v>3.908404763882106</v>
      </c>
      <c r="M178" s="188">
        <f t="shared" si="26"/>
        <v>10.218599999999999</v>
      </c>
      <c r="N178" s="188"/>
      <c r="O178" s="188"/>
      <c r="P178" s="188"/>
      <c r="Q178" s="188"/>
      <c r="R178" s="188"/>
      <c r="S178" s="64">
        <v>534</v>
      </c>
      <c r="T178" s="64">
        <v>97.8</v>
      </c>
    </row>
    <row r="179" spans="1:20" x14ac:dyDescent="0.25">
      <c r="A179" s="162" t="str">
        <f t="shared" si="27"/>
        <v>CARC  100*8</v>
      </c>
      <c r="B179" s="163">
        <f t="shared" si="28"/>
        <v>21.064120186454389</v>
      </c>
      <c r="C179" s="64">
        <v>100</v>
      </c>
      <c r="E179" s="64">
        <v>8</v>
      </c>
      <c r="F179" s="64">
        <f t="shared" si="29"/>
        <v>8</v>
      </c>
      <c r="G179" s="64">
        <f t="shared" si="30"/>
        <v>12</v>
      </c>
      <c r="H179" s="163">
        <f t="shared" si="24"/>
        <v>26.833274122871835</v>
      </c>
      <c r="I179" s="64">
        <v>400</v>
      </c>
      <c r="J179" s="163">
        <f t="shared" si="25"/>
        <v>80</v>
      </c>
      <c r="K179" s="64">
        <v>98.2</v>
      </c>
      <c r="L179" s="163">
        <f t="shared" si="31"/>
        <v>3.8609409723072723</v>
      </c>
      <c r="M179" s="188">
        <f t="shared" si="26"/>
        <v>12.16</v>
      </c>
      <c r="N179" s="188"/>
      <c r="O179" s="188"/>
      <c r="P179" s="188"/>
      <c r="Q179" s="188"/>
      <c r="R179" s="188"/>
      <c r="S179" s="64">
        <v>646</v>
      </c>
      <c r="T179" s="64">
        <v>116</v>
      </c>
    </row>
    <row r="180" spans="1:20" x14ac:dyDescent="0.25">
      <c r="A180" s="162" t="str">
        <f t="shared" si="27"/>
        <v>CARC  100*10</v>
      </c>
      <c r="B180" s="163">
        <f t="shared" si="28"/>
        <v>25.062687791334987</v>
      </c>
      <c r="C180" s="64">
        <v>100</v>
      </c>
      <c r="E180" s="64">
        <v>10</v>
      </c>
      <c r="F180" s="64">
        <f t="shared" si="29"/>
        <v>10</v>
      </c>
      <c r="G180" s="64">
        <f t="shared" si="30"/>
        <v>15</v>
      </c>
      <c r="H180" s="163">
        <f t="shared" si="24"/>
        <v>31.926990816987242</v>
      </c>
      <c r="I180" s="64">
        <v>462</v>
      </c>
      <c r="J180" s="163">
        <f t="shared" si="25"/>
        <v>92.4</v>
      </c>
      <c r="K180" s="64">
        <v>116</v>
      </c>
      <c r="L180" s="163">
        <f t="shared" si="31"/>
        <v>3.8040130145636031</v>
      </c>
      <c r="M180" s="188">
        <f t="shared" si="26"/>
        <v>14</v>
      </c>
      <c r="N180" s="188"/>
      <c r="O180" s="188"/>
      <c r="P180" s="188"/>
      <c r="Q180" s="188"/>
      <c r="R180" s="188"/>
      <c r="S180" s="64">
        <v>761</v>
      </c>
      <c r="T180" s="64">
        <v>133</v>
      </c>
    </row>
    <row r="181" spans="1:20" x14ac:dyDescent="0.25">
      <c r="A181" s="166" t="str">
        <f t="shared" si="27"/>
        <v>CARC  120*5</v>
      </c>
      <c r="B181" s="168">
        <f t="shared" si="28"/>
        <v>17.255671947833747</v>
      </c>
      <c r="C181" s="167">
        <v>120</v>
      </c>
      <c r="D181" s="167"/>
      <c r="E181" s="167">
        <v>5</v>
      </c>
      <c r="F181" s="167">
        <f t="shared" si="29"/>
        <v>5</v>
      </c>
      <c r="G181" s="167">
        <f t="shared" si="30"/>
        <v>7.5</v>
      </c>
      <c r="H181" s="168">
        <f t="shared" si="24"/>
        <v>21.981747704246811</v>
      </c>
      <c r="I181" s="184">
        <v>498</v>
      </c>
      <c r="J181" s="168">
        <f t="shared" si="25"/>
        <v>83</v>
      </c>
      <c r="K181" s="167">
        <v>97.6</v>
      </c>
      <c r="L181" s="168">
        <f t="shared" si="31"/>
        <v>4.7597436364847567</v>
      </c>
      <c r="M181" s="170">
        <f t="shared" si="26"/>
        <v>10.5</v>
      </c>
      <c r="N181" s="170"/>
      <c r="O181" s="170"/>
      <c r="P181" s="170"/>
      <c r="Q181" s="170"/>
      <c r="R181" s="170"/>
      <c r="S181" s="167">
        <v>777</v>
      </c>
      <c r="T181" s="171">
        <v>122</v>
      </c>
    </row>
    <row r="182" spans="1:20" x14ac:dyDescent="0.25">
      <c r="A182" s="172" t="str">
        <f t="shared" si="27"/>
        <v>CARC  120*6.3</v>
      </c>
      <c r="B182" s="174">
        <f t="shared" si="28"/>
        <v>21.223120784380853</v>
      </c>
      <c r="C182" s="173">
        <v>120</v>
      </c>
      <c r="D182" s="173"/>
      <c r="E182" s="173">
        <v>6.3</v>
      </c>
      <c r="F182" s="173">
        <f t="shared" si="29"/>
        <v>6.3</v>
      </c>
      <c r="G182" s="173">
        <f t="shared" si="30"/>
        <v>9.4499999999999993</v>
      </c>
      <c r="H182" s="174">
        <f t="shared" si="24"/>
        <v>27.035822655262233</v>
      </c>
      <c r="I182" s="185">
        <v>603</v>
      </c>
      <c r="J182" s="174">
        <f t="shared" si="25"/>
        <v>100.5</v>
      </c>
      <c r="K182" s="173">
        <v>120</v>
      </c>
      <c r="L182" s="174">
        <f t="shared" si="31"/>
        <v>4.7226837189793729</v>
      </c>
      <c r="M182" s="176">
        <f t="shared" si="26"/>
        <v>12.7386</v>
      </c>
      <c r="N182" s="176"/>
      <c r="O182" s="176"/>
      <c r="P182" s="176"/>
      <c r="Q182" s="176"/>
      <c r="R182" s="176"/>
      <c r="S182" s="173">
        <v>950</v>
      </c>
      <c r="T182" s="177">
        <v>147</v>
      </c>
    </row>
    <row r="183" spans="1:20" x14ac:dyDescent="0.25">
      <c r="A183" s="172" t="str">
        <f t="shared" si="27"/>
        <v>CARC  120*8</v>
      </c>
      <c r="B183" s="174">
        <f t="shared" si="28"/>
        <v>26.08812018645439</v>
      </c>
      <c r="C183" s="173">
        <v>120</v>
      </c>
      <c r="D183" s="173"/>
      <c r="E183" s="173">
        <v>8</v>
      </c>
      <c r="F183" s="173">
        <f t="shared" si="29"/>
        <v>8</v>
      </c>
      <c r="G183" s="173">
        <f t="shared" si="30"/>
        <v>12</v>
      </c>
      <c r="H183" s="174">
        <f t="shared" si="24"/>
        <v>33.233274122871833</v>
      </c>
      <c r="I183" s="185">
        <v>726</v>
      </c>
      <c r="J183" s="174">
        <f t="shared" si="25"/>
        <v>121</v>
      </c>
      <c r="K183" s="173">
        <v>146</v>
      </c>
      <c r="L183" s="174">
        <f t="shared" si="31"/>
        <v>4.6739250669209325</v>
      </c>
      <c r="M183" s="176">
        <f t="shared" si="26"/>
        <v>15.36</v>
      </c>
      <c r="N183" s="176"/>
      <c r="O183" s="176"/>
      <c r="P183" s="176"/>
      <c r="Q183" s="176"/>
      <c r="R183" s="176"/>
      <c r="S183" s="173">
        <v>1160</v>
      </c>
      <c r="T183" s="177">
        <v>176</v>
      </c>
    </row>
    <row r="184" spans="1:20" x14ac:dyDescent="0.25">
      <c r="A184" s="172" t="str">
        <f t="shared" si="27"/>
        <v>CARC  120*10</v>
      </c>
      <c r="B184" s="174">
        <f t="shared" si="28"/>
        <v>31.342687791334985</v>
      </c>
      <c r="C184" s="173">
        <v>120</v>
      </c>
      <c r="D184" s="173"/>
      <c r="E184" s="173">
        <v>10</v>
      </c>
      <c r="F184" s="173">
        <f t="shared" si="29"/>
        <v>10</v>
      </c>
      <c r="G184" s="173">
        <f t="shared" si="30"/>
        <v>15</v>
      </c>
      <c r="H184" s="174">
        <f t="shared" si="24"/>
        <v>39.926990816987242</v>
      </c>
      <c r="I184" s="185">
        <v>852</v>
      </c>
      <c r="J184" s="174">
        <f t="shared" si="25"/>
        <v>142</v>
      </c>
      <c r="K184" s="173">
        <v>175</v>
      </c>
      <c r="L184" s="174">
        <f t="shared" si="31"/>
        <v>4.6194099709672516</v>
      </c>
      <c r="M184" s="176">
        <f t="shared" si="26"/>
        <v>18</v>
      </c>
      <c r="N184" s="176"/>
      <c r="O184" s="176"/>
      <c r="P184" s="176"/>
      <c r="Q184" s="176"/>
      <c r="R184" s="176"/>
      <c r="S184" s="173">
        <v>1382</v>
      </c>
      <c r="T184" s="177">
        <v>206</v>
      </c>
    </row>
    <row r="185" spans="1:20" x14ac:dyDescent="0.25">
      <c r="A185" s="178" t="str">
        <f t="shared" si="27"/>
        <v>CARC  120*12.5</v>
      </c>
      <c r="B185" s="180">
        <f t="shared" si="28"/>
        <v>37.197949673960913</v>
      </c>
      <c r="C185" s="179">
        <v>120</v>
      </c>
      <c r="D185" s="179"/>
      <c r="E185" s="179">
        <v>12.5</v>
      </c>
      <c r="F185" s="179">
        <f t="shared" si="29"/>
        <v>12.5</v>
      </c>
      <c r="G185" s="179">
        <f t="shared" si="30"/>
        <v>18.75</v>
      </c>
      <c r="H185" s="180">
        <f t="shared" si="24"/>
        <v>47.385923151542563</v>
      </c>
      <c r="I185" s="186">
        <v>982</v>
      </c>
      <c r="J185" s="180">
        <f t="shared" si="25"/>
        <v>163.66666666666666</v>
      </c>
      <c r="K185" s="179">
        <v>207</v>
      </c>
      <c r="L185" s="180">
        <f t="shared" si="31"/>
        <v>4.5523020580677036</v>
      </c>
      <c r="M185" s="182">
        <f t="shared" si="26"/>
        <v>20.625</v>
      </c>
      <c r="N185" s="182"/>
      <c r="O185" s="182"/>
      <c r="P185" s="182"/>
      <c r="Q185" s="182"/>
      <c r="R185" s="182"/>
      <c r="S185" s="179">
        <v>1623</v>
      </c>
      <c r="T185" s="183">
        <v>236</v>
      </c>
    </row>
    <row r="186" spans="1:20" x14ac:dyDescent="0.25">
      <c r="A186" s="162" t="str">
        <f t="shared" si="27"/>
        <v>CARC  140*5</v>
      </c>
      <c r="B186" s="163">
        <f t="shared" si="28"/>
        <v>20.395671947833748</v>
      </c>
      <c r="C186" s="64">
        <v>140</v>
      </c>
      <c r="E186" s="64">
        <v>5</v>
      </c>
      <c r="F186" s="64">
        <f t="shared" si="29"/>
        <v>5</v>
      </c>
      <c r="G186" s="64">
        <f t="shared" si="30"/>
        <v>7.5</v>
      </c>
      <c r="H186" s="163">
        <f t="shared" si="24"/>
        <v>25.981747704246811</v>
      </c>
      <c r="I186" s="187">
        <v>807</v>
      </c>
      <c r="J186" s="163">
        <f t="shared" si="25"/>
        <v>115.28571428571429</v>
      </c>
      <c r="K186" s="64">
        <v>135</v>
      </c>
      <c r="L186" s="163">
        <f t="shared" si="31"/>
        <v>5.5731737994294894</v>
      </c>
      <c r="M186" s="188">
        <f t="shared" si="26"/>
        <v>12.5</v>
      </c>
      <c r="N186" s="188"/>
      <c r="O186" s="188"/>
      <c r="P186" s="188"/>
      <c r="Q186" s="188"/>
      <c r="R186" s="188"/>
      <c r="S186" s="64">
        <v>1253</v>
      </c>
      <c r="T186" s="64">
        <v>170</v>
      </c>
    </row>
    <row r="187" spans="1:20" x14ac:dyDescent="0.25">
      <c r="A187" s="162" t="str">
        <f t="shared" si="27"/>
        <v>CARC  140*6.3</v>
      </c>
      <c r="B187" s="163">
        <f t="shared" si="28"/>
        <v>25.179520784380848</v>
      </c>
      <c r="C187" s="64">
        <v>140</v>
      </c>
      <c r="E187" s="64">
        <v>6.3</v>
      </c>
      <c r="F187" s="64">
        <f t="shared" si="29"/>
        <v>6.3</v>
      </c>
      <c r="G187" s="64">
        <f t="shared" si="30"/>
        <v>9.4499999999999993</v>
      </c>
      <c r="H187" s="163">
        <f t="shared" si="24"/>
        <v>32.075822655262229</v>
      </c>
      <c r="I187" s="187">
        <v>984</v>
      </c>
      <c r="J187" s="163">
        <f t="shared" si="25"/>
        <v>140.57142857142858</v>
      </c>
      <c r="K187" s="64">
        <v>166</v>
      </c>
      <c r="L187" s="163">
        <f t="shared" si="31"/>
        <v>5.5387102650159044</v>
      </c>
      <c r="M187" s="188">
        <f t="shared" si="26"/>
        <v>15.258599999999999</v>
      </c>
      <c r="N187" s="188"/>
      <c r="O187" s="188"/>
      <c r="P187" s="188"/>
      <c r="Q187" s="188"/>
      <c r="R187" s="188"/>
      <c r="S187" s="64">
        <v>1540</v>
      </c>
      <c r="T187" s="64">
        <v>206</v>
      </c>
    </row>
    <row r="188" spans="1:20" x14ac:dyDescent="0.25">
      <c r="A188" s="162" t="str">
        <f t="shared" si="27"/>
        <v>CARC  140*8</v>
      </c>
      <c r="B188" s="163">
        <f t="shared" si="28"/>
        <v>31.112120186454394</v>
      </c>
      <c r="C188" s="64">
        <v>140</v>
      </c>
      <c r="E188" s="64">
        <v>8</v>
      </c>
      <c r="F188" s="64">
        <f t="shared" si="29"/>
        <v>8</v>
      </c>
      <c r="G188" s="64">
        <f t="shared" si="30"/>
        <v>12</v>
      </c>
      <c r="H188" s="163">
        <f t="shared" si="24"/>
        <v>39.633274122871839</v>
      </c>
      <c r="I188" s="187">
        <v>1195</v>
      </c>
      <c r="J188" s="163">
        <f t="shared" si="25"/>
        <v>170.71428571428572</v>
      </c>
      <c r="K188" s="64">
        <v>204</v>
      </c>
      <c r="L188" s="163">
        <f t="shared" si="31"/>
        <v>5.4910320310203735</v>
      </c>
      <c r="M188" s="188">
        <f t="shared" si="26"/>
        <v>18.559999999999999</v>
      </c>
      <c r="N188" s="188"/>
      <c r="O188" s="188"/>
      <c r="P188" s="188"/>
      <c r="Q188" s="188"/>
      <c r="R188" s="188"/>
      <c r="S188" s="64">
        <v>1892</v>
      </c>
      <c r="T188" s="64">
        <v>249</v>
      </c>
    </row>
    <row r="189" spans="1:20" x14ac:dyDescent="0.25">
      <c r="A189" s="162" t="str">
        <f t="shared" si="27"/>
        <v>CARC  140*10</v>
      </c>
      <c r="B189" s="163">
        <f t="shared" si="28"/>
        <v>37.62268779133499</v>
      </c>
      <c r="C189" s="64">
        <v>140</v>
      </c>
      <c r="E189" s="64">
        <v>10</v>
      </c>
      <c r="F189" s="64">
        <f t="shared" si="29"/>
        <v>10</v>
      </c>
      <c r="G189" s="64">
        <f t="shared" si="30"/>
        <v>15</v>
      </c>
      <c r="H189" s="163">
        <f t="shared" si="24"/>
        <v>47.926990816987249</v>
      </c>
      <c r="I189" s="187">
        <v>1416</v>
      </c>
      <c r="J189" s="163">
        <f t="shared" si="25"/>
        <v>202.28571428571428</v>
      </c>
      <c r="K189" s="64">
        <v>246</v>
      </c>
      <c r="L189" s="163">
        <f t="shared" si="31"/>
        <v>5.4355256028968597</v>
      </c>
      <c r="M189" s="188">
        <f t="shared" si="26"/>
        <v>22</v>
      </c>
      <c r="N189" s="188"/>
      <c r="O189" s="188"/>
      <c r="P189" s="188"/>
      <c r="Q189" s="188"/>
      <c r="R189" s="188"/>
      <c r="S189" s="64">
        <v>2272</v>
      </c>
      <c r="T189" s="64">
        <v>294</v>
      </c>
    </row>
    <row r="190" spans="1:20" x14ac:dyDescent="0.25">
      <c r="A190" s="162" t="str">
        <f t="shared" si="27"/>
        <v>CARC  140*12.5</v>
      </c>
      <c r="B190" s="163">
        <f t="shared" si="28"/>
        <v>45.047949673960908</v>
      </c>
      <c r="C190" s="64">
        <v>140</v>
      </c>
      <c r="E190" s="64">
        <v>12.5</v>
      </c>
      <c r="F190" s="64">
        <f t="shared" si="29"/>
        <v>12.5</v>
      </c>
      <c r="G190" s="64">
        <f t="shared" si="30"/>
        <v>18.75</v>
      </c>
      <c r="H190" s="163">
        <f t="shared" si="24"/>
        <v>57.385923151542563</v>
      </c>
      <c r="I190" s="187">
        <v>1653</v>
      </c>
      <c r="J190" s="163">
        <f t="shared" si="25"/>
        <v>236.14285714285714</v>
      </c>
      <c r="K190" s="64">
        <v>293</v>
      </c>
      <c r="L190" s="163">
        <f t="shared" si="31"/>
        <v>5.367026511556138</v>
      </c>
      <c r="M190" s="188">
        <f t="shared" si="26"/>
        <v>25.625</v>
      </c>
      <c r="N190" s="188"/>
      <c r="O190" s="188"/>
      <c r="P190" s="188"/>
      <c r="Q190" s="188"/>
      <c r="R190" s="188"/>
      <c r="S190" s="64">
        <v>2696</v>
      </c>
      <c r="T190" s="64">
        <v>342</v>
      </c>
    </row>
    <row r="191" spans="1:20" x14ac:dyDescent="0.25">
      <c r="A191" s="166" t="str">
        <f t="shared" si="27"/>
        <v>CARC  150*5</v>
      </c>
      <c r="B191" s="168">
        <f>(H191*7850)/10000</f>
        <v>21.965671947833748</v>
      </c>
      <c r="C191" s="167">
        <v>150</v>
      </c>
      <c r="D191" s="167"/>
      <c r="E191" s="167">
        <v>5</v>
      </c>
      <c r="F191" s="167">
        <f t="shared" si="29"/>
        <v>5</v>
      </c>
      <c r="G191" s="167">
        <f t="shared" si="30"/>
        <v>7.5</v>
      </c>
      <c r="H191" s="168">
        <f t="shared" si="24"/>
        <v>27.981747704246811</v>
      </c>
      <c r="I191" s="184">
        <v>1002</v>
      </c>
      <c r="J191" s="168">
        <f t="shared" si="25"/>
        <v>133.6</v>
      </c>
      <c r="K191" s="167">
        <v>156</v>
      </c>
      <c r="L191" s="168">
        <f t="shared" si="31"/>
        <v>5.9840669325777833</v>
      </c>
      <c r="M191" s="170">
        <f t="shared" si="26"/>
        <v>13.5</v>
      </c>
      <c r="N191" s="170"/>
      <c r="O191" s="170"/>
      <c r="P191" s="170"/>
      <c r="Q191" s="170"/>
      <c r="R191" s="170"/>
      <c r="S191" s="167">
        <v>1550</v>
      </c>
      <c r="T191" s="171">
        <v>197</v>
      </c>
    </row>
    <row r="192" spans="1:20" x14ac:dyDescent="0.25">
      <c r="A192" s="172" t="str">
        <f t="shared" si="27"/>
        <v>CARC  150*6.3</v>
      </c>
      <c r="B192" s="174">
        <f t="shared" ref="B192:B252" si="32">(H192*7850)/10000</f>
        <v>27.157720784380853</v>
      </c>
      <c r="C192" s="173">
        <v>150</v>
      </c>
      <c r="D192" s="173"/>
      <c r="E192" s="173">
        <v>6.3</v>
      </c>
      <c r="F192" s="173">
        <f t="shared" si="29"/>
        <v>6.3</v>
      </c>
      <c r="G192" s="173">
        <f t="shared" si="30"/>
        <v>9.4499999999999993</v>
      </c>
      <c r="H192" s="174">
        <f t="shared" si="24"/>
        <v>34.595822655262232</v>
      </c>
      <c r="I192" s="185">
        <v>1223</v>
      </c>
      <c r="J192" s="174">
        <f t="shared" si="25"/>
        <v>163.06666666666666</v>
      </c>
      <c r="K192" s="173">
        <v>192</v>
      </c>
      <c r="L192" s="174">
        <f t="shared" si="31"/>
        <v>5.9456781644169263</v>
      </c>
      <c r="M192" s="176">
        <f t="shared" si="26"/>
        <v>16.518599999999999</v>
      </c>
      <c r="N192" s="176"/>
      <c r="O192" s="176"/>
      <c r="P192" s="176"/>
      <c r="Q192" s="176"/>
      <c r="R192" s="176"/>
      <c r="S192" s="173">
        <v>1909</v>
      </c>
      <c r="T192" s="177">
        <v>240</v>
      </c>
    </row>
    <row r="193" spans="1:20" x14ac:dyDescent="0.25">
      <c r="A193" s="172" t="str">
        <f t="shared" si="27"/>
        <v>CARC  150*8</v>
      </c>
      <c r="B193" s="174">
        <f t="shared" si="32"/>
        <v>33.624120186454391</v>
      </c>
      <c r="C193" s="173">
        <v>150</v>
      </c>
      <c r="D193" s="173"/>
      <c r="E193" s="173">
        <v>8</v>
      </c>
      <c r="F193" s="173">
        <f t="shared" si="29"/>
        <v>8</v>
      </c>
      <c r="G193" s="173">
        <f t="shared" si="30"/>
        <v>12</v>
      </c>
      <c r="H193" s="174">
        <f t="shared" si="24"/>
        <v>42.833274122871835</v>
      </c>
      <c r="I193" s="185">
        <v>1491</v>
      </c>
      <c r="J193" s="174">
        <f t="shared" si="25"/>
        <v>198.8</v>
      </c>
      <c r="K193" s="173">
        <v>237</v>
      </c>
      <c r="L193" s="174">
        <f t="shared" si="31"/>
        <v>5.8999480201097061</v>
      </c>
      <c r="M193" s="176">
        <f t="shared" si="26"/>
        <v>20.16</v>
      </c>
      <c r="N193" s="176"/>
      <c r="O193" s="176"/>
      <c r="P193" s="176"/>
      <c r="Q193" s="176"/>
      <c r="R193" s="176"/>
      <c r="S193" s="173">
        <v>2351</v>
      </c>
      <c r="T193" s="177">
        <v>291</v>
      </c>
    </row>
    <row r="194" spans="1:20" x14ac:dyDescent="0.25">
      <c r="A194" s="172" t="str">
        <f t="shared" si="27"/>
        <v>CARC  150*10</v>
      </c>
      <c r="B194" s="174">
        <f t="shared" si="32"/>
        <v>40.76268779133499</v>
      </c>
      <c r="C194" s="173">
        <v>150</v>
      </c>
      <c r="D194" s="173"/>
      <c r="E194" s="173">
        <v>10</v>
      </c>
      <c r="F194" s="173">
        <f t="shared" si="29"/>
        <v>10</v>
      </c>
      <c r="G194" s="173">
        <f t="shared" si="30"/>
        <v>15</v>
      </c>
      <c r="H194" s="174">
        <f t="shared" si="24"/>
        <v>51.926990816987249</v>
      </c>
      <c r="I194" s="185">
        <v>1773</v>
      </c>
      <c r="J194" s="174">
        <f t="shared" si="25"/>
        <v>236.4</v>
      </c>
      <c r="K194" s="173">
        <v>286</v>
      </c>
      <c r="L194" s="174">
        <f t="shared" si="31"/>
        <v>5.8432946981487444</v>
      </c>
      <c r="M194" s="176">
        <f t="shared" si="26"/>
        <v>24</v>
      </c>
      <c r="N194" s="176"/>
      <c r="O194" s="176"/>
      <c r="P194" s="176"/>
      <c r="Q194" s="176"/>
      <c r="R194" s="176"/>
      <c r="S194" s="173">
        <v>2832</v>
      </c>
      <c r="T194" s="177">
        <v>344</v>
      </c>
    </row>
    <row r="195" spans="1:20" x14ac:dyDescent="0.25">
      <c r="A195" s="172" t="str">
        <f t="shared" si="27"/>
        <v>CARC  150*12.5</v>
      </c>
      <c r="B195" s="174">
        <f t="shared" si="32"/>
        <v>48.972949673960912</v>
      </c>
      <c r="C195" s="173">
        <v>150</v>
      </c>
      <c r="D195" s="173"/>
      <c r="E195" s="173">
        <v>12.5</v>
      </c>
      <c r="F195" s="173">
        <f t="shared" si="29"/>
        <v>12.5</v>
      </c>
      <c r="G195" s="173">
        <f t="shared" si="30"/>
        <v>18.75</v>
      </c>
      <c r="H195" s="174">
        <f t="shared" si="24"/>
        <v>62.385923151542563</v>
      </c>
      <c r="I195" s="185">
        <v>2080</v>
      </c>
      <c r="J195" s="174">
        <f t="shared" si="25"/>
        <v>277.33333333333331</v>
      </c>
      <c r="K195" s="173">
        <v>342</v>
      </c>
      <c r="L195" s="174">
        <f t="shared" si="31"/>
        <v>5.7741540258370812</v>
      </c>
      <c r="M195" s="176">
        <f t="shared" si="26"/>
        <v>28.125</v>
      </c>
      <c r="N195" s="176"/>
      <c r="O195" s="176"/>
      <c r="P195" s="176"/>
      <c r="Q195" s="176"/>
      <c r="R195" s="176"/>
      <c r="S195" s="173">
        <v>3375</v>
      </c>
      <c r="T195" s="177">
        <v>402</v>
      </c>
    </row>
    <row r="196" spans="1:20" x14ac:dyDescent="0.25">
      <c r="A196" s="172" t="str">
        <f t="shared" si="27"/>
        <v>CARC  150*14.2</v>
      </c>
      <c r="B196" s="174">
        <f t="shared" si="32"/>
        <v>54.103443662447852</v>
      </c>
      <c r="C196" s="173">
        <v>150</v>
      </c>
      <c r="D196" s="173"/>
      <c r="E196" s="173">
        <v>14.2</v>
      </c>
      <c r="F196" s="173">
        <f t="shared" si="29"/>
        <v>14.2</v>
      </c>
      <c r="G196" s="173">
        <f t="shared" si="30"/>
        <v>21.299999999999997</v>
      </c>
      <c r="H196" s="174">
        <f t="shared" si="24"/>
        <v>68.921584283373065</v>
      </c>
      <c r="I196" s="185">
        <v>2262</v>
      </c>
      <c r="J196" s="174">
        <f t="shared" si="25"/>
        <v>301.60000000000002</v>
      </c>
      <c r="K196" s="173">
        <v>377</v>
      </c>
      <c r="L196" s="174">
        <f t="shared" si="31"/>
        <v>5.728866135306971</v>
      </c>
      <c r="M196" s="176">
        <f t="shared" si="26"/>
        <v>30.5016</v>
      </c>
      <c r="N196" s="176"/>
      <c r="O196" s="176"/>
      <c r="P196" s="176"/>
      <c r="Q196" s="176"/>
      <c r="R196" s="176"/>
      <c r="S196" s="173">
        <v>3707</v>
      </c>
      <c r="T196" s="177">
        <v>436</v>
      </c>
    </row>
    <row r="197" spans="1:20" x14ac:dyDescent="0.25">
      <c r="A197" s="178" t="str">
        <f t="shared" si="27"/>
        <v>CARC  150*16</v>
      </c>
      <c r="B197" s="180">
        <f t="shared" si="32"/>
        <v>59.136480745817558</v>
      </c>
      <c r="C197" s="179">
        <v>150</v>
      </c>
      <c r="D197" s="179"/>
      <c r="E197" s="179">
        <v>16</v>
      </c>
      <c r="F197" s="179">
        <f t="shared" si="29"/>
        <v>16</v>
      </c>
      <c r="G197" s="179">
        <f t="shared" si="30"/>
        <v>24</v>
      </c>
      <c r="H197" s="180">
        <f t="shared" si="24"/>
        <v>75.333096491487339</v>
      </c>
      <c r="I197" s="186">
        <v>1430</v>
      </c>
      <c r="J197" s="180">
        <f t="shared" si="25"/>
        <v>190.66666666666666</v>
      </c>
      <c r="K197" s="179">
        <v>411</v>
      </c>
      <c r="L197" s="180">
        <f t="shared" si="31"/>
        <v>4.3568750916163168</v>
      </c>
      <c r="M197" s="182">
        <f t="shared" si="26"/>
        <v>32.64</v>
      </c>
      <c r="N197" s="182"/>
      <c r="O197" s="182"/>
      <c r="P197" s="182"/>
      <c r="Q197" s="182"/>
      <c r="R197" s="182"/>
      <c r="S197" s="179">
        <v>4026</v>
      </c>
      <c r="T197" s="183">
        <v>467</v>
      </c>
    </row>
    <row r="198" spans="1:20" x14ac:dyDescent="0.25">
      <c r="A198" s="162" t="str">
        <f t="shared" si="27"/>
        <v>CARC  160*5</v>
      </c>
      <c r="B198" s="163">
        <f>(H198*7850)/10000</f>
        <v>23.535671947833748</v>
      </c>
      <c r="C198" s="64">
        <v>160</v>
      </c>
      <c r="E198" s="64">
        <v>5</v>
      </c>
      <c r="F198" s="64">
        <f t="shared" si="29"/>
        <v>5</v>
      </c>
      <c r="G198" s="64">
        <f t="shared" si="30"/>
        <v>7.5</v>
      </c>
      <c r="H198" s="163">
        <f t="shared" si="24"/>
        <v>29.981747704246811</v>
      </c>
      <c r="I198" s="187">
        <v>1225</v>
      </c>
      <c r="J198" s="163">
        <f t="shared" si="25"/>
        <v>153.125</v>
      </c>
      <c r="K198" s="64">
        <v>178</v>
      </c>
      <c r="L198" s="163">
        <f t="shared" si="31"/>
        <v>6.3920412905470982</v>
      </c>
      <c r="M198" s="188">
        <f t="shared" si="26"/>
        <v>14.5</v>
      </c>
      <c r="N198" s="188"/>
      <c r="O198" s="188"/>
      <c r="P198" s="188"/>
      <c r="Q198" s="188"/>
      <c r="R198" s="188"/>
      <c r="S198" s="64">
        <v>1892</v>
      </c>
      <c r="T198" s="64">
        <v>226</v>
      </c>
    </row>
    <row r="199" spans="1:20" x14ac:dyDescent="0.25">
      <c r="A199" s="162" t="str">
        <f t="shared" si="27"/>
        <v>CARC  160*6.3</v>
      </c>
      <c r="B199" s="163">
        <f t="shared" ref="B199:B204" si="33">(H199*7850)/10000</f>
        <v>29.135920784380858</v>
      </c>
      <c r="C199" s="64">
        <v>160</v>
      </c>
      <c r="E199" s="64">
        <v>6.3</v>
      </c>
      <c r="F199" s="64">
        <f t="shared" si="29"/>
        <v>6.3</v>
      </c>
      <c r="G199" s="64">
        <f t="shared" si="30"/>
        <v>9.4499999999999993</v>
      </c>
      <c r="H199" s="163">
        <f t="shared" si="24"/>
        <v>37.115822655262235</v>
      </c>
      <c r="I199" s="187">
        <v>1499</v>
      </c>
      <c r="J199" s="163">
        <f t="shared" si="25"/>
        <v>187.375</v>
      </c>
      <c r="K199" s="64">
        <v>220</v>
      </c>
      <c r="L199" s="163">
        <f t="shared" si="31"/>
        <v>6.3550836433484426</v>
      </c>
      <c r="M199" s="188">
        <f t="shared" si="26"/>
        <v>17.778600000000001</v>
      </c>
      <c r="N199" s="188"/>
      <c r="O199" s="188"/>
      <c r="P199" s="188"/>
      <c r="Q199" s="188"/>
      <c r="R199" s="188"/>
      <c r="S199" s="64">
        <v>2333</v>
      </c>
      <c r="T199" s="64">
        <v>275</v>
      </c>
    </row>
    <row r="200" spans="1:20" x14ac:dyDescent="0.25">
      <c r="A200" s="162" t="str">
        <f t="shared" si="27"/>
        <v>CARC  160*8</v>
      </c>
      <c r="B200" s="163">
        <f t="shared" si="33"/>
        <v>36.136120186454399</v>
      </c>
      <c r="C200" s="64">
        <v>160</v>
      </c>
      <c r="E200" s="64">
        <v>8</v>
      </c>
      <c r="F200" s="64">
        <f t="shared" si="29"/>
        <v>8</v>
      </c>
      <c r="G200" s="64">
        <f t="shared" si="30"/>
        <v>12</v>
      </c>
      <c r="H200" s="163">
        <f t="shared" si="24"/>
        <v>46.033274122871838</v>
      </c>
      <c r="I200" s="187">
        <v>1831</v>
      </c>
      <c r="J200" s="163">
        <f t="shared" si="25"/>
        <v>228.875</v>
      </c>
      <c r="K200" s="64">
        <v>272</v>
      </c>
      <c r="L200" s="163">
        <f t="shared" si="31"/>
        <v>6.3067881003968038</v>
      </c>
      <c r="M200" s="188">
        <f t="shared" si="26"/>
        <v>21.76</v>
      </c>
      <c r="N200" s="188"/>
      <c r="O200" s="188"/>
      <c r="P200" s="188"/>
      <c r="Q200" s="188"/>
      <c r="R200" s="188"/>
      <c r="S200" s="64">
        <v>2880</v>
      </c>
      <c r="T200" s="64">
        <v>335</v>
      </c>
    </row>
    <row r="201" spans="1:20" x14ac:dyDescent="0.25">
      <c r="A201" s="162" t="str">
        <f t="shared" si="27"/>
        <v>CARC  160*10</v>
      </c>
      <c r="B201" s="163">
        <f t="shared" si="33"/>
        <v>43.902687791334991</v>
      </c>
      <c r="C201" s="64">
        <v>160</v>
      </c>
      <c r="E201" s="64">
        <v>10</v>
      </c>
      <c r="F201" s="64">
        <f t="shared" si="29"/>
        <v>10</v>
      </c>
      <c r="G201" s="64">
        <f t="shared" si="30"/>
        <v>15</v>
      </c>
      <c r="H201" s="163">
        <f t="shared" si="24"/>
        <v>55.926990816987249</v>
      </c>
      <c r="I201" s="187">
        <v>2186</v>
      </c>
      <c r="J201" s="163">
        <f t="shared" si="25"/>
        <v>273.25</v>
      </c>
      <c r="K201" s="64">
        <v>329</v>
      </c>
      <c r="L201" s="163">
        <f t="shared" si="31"/>
        <v>6.25193353814283</v>
      </c>
      <c r="M201" s="188">
        <f t="shared" si="26"/>
        <v>26</v>
      </c>
      <c r="N201" s="188"/>
      <c r="O201" s="188"/>
      <c r="P201" s="188"/>
      <c r="Q201" s="188"/>
      <c r="R201" s="188"/>
      <c r="S201" s="64">
        <v>3478</v>
      </c>
      <c r="T201" s="64">
        <v>398</v>
      </c>
    </row>
    <row r="202" spans="1:20" x14ac:dyDescent="0.25">
      <c r="A202" s="162" t="str">
        <f t="shared" si="27"/>
        <v>CARC  160*12.5</v>
      </c>
      <c r="B202" s="163">
        <f t="shared" si="33"/>
        <v>52.897949673960916</v>
      </c>
      <c r="C202" s="64">
        <v>160</v>
      </c>
      <c r="E202" s="64">
        <v>12.5</v>
      </c>
      <c r="F202" s="64">
        <f t="shared" si="29"/>
        <v>12.5</v>
      </c>
      <c r="G202" s="64">
        <f t="shared" si="30"/>
        <v>18.75</v>
      </c>
      <c r="H202" s="163">
        <f t="shared" si="24"/>
        <v>67.385923151542571</v>
      </c>
      <c r="I202" s="187">
        <v>2576</v>
      </c>
      <c r="J202" s="163">
        <f t="shared" si="25"/>
        <v>322</v>
      </c>
      <c r="K202" s="64">
        <v>395</v>
      </c>
      <c r="L202" s="163">
        <f t="shared" si="31"/>
        <v>6.1828447013282775</v>
      </c>
      <c r="M202" s="188">
        <f t="shared" si="26"/>
        <v>30.625</v>
      </c>
      <c r="N202" s="188"/>
      <c r="O202" s="188"/>
      <c r="P202" s="188"/>
      <c r="Q202" s="188"/>
      <c r="R202" s="188"/>
      <c r="S202" s="64">
        <v>4158</v>
      </c>
      <c r="T202" s="64">
        <v>467</v>
      </c>
    </row>
    <row r="203" spans="1:20" x14ac:dyDescent="0.25">
      <c r="A203" s="162" t="str">
        <f t="shared" si="27"/>
        <v>CARC  160*14.2</v>
      </c>
      <c r="B203" s="163">
        <f t="shared" si="33"/>
        <v>58.562243662447869</v>
      </c>
      <c r="C203" s="64">
        <v>160</v>
      </c>
      <c r="E203" s="64">
        <v>14.2</v>
      </c>
      <c r="F203" s="64">
        <f t="shared" si="29"/>
        <v>14.2</v>
      </c>
      <c r="G203" s="64">
        <f t="shared" si="30"/>
        <v>21.299999999999997</v>
      </c>
      <c r="H203" s="163">
        <f t="shared" si="24"/>
        <v>74.601584283373072</v>
      </c>
      <c r="I203" s="187">
        <v>2809</v>
      </c>
      <c r="J203" s="163">
        <f t="shared" si="25"/>
        <v>351.125</v>
      </c>
      <c r="K203" s="64">
        <v>436</v>
      </c>
      <c r="L203" s="163">
        <f t="shared" si="31"/>
        <v>6.1362330342041931</v>
      </c>
      <c r="M203" s="188">
        <f t="shared" si="26"/>
        <v>33.3416</v>
      </c>
      <c r="N203" s="188"/>
      <c r="O203" s="188"/>
      <c r="P203" s="188"/>
      <c r="Q203" s="188"/>
      <c r="R203" s="188"/>
      <c r="S203" s="64">
        <v>4579</v>
      </c>
      <c r="T203" s="64">
        <v>508</v>
      </c>
    </row>
    <row r="204" spans="1:20" x14ac:dyDescent="0.25">
      <c r="A204" s="162" t="str">
        <f t="shared" si="27"/>
        <v>CARC  160*16</v>
      </c>
      <c r="B204" s="163">
        <f t="shared" si="33"/>
        <v>64.160480745817566</v>
      </c>
      <c r="C204" s="64">
        <v>160</v>
      </c>
      <c r="E204" s="64">
        <v>16</v>
      </c>
      <c r="F204" s="64">
        <f t="shared" si="29"/>
        <v>16</v>
      </c>
      <c r="G204" s="64">
        <f t="shared" si="30"/>
        <v>24</v>
      </c>
      <c r="H204" s="163">
        <f t="shared" si="24"/>
        <v>81.733096491487345</v>
      </c>
      <c r="I204" s="187">
        <v>3028</v>
      </c>
      <c r="J204" s="163">
        <f t="shared" si="25"/>
        <v>378.5</v>
      </c>
      <c r="K204" s="64">
        <v>476</v>
      </c>
      <c r="L204" s="163">
        <f t="shared" si="31"/>
        <v>6.0866588267678052</v>
      </c>
      <c r="M204" s="188">
        <f t="shared" si="26"/>
        <v>35.840000000000003</v>
      </c>
      <c r="N204" s="188"/>
      <c r="O204" s="188"/>
      <c r="P204" s="188"/>
      <c r="Q204" s="188"/>
      <c r="R204" s="188"/>
      <c r="S204" s="64">
        <v>4988</v>
      </c>
      <c r="T204" s="64">
        <v>546</v>
      </c>
    </row>
    <row r="205" spans="1:20" x14ac:dyDescent="0.25">
      <c r="A205" s="166" t="str">
        <f t="shared" si="27"/>
        <v>CARC  180*5</v>
      </c>
      <c r="B205" s="168">
        <f t="shared" si="32"/>
        <v>26.675671947833745</v>
      </c>
      <c r="C205" s="167">
        <v>180</v>
      </c>
      <c r="D205" s="167"/>
      <c r="E205" s="167">
        <v>5</v>
      </c>
      <c r="F205" s="167">
        <f t="shared" si="29"/>
        <v>5</v>
      </c>
      <c r="G205" s="167">
        <f t="shared" si="30"/>
        <v>7.5</v>
      </c>
      <c r="H205" s="168">
        <f t="shared" si="24"/>
        <v>33.981747704246807</v>
      </c>
      <c r="I205" s="184">
        <v>1765</v>
      </c>
      <c r="J205" s="168">
        <f t="shared" si="25"/>
        <v>196.11111111111111</v>
      </c>
      <c r="K205" s="167">
        <v>227</v>
      </c>
      <c r="L205" s="168">
        <f t="shared" si="31"/>
        <v>7.2069166487907639</v>
      </c>
      <c r="M205" s="170">
        <f t="shared" si="26"/>
        <v>16.5</v>
      </c>
      <c r="N205" s="170"/>
      <c r="O205" s="170"/>
      <c r="P205" s="170"/>
      <c r="Q205" s="170"/>
      <c r="R205" s="170"/>
      <c r="S205" s="167">
        <v>2718</v>
      </c>
      <c r="T205" s="171">
        <v>290</v>
      </c>
    </row>
    <row r="206" spans="1:20" x14ac:dyDescent="0.25">
      <c r="A206" s="172" t="str">
        <f t="shared" si="27"/>
        <v>CARC  180*6.3</v>
      </c>
      <c r="B206" s="174">
        <f t="shared" si="32"/>
        <v>33.092320784380853</v>
      </c>
      <c r="C206" s="173">
        <v>180</v>
      </c>
      <c r="D206" s="173"/>
      <c r="E206" s="173">
        <v>6.3</v>
      </c>
      <c r="F206" s="173">
        <f t="shared" si="29"/>
        <v>6.3</v>
      </c>
      <c r="G206" s="173">
        <f t="shared" si="30"/>
        <v>9.4499999999999993</v>
      </c>
      <c r="H206" s="174">
        <f t="shared" si="24"/>
        <v>42.155822655262234</v>
      </c>
      <c r="I206" s="185">
        <v>2168</v>
      </c>
      <c r="J206" s="174">
        <f t="shared" si="25"/>
        <v>240.88888888888889</v>
      </c>
      <c r="K206" s="173">
        <v>281</v>
      </c>
      <c r="L206" s="174">
        <f t="shared" si="31"/>
        <v>7.1713489370297259</v>
      </c>
      <c r="M206" s="176">
        <f t="shared" si="26"/>
        <v>20.2986</v>
      </c>
      <c r="N206" s="176"/>
      <c r="O206" s="176"/>
      <c r="P206" s="176"/>
      <c r="Q206" s="176"/>
      <c r="R206" s="176"/>
      <c r="S206" s="173">
        <v>3361</v>
      </c>
      <c r="T206" s="177">
        <v>355</v>
      </c>
    </row>
    <row r="207" spans="1:20" x14ac:dyDescent="0.25">
      <c r="A207" s="172" t="str">
        <f>$B$146&amp;"  "&amp;C207&amp;"*"&amp;E207</f>
        <v>CARC  180*8</v>
      </c>
      <c r="B207" s="174">
        <f>(H207*7850)/10000</f>
        <v>41.160120186454392</v>
      </c>
      <c r="C207" s="173">
        <v>180</v>
      </c>
      <c r="D207" s="173"/>
      <c r="E207" s="173">
        <v>8</v>
      </c>
      <c r="F207" s="173">
        <f>1*E207</f>
        <v>8</v>
      </c>
      <c r="G207" s="173">
        <f>1.5*E207</f>
        <v>12</v>
      </c>
      <c r="H207" s="174">
        <f>(4*(C207-2*G207)*E207+PI()*(G207^2-F207^2))*0.01</f>
        <v>52.433274122871836</v>
      </c>
      <c r="I207" s="185">
        <v>2661</v>
      </c>
      <c r="J207" s="174">
        <f>I207/(0.5*C207*0.1)</f>
        <v>295.66666666666669</v>
      </c>
      <c r="K207" s="173">
        <v>349</v>
      </c>
      <c r="L207" s="174">
        <f>SQRT(I207/H207)</f>
        <v>7.1239186015685769</v>
      </c>
      <c r="M207" s="176">
        <f t="shared" si="26"/>
        <v>24.96</v>
      </c>
      <c r="N207" s="176"/>
      <c r="O207" s="176"/>
      <c r="P207" s="176"/>
      <c r="Q207" s="176"/>
      <c r="R207" s="176"/>
      <c r="S207" s="173">
        <v>4162</v>
      </c>
      <c r="T207" s="177">
        <v>434</v>
      </c>
    </row>
    <row r="208" spans="1:20" x14ac:dyDescent="0.25">
      <c r="A208" s="172" t="str">
        <f>$B$146&amp;"  "&amp;C208&amp;"*"&amp;E208</f>
        <v>CARC  180*10</v>
      </c>
      <c r="B208" s="174">
        <f>(H208*7850)/10000</f>
        <v>50.182687791334992</v>
      </c>
      <c r="C208" s="173">
        <v>180</v>
      </c>
      <c r="D208" s="173"/>
      <c r="E208" s="173">
        <v>10</v>
      </c>
      <c r="F208" s="173">
        <f>1*E208</f>
        <v>10</v>
      </c>
      <c r="G208" s="173">
        <f>1.5*E208</f>
        <v>15</v>
      </c>
      <c r="H208" s="174">
        <f>(4*(C208-2*G208)*E208+PI()*(G208^2-F208^2))*0.01</f>
        <v>63.926990816987249</v>
      </c>
      <c r="I208" s="185">
        <v>3193</v>
      </c>
      <c r="J208" s="174">
        <f>I208/(0.5*C208*0.1)</f>
        <v>354.77777777777777</v>
      </c>
      <c r="K208" s="173">
        <v>424</v>
      </c>
      <c r="L208" s="174">
        <f>SQRT(I208/H208)</f>
        <v>7.0673618594300347</v>
      </c>
      <c r="M208" s="176">
        <f t="shared" si="26"/>
        <v>30</v>
      </c>
      <c r="N208" s="176"/>
      <c r="O208" s="176"/>
      <c r="P208" s="176"/>
      <c r="Q208" s="176"/>
      <c r="R208" s="176"/>
      <c r="S208" s="173">
        <v>5048</v>
      </c>
      <c r="T208" s="177">
        <v>518</v>
      </c>
    </row>
    <row r="209" spans="1:20" x14ac:dyDescent="0.25">
      <c r="A209" s="172" t="str">
        <f>$B$146&amp;"  "&amp;C209&amp;"*"&amp;E209</f>
        <v>CARC  180*12.5</v>
      </c>
      <c r="B209" s="174">
        <f>(H209*7850)/10000</f>
        <v>60.747949673960917</v>
      </c>
      <c r="C209" s="173">
        <v>180</v>
      </c>
      <c r="D209" s="173"/>
      <c r="E209" s="173">
        <v>12.5</v>
      </c>
      <c r="F209" s="173">
        <f>1*E209</f>
        <v>12.5</v>
      </c>
      <c r="G209" s="173">
        <f>1.5*E209</f>
        <v>18.75</v>
      </c>
      <c r="H209" s="174">
        <f>(4*(C209-2*G209)*E209+PI()*(G209^2-F209^2))*0.01</f>
        <v>77.385923151542571</v>
      </c>
      <c r="I209" s="185">
        <v>3790</v>
      </c>
      <c r="J209" s="174">
        <f>I209/(0.5*C209*0.1)</f>
        <v>421.11111111111109</v>
      </c>
      <c r="K209" s="173">
        <v>511</v>
      </c>
      <c r="L209" s="174">
        <f>SQRT(I209/H209)</f>
        <v>6.9982365978332473</v>
      </c>
      <c r="M209" s="176">
        <f t="shared" si="26"/>
        <v>35.625</v>
      </c>
      <c r="N209" s="176"/>
      <c r="O209" s="176"/>
      <c r="P209" s="176"/>
      <c r="Q209" s="176"/>
      <c r="R209" s="176"/>
      <c r="S209" s="173">
        <v>6070</v>
      </c>
      <c r="T209" s="177">
        <v>613</v>
      </c>
    </row>
    <row r="210" spans="1:20" x14ac:dyDescent="0.25">
      <c r="A210" s="172" t="str">
        <f>$B$146&amp;"  "&amp;C210&amp;"*"&amp;E210</f>
        <v>CARC  180*14.2</v>
      </c>
      <c r="B210" s="174">
        <f>(H210*7850)/10000</f>
        <v>67.479843662447863</v>
      </c>
      <c r="C210" s="173">
        <v>180</v>
      </c>
      <c r="D210" s="173"/>
      <c r="E210" s="173">
        <v>14.2</v>
      </c>
      <c r="F210" s="173">
        <f>1*E210</f>
        <v>14.2</v>
      </c>
      <c r="G210" s="173">
        <f>1.5*E210</f>
        <v>21.299999999999997</v>
      </c>
      <c r="H210" s="174">
        <f>(4*(C210-2*G210)*E210+PI()*(G210^2-F210^2))*0.01</f>
        <v>85.961584283373071</v>
      </c>
      <c r="I210" s="185">
        <v>4154</v>
      </c>
      <c r="J210" s="174">
        <f>I210/(0.5*C210*0.1)</f>
        <v>461.55555555555554</v>
      </c>
      <c r="K210" s="173">
        <v>566</v>
      </c>
      <c r="L210" s="174">
        <f>SQRT(I210/H210)</f>
        <v>6.9515402322864652</v>
      </c>
      <c r="M210" s="176">
        <f t="shared" si="26"/>
        <v>39.021599999999999</v>
      </c>
      <c r="N210" s="176"/>
      <c r="O210" s="176"/>
      <c r="P210" s="176"/>
      <c r="Q210" s="176"/>
      <c r="R210" s="176"/>
      <c r="S210" s="173">
        <v>6711</v>
      </c>
      <c r="T210" s="177">
        <v>670</v>
      </c>
    </row>
    <row r="211" spans="1:20" x14ac:dyDescent="0.25">
      <c r="A211" s="178" t="str">
        <f>$B$146&amp;"  "&amp;C211&amp;"*"&amp;E211</f>
        <v>CARC  180*16</v>
      </c>
      <c r="B211" s="180">
        <f>(H211*7850)/10000</f>
        <v>74.208480745817553</v>
      </c>
      <c r="C211" s="179">
        <v>180</v>
      </c>
      <c r="D211" s="179"/>
      <c r="E211" s="179">
        <v>16</v>
      </c>
      <c r="F211" s="179">
        <f>1*E211</f>
        <v>16</v>
      </c>
      <c r="G211" s="179">
        <f>1.5*E211</f>
        <v>24</v>
      </c>
      <c r="H211" s="180">
        <f>(4*(C211-2*G211)*E211+PI()*(G211^2-F211^2))*0.01</f>
        <v>94.533096491487342</v>
      </c>
      <c r="I211" s="186">
        <v>4504</v>
      </c>
      <c r="J211" s="180">
        <f>I211/(0.5*C211*0.1)</f>
        <v>500.44444444444446</v>
      </c>
      <c r="K211" s="179">
        <v>621</v>
      </c>
      <c r="L211" s="180">
        <f>SQRT(I211/H211)</f>
        <v>6.902513251320558</v>
      </c>
      <c r="M211" s="182">
        <f t="shared" ref="M211:M252" si="34">2*(C211-2*G211)*E211*0.01</f>
        <v>42.24</v>
      </c>
      <c r="N211" s="182"/>
      <c r="O211" s="182"/>
      <c r="P211" s="182"/>
      <c r="Q211" s="182"/>
      <c r="R211" s="182"/>
      <c r="S211" s="179">
        <v>7343</v>
      </c>
      <c r="T211" s="183">
        <v>724</v>
      </c>
    </row>
    <row r="212" spans="1:20" x14ac:dyDescent="0.25">
      <c r="A212" s="162" t="str">
        <f t="shared" si="27"/>
        <v>CARC  200*5</v>
      </c>
      <c r="B212" s="163">
        <f t="shared" si="32"/>
        <v>29.815671947833746</v>
      </c>
      <c r="C212" s="64">
        <v>200</v>
      </c>
      <c r="E212" s="64">
        <v>5</v>
      </c>
      <c r="F212" s="64">
        <f t="shared" si="29"/>
        <v>5</v>
      </c>
      <c r="G212" s="64">
        <f t="shared" si="30"/>
        <v>7.5</v>
      </c>
      <c r="H212" s="163">
        <f t="shared" ref="H212:H252" si="35">(4*(C212-2*G212)*E212+PI()*(G212^2-F212^2))*0.01</f>
        <v>37.981747704246807</v>
      </c>
      <c r="I212" s="187">
        <v>2445</v>
      </c>
      <c r="J212" s="163">
        <f t="shared" ref="J212:J252" si="36">I212/(0.5*C212*0.1)</f>
        <v>244.5</v>
      </c>
      <c r="K212" s="64">
        <v>283</v>
      </c>
      <c r="L212" s="163">
        <f t="shared" si="31"/>
        <v>8.0232801985575026</v>
      </c>
      <c r="M212" s="188">
        <f t="shared" si="34"/>
        <v>18.5</v>
      </c>
      <c r="N212" s="188"/>
      <c r="O212" s="188"/>
      <c r="P212" s="188"/>
      <c r="Q212" s="188"/>
      <c r="R212" s="188"/>
      <c r="S212" s="64">
        <v>3756</v>
      </c>
      <c r="T212" s="64">
        <v>362</v>
      </c>
    </row>
    <row r="213" spans="1:20" x14ac:dyDescent="0.25">
      <c r="A213" s="162" t="str">
        <f t="shared" si="27"/>
        <v>CARC  200*6.3</v>
      </c>
      <c r="B213" s="163">
        <f t="shared" si="32"/>
        <v>37.048720784380848</v>
      </c>
      <c r="C213" s="64">
        <v>200</v>
      </c>
      <c r="E213" s="64">
        <v>6.3</v>
      </c>
      <c r="F213" s="64">
        <f t="shared" si="29"/>
        <v>6.3</v>
      </c>
      <c r="G213" s="64">
        <f t="shared" si="30"/>
        <v>9.4499999999999993</v>
      </c>
      <c r="H213" s="163">
        <f t="shared" si="35"/>
        <v>47.195822655262226</v>
      </c>
      <c r="I213" s="187">
        <v>3011</v>
      </c>
      <c r="J213" s="163">
        <f t="shared" si="36"/>
        <v>301.10000000000002</v>
      </c>
      <c r="K213" s="64">
        <v>350</v>
      </c>
      <c r="L213" s="163">
        <f t="shared" si="31"/>
        <v>7.9873662243376895</v>
      </c>
      <c r="M213" s="188">
        <f t="shared" si="34"/>
        <v>22.818599999999996</v>
      </c>
      <c r="N213" s="188"/>
      <c r="O213" s="188"/>
      <c r="P213" s="188"/>
      <c r="Q213" s="188"/>
      <c r="R213" s="188"/>
      <c r="S213" s="64">
        <v>4653</v>
      </c>
      <c r="T213" s="64">
        <v>444</v>
      </c>
    </row>
    <row r="214" spans="1:20" x14ac:dyDescent="0.25">
      <c r="A214" s="162" t="str">
        <f t="shared" si="27"/>
        <v>CARC  200*8</v>
      </c>
      <c r="B214" s="163">
        <f t="shared" si="32"/>
        <v>46.184120186454386</v>
      </c>
      <c r="C214" s="64">
        <v>200</v>
      </c>
      <c r="E214" s="64">
        <v>8</v>
      </c>
      <c r="F214" s="64">
        <f t="shared" si="29"/>
        <v>8</v>
      </c>
      <c r="G214" s="64">
        <f t="shared" si="30"/>
        <v>12</v>
      </c>
      <c r="H214" s="163">
        <f t="shared" si="35"/>
        <v>58.833274122871835</v>
      </c>
      <c r="I214" s="187">
        <v>3709</v>
      </c>
      <c r="J214" s="163">
        <f t="shared" si="36"/>
        <v>370.9</v>
      </c>
      <c r="K214" s="64">
        <v>436</v>
      </c>
      <c r="L214" s="163">
        <f t="shared" si="31"/>
        <v>7.9399342796091918</v>
      </c>
      <c r="M214" s="188">
        <f t="shared" si="34"/>
        <v>28.16</v>
      </c>
      <c r="N214" s="188"/>
      <c r="O214" s="188"/>
      <c r="P214" s="188"/>
      <c r="Q214" s="188"/>
      <c r="R214" s="188"/>
      <c r="S214" s="64">
        <v>5778</v>
      </c>
      <c r="T214" s="64">
        <v>545</v>
      </c>
    </row>
    <row r="215" spans="1:20" x14ac:dyDescent="0.25">
      <c r="A215" s="162" t="str">
        <f t="shared" si="27"/>
        <v>CARC  200*10</v>
      </c>
      <c r="B215" s="163">
        <f t="shared" si="32"/>
        <v>56.462687791334986</v>
      </c>
      <c r="C215" s="64">
        <v>200</v>
      </c>
      <c r="E215" s="64">
        <v>10</v>
      </c>
      <c r="F215" s="64">
        <f t="shared" si="29"/>
        <v>10</v>
      </c>
      <c r="G215" s="64">
        <f t="shared" si="30"/>
        <v>15</v>
      </c>
      <c r="H215" s="163">
        <f t="shared" si="35"/>
        <v>71.926990816987242</v>
      </c>
      <c r="I215" s="187">
        <v>4471</v>
      </c>
      <c r="J215" s="163">
        <f t="shared" si="36"/>
        <v>447.1</v>
      </c>
      <c r="K215" s="64">
        <v>531</v>
      </c>
      <c r="L215" s="163">
        <f t="shared" si="31"/>
        <v>7.8841774295644802</v>
      </c>
      <c r="M215" s="188">
        <f t="shared" si="34"/>
        <v>34</v>
      </c>
      <c r="N215" s="188"/>
      <c r="O215" s="188"/>
      <c r="P215" s="188"/>
      <c r="Q215" s="188"/>
      <c r="R215" s="188"/>
      <c r="S215" s="64">
        <v>7031</v>
      </c>
      <c r="T215" s="64">
        <v>655</v>
      </c>
    </row>
    <row r="216" spans="1:20" x14ac:dyDescent="0.25">
      <c r="A216" s="162" t="str">
        <f>$B$146&amp;"  "&amp;C216&amp;"*"&amp;E216</f>
        <v>CARC  200*12.5</v>
      </c>
      <c r="B216" s="163">
        <f>(H216*7850)/10000</f>
        <v>68.597949673960912</v>
      </c>
      <c r="C216" s="64">
        <v>200</v>
      </c>
      <c r="E216" s="64">
        <v>12.5</v>
      </c>
      <c r="F216" s="64">
        <f>1*E216</f>
        <v>12.5</v>
      </c>
      <c r="G216" s="64">
        <f>1.5*E216</f>
        <v>18.75</v>
      </c>
      <c r="H216" s="163">
        <f>(4*(C216-2*G216)*E216+PI()*(G216^2-F216^2))*0.01</f>
        <v>87.385923151542556</v>
      </c>
      <c r="I216" s="187">
        <v>5336</v>
      </c>
      <c r="J216" s="163">
        <f>I216/(0.5*C216*0.1)</f>
        <v>533.6</v>
      </c>
      <c r="K216" s="64">
        <v>643</v>
      </c>
      <c r="L216" s="163">
        <f>SQRT(I216/H216)</f>
        <v>7.8142476568533379</v>
      </c>
      <c r="M216" s="188">
        <f t="shared" si="34"/>
        <v>40.625</v>
      </c>
      <c r="N216" s="188"/>
      <c r="O216" s="188"/>
      <c r="P216" s="188"/>
      <c r="Q216" s="188"/>
      <c r="R216" s="188"/>
      <c r="S216" s="64">
        <v>8491</v>
      </c>
      <c r="T216" s="64">
        <v>778</v>
      </c>
    </row>
    <row r="217" spans="1:20" x14ac:dyDescent="0.25">
      <c r="A217" s="162" t="str">
        <f>$B$146&amp;"  "&amp;C217&amp;"*"&amp;E217</f>
        <v>CARC  200*14.2</v>
      </c>
      <c r="B217" s="163">
        <f>(H217*7850)/10000</f>
        <v>76.397443662447856</v>
      </c>
      <c r="C217" s="64">
        <v>200</v>
      </c>
      <c r="E217" s="64">
        <v>14.2</v>
      </c>
      <c r="F217" s="64">
        <f>1*E217</f>
        <v>14.2</v>
      </c>
      <c r="G217" s="64">
        <f>1.5*E217</f>
        <v>21.299999999999997</v>
      </c>
      <c r="H217" s="163">
        <f>(4*(C217-2*G217)*E217+PI()*(G217^2-F217^2))*0.01</f>
        <v>97.32158428337307</v>
      </c>
      <c r="I217" s="187">
        <v>5872</v>
      </c>
      <c r="J217" s="163">
        <f>I217/(0.5*C217*0.1)</f>
        <v>587.20000000000005</v>
      </c>
      <c r="K217" s="64">
        <v>714</v>
      </c>
      <c r="L217" s="163">
        <f>SQRT(I217/H217)</f>
        <v>7.7676283544439668</v>
      </c>
      <c r="M217" s="188">
        <f t="shared" si="34"/>
        <v>44.701599999999999</v>
      </c>
      <c r="N217" s="188"/>
      <c r="O217" s="188"/>
      <c r="P217" s="188"/>
      <c r="Q217" s="188"/>
      <c r="R217" s="188"/>
      <c r="S217" s="64">
        <v>9417</v>
      </c>
      <c r="T217" s="64">
        <v>854</v>
      </c>
    </row>
    <row r="218" spans="1:20" x14ac:dyDescent="0.25">
      <c r="A218" s="162" t="str">
        <f>$B$146&amp;"  "&amp;C218&amp;"*"&amp;E218</f>
        <v>CARC  200*16</v>
      </c>
      <c r="B218" s="163">
        <f>(H218*7850)/10000</f>
        <v>84.256480745817555</v>
      </c>
      <c r="C218" s="64">
        <v>200</v>
      </c>
      <c r="E218" s="64">
        <v>16</v>
      </c>
      <c r="F218" s="64">
        <f>1*E218</f>
        <v>16</v>
      </c>
      <c r="G218" s="64">
        <f>1.5*E218</f>
        <v>24</v>
      </c>
      <c r="H218" s="163">
        <f>(4*(C218-2*G218)*E218+PI()*(G218^2-F218^2))*0.01</f>
        <v>107.33309649148734</v>
      </c>
      <c r="I218" s="187">
        <v>6394</v>
      </c>
      <c r="J218" s="163">
        <f>I218/(0.5*C218*0.1)</f>
        <v>639.4</v>
      </c>
      <c r="K218" s="64">
        <v>785</v>
      </c>
      <c r="L218" s="163">
        <f>SQRT(I218/H218)</f>
        <v>7.7182614637038212</v>
      </c>
      <c r="M218" s="188">
        <f t="shared" si="34"/>
        <v>48.64</v>
      </c>
      <c r="N218" s="188"/>
      <c r="O218" s="188"/>
      <c r="P218" s="188"/>
      <c r="Q218" s="188"/>
      <c r="R218" s="188"/>
      <c r="S218" s="64">
        <v>10340</v>
      </c>
      <c r="T218" s="64">
        <v>927</v>
      </c>
    </row>
    <row r="219" spans="1:20" x14ac:dyDescent="0.25">
      <c r="A219" s="166" t="str">
        <f t="shared" si="27"/>
        <v>CARC  220*6.3</v>
      </c>
      <c r="B219" s="168">
        <f t="shared" si="32"/>
        <v>41.005120784380843</v>
      </c>
      <c r="C219" s="167">
        <v>220</v>
      </c>
      <c r="D219" s="167"/>
      <c r="E219" s="167">
        <v>6.3</v>
      </c>
      <c r="F219" s="167">
        <f t="shared" si="29"/>
        <v>6.3</v>
      </c>
      <c r="G219" s="167">
        <f t="shared" si="30"/>
        <v>9.4499999999999993</v>
      </c>
      <c r="H219" s="168">
        <f t="shared" si="35"/>
        <v>52.235822655262226</v>
      </c>
      <c r="I219" s="184">
        <v>4049</v>
      </c>
      <c r="J219" s="168">
        <f t="shared" si="36"/>
        <v>368.09090909090907</v>
      </c>
      <c r="K219" s="167">
        <v>427</v>
      </c>
      <c r="L219" s="168">
        <f t="shared" si="31"/>
        <v>8.8041953251517224</v>
      </c>
      <c r="M219" s="189">
        <f t="shared" si="34"/>
        <v>25.338599999999996</v>
      </c>
      <c r="N219" s="189"/>
      <c r="O219" s="189"/>
      <c r="P219" s="189"/>
      <c r="Q219" s="189"/>
      <c r="R219" s="189"/>
      <c r="S219" s="167">
        <v>6240</v>
      </c>
      <c r="T219" s="171">
        <v>544</v>
      </c>
    </row>
    <row r="220" spans="1:20" x14ac:dyDescent="0.25">
      <c r="A220" s="172" t="str">
        <f t="shared" si="27"/>
        <v>CARC  220*8</v>
      </c>
      <c r="B220" s="174">
        <f t="shared" si="32"/>
        <v>51.208120186454387</v>
      </c>
      <c r="C220" s="173">
        <v>220</v>
      </c>
      <c r="D220" s="173"/>
      <c r="E220" s="173">
        <v>8</v>
      </c>
      <c r="F220" s="173">
        <f t="shared" si="29"/>
        <v>8</v>
      </c>
      <c r="G220" s="173">
        <f t="shared" si="30"/>
        <v>12</v>
      </c>
      <c r="H220" s="174">
        <f t="shared" si="35"/>
        <v>65.233274122871833</v>
      </c>
      <c r="I220" s="185">
        <v>5002</v>
      </c>
      <c r="J220" s="174">
        <f t="shared" si="36"/>
        <v>454.72727272727275</v>
      </c>
      <c r="K220" s="173">
        <v>532</v>
      </c>
      <c r="L220" s="174">
        <f t="shared" si="31"/>
        <v>8.7566351572473646</v>
      </c>
      <c r="M220" s="190">
        <f t="shared" si="34"/>
        <v>31.36</v>
      </c>
      <c r="N220" s="190"/>
      <c r="O220" s="190"/>
      <c r="P220" s="190"/>
      <c r="Q220" s="190"/>
      <c r="R220" s="190"/>
      <c r="S220" s="173">
        <v>7765</v>
      </c>
      <c r="T220" s="177">
        <v>669</v>
      </c>
    </row>
    <row r="221" spans="1:20" x14ac:dyDescent="0.25">
      <c r="A221" s="172" t="str">
        <f t="shared" si="27"/>
        <v>CARC  220*10</v>
      </c>
      <c r="B221" s="174">
        <f t="shared" si="32"/>
        <v>62.742687791334987</v>
      </c>
      <c r="C221" s="173">
        <v>220</v>
      </c>
      <c r="D221" s="173"/>
      <c r="E221" s="173">
        <v>10</v>
      </c>
      <c r="F221" s="173">
        <f t="shared" si="29"/>
        <v>10</v>
      </c>
      <c r="G221" s="173">
        <f t="shared" si="30"/>
        <v>15</v>
      </c>
      <c r="H221" s="174">
        <f t="shared" si="35"/>
        <v>79.926990816987242</v>
      </c>
      <c r="I221" s="185">
        <v>6050</v>
      </c>
      <c r="J221" s="174">
        <f t="shared" si="36"/>
        <v>550</v>
      </c>
      <c r="K221" s="173">
        <v>650</v>
      </c>
      <c r="L221" s="174">
        <f t="shared" si="31"/>
        <v>8.7002344529514328</v>
      </c>
      <c r="M221" s="190">
        <f t="shared" si="34"/>
        <v>38</v>
      </c>
      <c r="N221" s="190"/>
      <c r="O221" s="190"/>
      <c r="P221" s="190"/>
      <c r="Q221" s="190"/>
      <c r="R221" s="190"/>
      <c r="S221" s="173">
        <v>9473</v>
      </c>
      <c r="T221" s="177">
        <v>807</v>
      </c>
    </row>
    <row r="222" spans="1:20" x14ac:dyDescent="0.25">
      <c r="A222" s="172" t="str">
        <f>$B$146&amp;"  "&amp;C222&amp;"*"&amp;E222</f>
        <v>CARC  220*12.5</v>
      </c>
      <c r="B222" s="174">
        <f>(H222*7850)/10000</f>
        <v>76.447949673960906</v>
      </c>
      <c r="C222" s="173">
        <v>220</v>
      </c>
      <c r="D222" s="173"/>
      <c r="E222" s="173">
        <v>12.5</v>
      </c>
      <c r="F222" s="173">
        <f>1*E222</f>
        <v>12.5</v>
      </c>
      <c r="G222" s="173">
        <f>1.5*E222</f>
        <v>18.75</v>
      </c>
      <c r="H222" s="174">
        <f>(4*(C222-2*G222)*E222+PI()*(G222^2-F222^2))*0.01</f>
        <v>97.385923151542556</v>
      </c>
      <c r="I222" s="185">
        <v>7254</v>
      </c>
      <c r="J222" s="174">
        <f>I222/(0.5*C222*0.1)</f>
        <v>659.4545454545455</v>
      </c>
      <c r="K222" s="173">
        <v>789</v>
      </c>
      <c r="L222" s="174">
        <f>SQRT(I222/H222)</f>
        <v>8.6305939181079108</v>
      </c>
      <c r="M222" s="190">
        <f t="shared" si="34"/>
        <v>45.625</v>
      </c>
      <c r="N222" s="190"/>
      <c r="O222" s="190"/>
      <c r="P222" s="190"/>
      <c r="Q222" s="190"/>
      <c r="R222" s="190"/>
      <c r="S222" s="173">
        <v>11481</v>
      </c>
      <c r="T222" s="177">
        <v>963</v>
      </c>
    </row>
    <row r="223" spans="1:20" x14ac:dyDescent="0.25">
      <c r="A223" s="172" t="str">
        <f>$B$146&amp;"  "&amp;C223&amp;"*"&amp;E223</f>
        <v>CARC  220*14.2</v>
      </c>
      <c r="B223" s="174">
        <f>(H223*7850)/10000</f>
        <v>85.315043662447849</v>
      </c>
      <c r="C223" s="173">
        <v>220</v>
      </c>
      <c r="D223" s="173"/>
      <c r="E223" s="173">
        <v>14.2</v>
      </c>
      <c r="F223" s="173">
        <f>1*E223</f>
        <v>14.2</v>
      </c>
      <c r="G223" s="173">
        <f>1.5*E223</f>
        <v>21.299999999999997</v>
      </c>
      <c r="H223" s="174">
        <f>(4*(C223-2*G223)*E223+PI()*(G223^2-F223^2))*0.01</f>
        <v>108.68158428337307</v>
      </c>
      <c r="I223" s="185">
        <v>8007</v>
      </c>
      <c r="J223" s="174">
        <f>I223/(0.5*C223*0.1)</f>
        <v>727.90909090909088</v>
      </c>
      <c r="K223" s="173">
        <v>879</v>
      </c>
      <c r="L223" s="174">
        <f>SQRT(I223/H223)</f>
        <v>8.5833522133883129</v>
      </c>
      <c r="M223" s="190">
        <f t="shared" si="34"/>
        <v>50.381599999999999</v>
      </c>
      <c r="N223" s="190"/>
      <c r="O223" s="190"/>
      <c r="P223" s="190"/>
      <c r="Q223" s="190"/>
      <c r="R223" s="190"/>
      <c r="S223" s="173">
        <v>12765</v>
      </c>
      <c r="T223" s="177">
        <v>1060</v>
      </c>
    </row>
    <row r="224" spans="1:20" x14ac:dyDescent="0.25">
      <c r="A224" s="178" t="str">
        <f>$B$146&amp;"  "&amp;C224&amp;"*"&amp;E224</f>
        <v>CARC  220*16</v>
      </c>
      <c r="B224" s="180">
        <f>(H224*7850)/10000</f>
        <v>94.304480745817557</v>
      </c>
      <c r="C224" s="179">
        <v>220</v>
      </c>
      <c r="D224" s="179"/>
      <c r="E224" s="179">
        <v>16</v>
      </c>
      <c r="F224" s="179">
        <f>1*E224</f>
        <v>16</v>
      </c>
      <c r="G224" s="179">
        <f>1.5*E224</f>
        <v>24</v>
      </c>
      <c r="H224" s="180">
        <f>(4*(C224-2*G224)*E224+PI()*(G224^2-F224^2))*0.01</f>
        <v>120.13309649148734</v>
      </c>
      <c r="I224" s="186">
        <v>8749</v>
      </c>
      <c r="J224" s="180">
        <f>I224/(0.5*C224*0.1)</f>
        <v>795.36363636363637</v>
      </c>
      <c r="K224" s="179">
        <v>969</v>
      </c>
      <c r="L224" s="180">
        <f>SQRT(I224/H224)</f>
        <v>8.5339063484064965</v>
      </c>
      <c r="M224" s="191">
        <f t="shared" si="34"/>
        <v>55.04</v>
      </c>
      <c r="N224" s="191"/>
      <c r="O224" s="191"/>
      <c r="P224" s="191"/>
      <c r="Q224" s="191"/>
      <c r="R224" s="191"/>
      <c r="S224" s="179">
        <v>14054</v>
      </c>
      <c r="T224" s="183">
        <v>1156</v>
      </c>
    </row>
    <row r="225" spans="1:20" x14ac:dyDescent="0.25">
      <c r="A225" s="162" t="str">
        <f t="shared" si="27"/>
        <v>CARC  250*6.3</v>
      </c>
      <c r="B225" s="163">
        <f t="shared" si="32"/>
        <v>46.939720784380853</v>
      </c>
      <c r="C225" s="64">
        <v>250</v>
      </c>
      <c r="E225" s="64">
        <v>6.3</v>
      </c>
      <c r="F225" s="64">
        <f t="shared" si="29"/>
        <v>6.3</v>
      </c>
      <c r="G225" s="64">
        <f t="shared" si="30"/>
        <v>9.4499999999999993</v>
      </c>
      <c r="H225" s="163">
        <f t="shared" si="35"/>
        <v>59.795822655262228</v>
      </c>
      <c r="I225" s="187">
        <v>6014</v>
      </c>
      <c r="J225" s="163">
        <f t="shared" si="36"/>
        <v>481.12</v>
      </c>
      <c r="K225" s="64">
        <v>556</v>
      </c>
      <c r="L225" s="163">
        <f t="shared" si="31"/>
        <v>10.028738086471837</v>
      </c>
      <c r="M225" s="188">
        <f t="shared" si="34"/>
        <v>29.118599999999997</v>
      </c>
      <c r="N225" s="188"/>
      <c r="O225" s="188"/>
      <c r="P225" s="188"/>
      <c r="Q225" s="188"/>
      <c r="R225" s="188"/>
      <c r="S225" s="64">
        <v>9238</v>
      </c>
      <c r="T225" s="64">
        <v>712</v>
      </c>
    </row>
    <row r="226" spans="1:20" x14ac:dyDescent="0.25">
      <c r="A226" s="162" t="str">
        <f t="shared" si="27"/>
        <v>CARC  250*8</v>
      </c>
      <c r="B226" s="163">
        <f t="shared" si="32"/>
        <v>58.744120186454396</v>
      </c>
      <c r="C226" s="64">
        <v>250</v>
      </c>
      <c r="E226" s="64">
        <v>8</v>
      </c>
      <c r="F226" s="64">
        <f t="shared" si="29"/>
        <v>8</v>
      </c>
      <c r="G226" s="64">
        <f t="shared" si="30"/>
        <v>12</v>
      </c>
      <c r="H226" s="163">
        <f t="shared" si="35"/>
        <v>74.833274122871842</v>
      </c>
      <c r="I226" s="187">
        <v>7455</v>
      </c>
      <c r="J226" s="163">
        <f t="shared" si="36"/>
        <v>596.4</v>
      </c>
      <c r="K226" s="64">
        <v>694</v>
      </c>
      <c r="L226" s="163">
        <f t="shared" si="31"/>
        <v>9.9810550379167537</v>
      </c>
      <c r="M226" s="188">
        <f t="shared" si="34"/>
        <v>36.160000000000004</v>
      </c>
      <c r="N226" s="188"/>
      <c r="O226" s="188"/>
      <c r="P226" s="188"/>
      <c r="Q226" s="188"/>
      <c r="R226" s="188"/>
      <c r="S226" s="64">
        <v>11525</v>
      </c>
      <c r="T226" s="64">
        <v>880</v>
      </c>
    </row>
    <row r="227" spans="1:20" x14ac:dyDescent="0.25">
      <c r="A227" s="162" t="str">
        <f t="shared" si="27"/>
        <v>CARC  250*10</v>
      </c>
      <c r="B227" s="163">
        <f t="shared" si="32"/>
        <v>72.162687791334989</v>
      </c>
      <c r="C227" s="64">
        <v>250</v>
      </c>
      <c r="E227" s="64">
        <v>10</v>
      </c>
      <c r="F227" s="64">
        <f t="shared" si="29"/>
        <v>10</v>
      </c>
      <c r="G227" s="64">
        <f t="shared" si="30"/>
        <v>15</v>
      </c>
      <c r="H227" s="163">
        <f t="shared" si="35"/>
        <v>91.926990816987242</v>
      </c>
      <c r="I227" s="187">
        <v>9055</v>
      </c>
      <c r="J227" s="163">
        <f t="shared" si="36"/>
        <v>724.4</v>
      </c>
      <c r="K227" s="64">
        <v>851</v>
      </c>
      <c r="L227" s="163">
        <f t="shared" si="31"/>
        <v>9.9248215165978788</v>
      </c>
      <c r="M227" s="188">
        <f t="shared" si="34"/>
        <v>44</v>
      </c>
      <c r="N227" s="188"/>
      <c r="O227" s="188"/>
      <c r="P227" s="188"/>
      <c r="Q227" s="188"/>
      <c r="R227" s="188"/>
      <c r="S227" s="64">
        <v>14106</v>
      </c>
      <c r="T227" s="64">
        <v>1065</v>
      </c>
    </row>
    <row r="228" spans="1:20" x14ac:dyDescent="0.25">
      <c r="A228" s="162" t="str">
        <f>$B$146&amp;"  "&amp;C228&amp;"*"&amp;E228</f>
        <v>CARC  250*12.5</v>
      </c>
      <c r="B228" s="163">
        <f>(H228*7850)/10000</f>
        <v>88.222949673960912</v>
      </c>
      <c r="C228" s="64">
        <v>250</v>
      </c>
      <c r="E228" s="64">
        <v>12.5</v>
      </c>
      <c r="F228" s="64">
        <f>1*E228</f>
        <v>12.5</v>
      </c>
      <c r="G228" s="64">
        <f>1.5*E228</f>
        <v>18.75</v>
      </c>
      <c r="H228" s="163">
        <f>(4*(C228-2*G228)*E228+PI()*(G228^2-F228^2))*0.01</f>
        <v>112.38592315154256</v>
      </c>
      <c r="I228" s="187">
        <v>10915</v>
      </c>
      <c r="J228" s="163">
        <f>I228/(0.5*C228*0.1)</f>
        <v>873.2</v>
      </c>
      <c r="K228" s="64">
        <v>1037</v>
      </c>
      <c r="L228" s="163">
        <f>SQRT(I228/H228)</f>
        <v>9.8549837245962806</v>
      </c>
      <c r="M228" s="188">
        <f t="shared" si="34"/>
        <v>53.125</v>
      </c>
      <c r="N228" s="188"/>
      <c r="O228" s="188"/>
      <c r="P228" s="188"/>
      <c r="Q228" s="188"/>
      <c r="R228" s="188"/>
      <c r="S228" s="64">
        <v>17164</v>
      </c>
      <c r="T228" s="64">
        <v>1279</v>
      </c>
    </row>
    <row r="229" spans="1:20" x14ac:dyDescent="0.25">
      <c r="A229" s="162" t="str">
        <f>$B$146&amp;"  "&amp;C229&amp;"*"&amp;E229</f>
        <v>CARC  250*14.2</v>
      </c>
      <c r="B229" s="163">
        <f>(H229*7850)/10000</f>
        <v>98.691443662447867</v>
      </c>
      <c r="C229" s="64">
        <v>250</v>
      </c>
      <c r="E229" s="64">
        <v>14.2</v>
      </c>
      <c r="F229" s="64">
        <f>1*E229</f>
        <v>14.2</v>
      </c>
      <c r="G229" s="64">
        <f>1.5*E229</f>
        <v>21.299999999999997</v>
      </c>
      <c r="H229" s="163">
        <f>(4*(C229-2*G229)*E229+PI()*(G229^2-F229^2))*0.01</f>
        <v>125.72158428337308</v>
      </c>
      <c r="I229" s="187">
        <v>12094</v>
      </c>
      <c r="J229" s="163">
        <f>I229/(0.5*C229*0.1)</f>
        <v>967.52</v>
      </c>
      <c r="K229" s="64">
        <v>1158</v>
      </c>
      <c r="L229" s="163">
        <f>SQRT(I229/H229)</f>
        <v>9.8079910203592515</v>
      </c>
      <c r="M229" s="188">
        <f t="shared" si="34"/>
        <v>58.901600000000002</v>
      </c>
      <c r="N229" s="188"/>
      <c r="O229" s="188"/>
      <c r="P229" s="188"/>
      <c r="Q229" s="188"/>
      <c r="R229" s="188"/>
      <c r="S229" s="64">
        <v>19139</v>
      </c>
      <c r="T229" s="64">
        <v>1413</v>
      </c>
    </row>
    <row r="230" spans="1:20" x14ac:dyDescent="0.25">
      <c r="A230" s="162" t="str">
        <f>$B$146&amp;"  "&amp;C230&amp;"*"&amp;E230</f>
        <v>CARC  250*16</v>
      </c>
      <c r="B230" s="163">
        <f>(H230*7850)/10000</f>
        <v>109.37648074581756</v>
      </c>
      <c r="C230" s="64">
        <v>250</v>
      </c>
      <c r="E230" s="64">
        <v>16</v>
      </c>
      <c r="F230" s="64">
        <f>1*E230</f>
        <v>16</v>
      </c>
      <c r="G230" s="64">
        <f>1.5*E230</f>
        <v>24</v>
      </c>
      <c r="H230" s="163">
        <f>(4*(C230-2*G230)*E230+PI()*(G230^2-F230^2))*0.01</f>
        <v>139.33309649148734</v>
      </c>
      <c r="I230" s="187">
        <v>13267</v>
      </c>
      <c r="J230" s="163">
        <f>I230/(0.5*C230*0.1)</f>
        <v>1061.3599999999999</v>
      </c>
      <c r="K230" s="64">
        <v>1280</v>
      </c>
      <c r="L230" s="163">
        <f>SQRT(I230/H230)</f>
        <v>9.7579641935544696</v>
      </c>
      <c r="M230" s="188">
        <f t="shared" si="34"/>
        <v>64.64</v>
      </c>
      <c r="N230" s="188"/>
      <c r="O230" s="188"/>
      <c r="P230" s="188"/>
      <c r="Q230" s="188"/>
      <c r="R230" s="188"/>
      <c r="S230" s="64">
        <v>21138</v>
      </c>
      <c r="T230" s="64">
        <v>1546</v>
      </c>
    </row>
    <row r="231" spans="1:20" x14ac:dyDescent="0.25">
      <c r="A231" s="166" t="str">
        <f t="shared" si="27"/>
        <v>CARC  260*6.3</v>
      </c>
      <c r="B231" s="168">
        <f t="shared" si="32"/>
        <v>48.917920784380854</v>
      </c>
      <c r="C231" s="167">
        <v>260</v>
      </c>
      <c r="D231" s="167"/>
      <c r="E231" s="167">
        <v>6.3</v>
      </c>
      <c r="F231" s="167">
        <f t="shared" si="29"/>
        <v>6.3</v>
      </c>
      <c r="G231" s="167">
        <f t="shared" si="30"/>
        <v>9.4499999999999993</v>
      </c>
      <c r="H231" s="168">
        <f t="shared" si="35"/>
        <v>62.315822655262231</v>
      </c>
      <c r="I231" s="184">
        <v>6788</v>
      </c>
      <c r="J231" s="168">
        <f t="shared" si="36"/>
        <v>522.15384615384619</v>
      </c>
      <c r="K231" s="167">
        <v>603</v>
      </c>
      <c r="L231" s="168">
        <f t="shared" si="31"/>
        <v>10.436905482571225</v>
      </c>
      <c r="M231" s="189">
        <f t="shared" si="34"/>
        <v>30.378599999999999</v>
      </c>
      <c r="N231" s="189"/>
      <c r="O231" s="189"/>
      <c r="P231" s="189"/>
      <c r="Q231" s="189"/>
      <c r="R231" s="189"/>
      <c r="S231" s="167">
        <v>10417</v>
      </c>
      <c r="T231" s="171">
        <v>773</v>
      </c>
    </row>
    <row r="232" spans="1:20" x14ac:dyDescent="0.25">
      <c r="A232" s="172" t="str">
        <f t="shared" si="27"/>
        <v>CARC  260*8</v>
      </c>
      <c r="B232" s="174">
        <f t="shared" si="32"/>
        <v>61.256120186454382</v>
      </c>
      <c r="C232" s="173">
        <v>260</v>
      </c>
      <c r="D232" s="173"/>
      <c r="E232" s="173">
        <v>8</v>
      </c>
      <c r="F232" s="173">
        <f t="shared" si="29"/>
        <v>8</v>
      </c>
      <c r="G232" s="173">
        <f t="shared" si="30"/>
        <v>12</v>
      </c>
      <c r="H232" s="174">
        <f t="shared" si="35"/>
        <v>78.033274122871831</v>
      </c>
      <c r="I232" s="185">
        <v>8423</v>
      </c>
      <c r="J232" s="174">
        <f t="shared" si="36"/>
        <v>647.92307692307691</v>
      </c>
      <c r="K232" s="173">
        <v>753</v>
      </c>
      <c r="L232" s="174">
        <f t="shared" si="31"/>
        <v>10.389472206854634</v>
      </c>
      <c r="M232" s="190">
        <f t="shared" si="34"/>
        <v>37.76</v>
      </c>
      <c r="N232" s="190"/>
      <c r="O232" s="190"/>
      <c r="P232" s="190"/>
      <c r="Q232" s="190"/>
      <c r="R232" s="190"/>
      <c r="S232" s="173">
        <v>13006</v>
      </c>
      <c r="T232" s="177">
        <v>956</v>
      </c>
    </row>
    <row r="233" spans="1:20" x14ac:dyDescent="0.25">
      <c r="A233" s="172" t="str">
        <f t="shared" si="27"/>
        <v>CARC  260*10</v>
      </c>
      <c r="B233" s="174">
        <f t="shared" si="32"/>
        <v>75.302687791334989</v>
      </c>
      <c r="C233" s="173">
        <v>260</v>
      </c>
      <c r="D233" s="173"/>
      <c r="E233" s="173">
        <v>10</v>
      </c>
      <c r="F233" s="173">
        <f t="shared" si="29"/>
        <v>10</v>
      </c>
      <c r="G233" s="173">
        <f t="shared" si="30"/>
        <v>15</v>
      </c>
      <c r="H233" s="174">
        <f t="shared" si="35"/>
        <v>95.926990816987242</v>
      </c>
      <c r="I233" s="185">
        <v>10242</v>
      </c>
      <c r="J233" s="174">
        <f t="shared" si="36"/>
        <v>787.84615384615381</v>
      </c>
      <c r="K233" s="173">
        <v>924</v>
      </c>
      <c r="L233" s="174">
        <f t="shared" si="31"/>
        <v>10.332894024001115</v>
      </c>
      <c r="M233" s="190">
        <f t="shared" si="34"/>
        <v>46</v>
      </c>
      <c r="N233" s="190"/>
      <c r="O233" s="190"/>
      <c r="P233" s="190"/>
      <c r="Q233" s="190"/>
      <c r="R233" s="190"/>
      <c r="S233" s="173">
        <v>15932</v>
      </c>
      <c r="T233" s="177">
        <v>1159</v>
      </c>
    </row>
    <row r="234" spans="1:20" x14ac:dyDescent="0.25">
      <c r="A234" s="172" t="str">
        <f>$B$146&amp;"  "&amp;C234&amp;"*"&amp;E234</f>
        <v>CARC  260*12.5</v>
      </c>
      <c r="B234" s="174">
        <f>(H234*7850)/10000</f>
        <v>92.147949673960909</v>
      </c>
      <c r="C234" s="173">
        <v>260</v>
      </c>
      <c r="D234" s="173"/>
      <c r="E234" s="173">
        <v>12.5</v>
      </c>
      <c r="F234" s="173">
        <f>1*E234</f>
        <v>12.5</v>
      </c>
      <c r="G234" s="173">
        <f>1.5*E234</f>
        <v>18.75</v>
      </c>
      <c r="H234" s="174">
        <f>(4*(C234-2*G234)*E234+PI()*(G234^2-F234^2))*0.01</f>
        <v>117.38592315154256</v>
      </c>
      <c r="I234" s="185">
        <v>12365</v>
      </c>
      <c r="J234" s="174">
        <f>I234/(0.5*C234*0.1)</f>
        <v>951.15384615384619</v>
      </c>
      <c r="K234" s="173">
        <v>1127</v>
      </c>
      <c r="L234" s="174">
        <f>SQRT(I234/H234)</f>
        <v>10.263347898176077</v>
      </c>
      <c r="M234" s="190">
        <f t="shared" si="34"/>
        <v>55.625</v>
      </c>
      <c r="N234" s="190"/>
      <c r="O234" s="190"/>
      <c r="P234" s="190"/>
      <c r="Q234" s="190"/>
      <c r="R234" s="190"/>
      <c r="S234" s="173">
        <v>19409</v>
      </c>
      <c r="T234" s="177">
        <v>1394</v>
      </c>
    </row>
    <row r="235" spans="1:20" x14ac:dyDescent="0.25">
      <c r="A235" s="172" t="str">
        <f>$B$146&amp;"  "&amp;C235&amp;"*"&amp;E235</f>
        <v>CARC  260*14.5</v>
      </c>
      <c r="B235" s="174">
        <f>(H235*7850)/10000</f>
        <v>105.0538010812818</v>
      </c>
      <c r="C235" s="173">
        <v>260</v>
      </c>
      <c r="D235" s="173"/>
      <c r="E235" s="173">
        <v>14.5</v>
      </c>
      <c r="F235" s="173">
        <f>1*E235</f>
        <v>14.5</v>
      </c>
      <c r="G235" s="173">
        <f>1.5*E235</f>
        <v>21.75</v>
      </c>
      <c r="H235" s="174">
        <f>(4*(C235-2*G235)*E235+PI()*(G235^2-F235^2))*0.01</f>
        <v>133.82649819271569</v>
      </c>
      <c r="I235" s="185">
        <v>13714</v>
      </c>
      <c r="J235" s="174">
        <f>I235/(0.5*C235*0.1)</f>
        <v>1054.9230769230769</v>
      </c>
      <c r="K235" s="173">
        <v>1259</v>
      </c>
      <c r="L235" s="174">
        <f>SQRT(I235/H235)</f>
        <v>10.123041460001101</v>
      </c>
      <c r="M235" s="190">
        <f t="shared" si="34"/>
        <v>62.785000000000004</v>
      </c>
      <c r="N235" s="190"/>
      <c r="O235" s="190"/>
      <c r="P235" s="190"/>
      <c r="Q235" s="190"/>
      <c r="R235" s="190"/>
      <c r="S235" s="173">
        <v>21659</v>
      </c>
      <c r="T235" s="177">
        <v>1542</v>
      </c>
    </row>
    <row r="236" spans="1:20" x14ac:dyDescent="0.25">
      <c r="A236" s="178" t="str">
        <f>$B$146&amp;"  "&amp;C236&amp;"*"&amp;E236</f>
        <v>CARC  260*16</v>
      </c>
      <c r="B236" s="180">
        <f>(H236*7850)/10000</f>
        <v>114.40048074581756</v>
      </c>
      <c r="C236" s="179">
        <v>260</v>
      </c>
      <c r="D236" s="179"/>
      <c r="E236" s="179">
        <v>16</v>
      </c>
      <c r="F236" s="179">
        <f>1*E236</f>
        <v>16</v>
      </c>
      <c r="G236" s="179">
        <f>1.5*E236</f>
        <v>24</v>
      </c>
      <c r="H236" s="180">
        <f>(4*(C236-2*G236)*E236+PI()*(G236^2-F236^2))*0.01</f>
        <v>145.73309649148734</v>
      </c>
      <c r="I236" s="186">
        <v>15061</v>
      </c>
      <c r="J236" s="180">
        <f>I236/(0.5*C236*0.1)</f>
        <v>1158.5384615384614</v>
      </c>
      <c r="K236" s="179">
        <v>1394</v>
      </c>
      <c r="L236" s="180">
        <f>SQRT(I236/H236)</f>
        <v>10.16594622048879</v>
      </c>
      <c r="M236" s="191">
        <f t="shared" si="34"/>
        <v>67.84</v>
      </c>
      <c r="N236" s="191"/>
      <c r="O236" s="191"/>
      <c r="P236" s="191"/>
      <c r="Q236" s="191"/>
      <c r="R236" s="191"/>
      <c r="S236" s="179">
        <v>23942</v>
      </c>
      <c r="T236" s="183">
        <v>1689</v>
      </c>
    </row>
    <row r="237" spans="1:20" x14ac:dyDescent="0.25">
      <c r="A237" s="162" t="str">
        <f t="shared" si="27"/>
        <v>CARC  300*6.3</v>
      </c>
      <c r="B237" s="163">
        <f t="shared" si="32"/>
        <v>56.830720784380858</v>
      </c>
      <c r="C237" s="64">
        <v>300</v>
      </c>
      <c r="E237" s="64">
        <v>6.3</v>
      </c>
      <c r="F237" s="64">
        <f t="shared" si="29"/>
        <v>6.3</v>
      </c>
      <c r="G237" s="64">
        <f t="shared" si="30"/>
        <v>9.4499999999999993</v>
      </c>
      <c r="H237" s="163">
        <f t="shared" si="35"/>
        <v>72.395822655262236</v>
      </c>
      <c r="I237" s="187">
        <v>10547</v>
      </c>
      <c r="J237" s="163">
        <f t="shared" si="36"/>
        <v>703.13333333333333</v>
      </c>
      <c r="K237" s="64">
        <v>809</v>
      </c>
      <c r="L237" s="163">
        <f t="shared" si="31"/>
        <v>12.070012483177049</v>
      </c>
      <c r="M237" s="188">
        <f t="shared" si="34"/>
        <v>35.418600000000005</v>
      </c>
      <c r="N237" s="188"/>
      <c r="O237" s="188"/>
      <c r="P237" s="188"/>
      <c r="Q237" s="188"/>
      <c r="R237" s="188"/>
      <c r="S237" s="64">
        <v>16136</v>
      </c>
      <c r="T237" s="64">
        <v>1043</v>
      </c>
    </row>
    <row r="238" spans="1:20" x14ac:dyDescent="0.25">
      <c r="A238" s="162" t="str">
        <f t="shared" si="27"/>
        <v>CARC  300*8</v>
      </c>
      <c r="B238" s="163">
        <f t="shared" si="32"/>
        <v>71.304120186454384</v>
      </c>
      <c r="C238" s="64">
        <v>300</v>
      </c>
      <c r="E238" s="64">
        <v>8</v>
      </c>
      <c r="F238" s="64">
        <f t="shared" si="29"/>
        <v>8</v>
      </c>
      <c r="G238" s="64">
        <f t="shared" si="30"/>
        <v>12</v>
      </c>
      <c r="H238" s="163">
        <f t="shared" si="35"/>
        <v>90.833274122871828</v>
      </c>
      <c r="I238" s="187">
        <v>13128</v>
      </c>
      <c r="J238" s="163">
        <f t="shared" si="36"/>
        <v>875.2</v>
      </c>
      <c r="K238" s="64">
        <v>1013</v>
      </c>
      <c r="L238" s="163">
        <f t="shared" si="31"/>
        <v>12.022002103605544</v>
      </c>
      <c r="M238" s="188">
        <f t="shared" si="34"/>
        <v>44.160000000000004</v>
      </c>
      <c r="N238" s="188"/>
      <c r="O238" s="188"/>
      <c r="P238" s="188"/>
      <c r="Q238" s="188"/>
      <c r="R238" s="188"/>
      <c r="S238" s="64">
        <v>20194</v>
      </c>
      <c r="T238" s="64">
        <v>1294</v>
      </c>
    </row>
    <row r="239" spans="1:20" x14ac:dyDescent="0.25">
      <c r="A239" s="162" t="str">
        <f t="shared" ref="A239:A252" si="37">$B$146&amp;"  "&amp;C239&amp;"*"&amp;E239</f>
        <v>CARC  300*10</v>
      </c>
      <c r="B239" s="163">
        <f t="shared" si="32"/>
        <v>87.862687791334992</v>
      </c>
      <c r="C239" s="64">
        <v>300</v>
      </c>
      <c r="E239" s="64">
        <v>10</v>
      </c>
      <c r="F239" s="64">
        <f t="shared" ref="F239:F252" si="38">1*E239</f>
        <v>10</v>
      </c>
      <c r="G239" s="64">
        <f t="shared" ref="G239:G252" si="39">1.5*E239</f>
        <v>15</v>
      </c>
      <c r="H239" s="163">
        <f t="shared" si="35"/>
        <v>111.92699081698724</v>
      </c>
      <c r="I239" s="187">
        <v>16026</v>
      </c>
      <c r="J239" s="163">
        <f t="shared" si="36"/>
        <v>1068.4000000000001</v>
      </c>
      <c r="K239" s="64">
        <v>1246</v>
      </c>
      <c r="L239" s="163">
        <f t="shared" ref="L239:L252" si="40">SQRT(I239/H239)</f>
        <v>11.965894109570284</v>
      </c>
      <c r="M239" s="188">
        <f t="shared" si="34"/>
        <v>54</v>
      </c>
      <c r="N239" s="188"/>
      <c r="O239" s="188"/>
      <c r="P239" s="188"/>
      <c r="Q239" s="188"/>
      <c r="R239" s="188"/>
      <c r="S239" s="64">
        <v>24807</v>
      </c>
      <c r="T239" s="64">
        <v>1575</v>
      </c>
    </row>
    <row r="240" spans="1:20" x14ac:dyDescent="0.25">
      <c r="A240" s="162" t="str">
        <f t="shared" si="37"/>
        <v>CARC  300*12.5</v>
      </c>
      <c r="B240" s="163">
        <f t="shared" si="32"/>
        <v>107.84794967396091</v>
      </c>
      <c r="C240" s="64">
        <v>300</v>
      </c>
      <c r="E240" s="64">
        <v>12.5</v>
      </c>
      <c r="F240" s="64">
        <f t="shared" si="38"/>
        <v>12.5</v>
      </c>
      <c r="G240" s="64">
        <f t="shared" si="39"/>
        <v>18.75</v>
      </c>
      <c r="H240" s="163">
        <f t="shared" si="35"/>
        <v>137.38592315154256</v>
      </c>
      <c r="I240" s="187">
        <v>19442</v>
      </c>
      <c r="J240" s="163">
        <f t="shared" si="36"/>
        <v>1296.1333333333334</v>
      </c>
      <c r="K240" s="64">
        <v>1525</v>
      </c>
      <c r="L240" s="163">
        <f t="shared" si="40"/>
        <v>11.895956056944261</v>
      </c>
      <c r="M240" s="188">
        <f t="shared" si="34"/>
        <v>65.625</v>
      </c>
      <c r="N240" s="188"/>
      <c r="O240" s="188"/>
      <c r="P240" s="188"/>
      <c r="Q240" s="188"/>
      <c r="R240" s="188"/>
      <c r="S240" s="64">
        <v>30333</v>
      </c>
      <c r="T240" s="64">
        <v>1904</v>
      </c>
    </row>
    <row r="241" spans="1:20" x14ac:dyDescent="0.25">
      <c r="A241" s="162" t="str">
        <f t="shared" si="37"/>
        <v>CARC  300*14.2</v>
      </c>
      <c r="B241" s="163">
        <f t="shared" si="32"/>
        <v>120.98544366244784</v>
      </c>
      <c r="C241" s="64">
        <v>300</v>
      </c>
      <c r="E241" s="64">
        <v>14.2</v>
      </c>
      <c r="F241" s="64">
        <f t="shared" si="38"/>
        <v>14.2</v>
      </c>
      <c r="G241" s="64">
        <f t="shared" si="39"/>
        <v>21.299999999999997</v>
      </c>
      <c r="H241" s="163">
        <f t="shared" si="35"/>
        <v>154.12158428337304</v>
      </c>
      <c r="I241" s="187">
        <v>21637</v>
      </c>
      <c r="J241" s="163">
        <f t="shared" si="36"/>
        <v>1442.4666666666667</v>
      </c>
      <c r="K241" s="64">
        <v>1708</v>
      </c>
      <c r="L241" s="163">
        <f t="shared" si="40"/>
        <v>11.848593232404479</v>
      </c>
      <c r="M241" s="188">
        <f t="shared" si="34"/>
        <v>73.101599999999991</v>
      </c>
      <c r="N241" s="188"/>
      <c r="O241" s="188"/>
      <c r="P241" s="188"/>
      <c r="Q241" s="188"/>
      <c r="R241" s="188"/>
      <c r="S241" s="64">
        <v>33938</v>
      </c>
      <c r="T241" s="64">
        <v>2114</v>
      </c>
    </row>
    <row r="242" spans="1:20" x14ac:dyDescent="0.25">
      <c r="A242" s="162" t="str">
        <f t="shared" si="37"/>
        <v>CARC  300*16</v>
      </c>
      <c r="B242" s="163">
        <f t="shared" si="32"/>
        <v>134.49648074581756</v>
      </c>
      <c r="C242" s="64">
        <v>300</v>
      </c>
      <c r="E242" s="64">
        <v>16</v>
      </c>
      <c r="F242" s="64">
        <f t="shared" si="38"/>
        <v>16</v>
      </c>
      <c r="G242" s="64">
        <f t="shared" si="39"/>
        <v>24</v>
      </c>
      <c r="H242" s="163">
        <f t="shared" si="35"/>
        <v>171.33309649148734</v>
      </c>
      <c r="I242" s="187">
        <v>23850</v>
      </c>
      <c r="J242" s="163">
        <f t="shared" si="36"/>
        <v>1590</v>
      </c>
      <c r="K242" s="64">
        <v>1895</v>
      </c>
      <c r="L242" s="163">
        <f t="shared" si="40"/>
        <v>11.798412056557602</v>
      </c>
      <c r="M242" s="188">
        <f t="shared" si="34"/>
        <v>80.64</v>
      </c>
      <c r="N242" s="188"/>
      <c r="O242" s="188"/>
      <c r="P242" s="188"/>
      <c r="Q242" s="188"/>
      <c r="R242" s="188"/>
      <c r="S242" s="64">
        <v>37622</v>
      </c>
      <c r="T242" s="64">
        <v>2325</v>
      </c>
    </row>
    <row r="243" spans="1:20" x14ac:dyDescent="0.25">
      <c r="A243" s="166" t="str">
        <f t="shared" si="37"/>
        <v>CARC  350*8</v>
      </c>
      <c r="B243" s="168">
        <f t="shared" si="32"/>
        <v>83.864120186454386</v>
      </c>
      <c r="C243" s="167">
        <v>350</v>
      </c>
      <c r="D243" s="167"/>
      <c r="E243" s="167">
        <v>8</v>
      </c>
      <c r="F243" s="167">
        <f t="shared" si="38"/>
        <v>8</v>
      </c>
      <c r="G243" s="167">
        <f t="shared" si="39"/>
        <v>12</v>
      </c>
      <c r="H243" s="168">
        <f t="shared" si="35"/>
        <v>106.83327412287183</v>
      </c>
      <c r="I243" s="184">
        <v>21129</v>
      </c>
      <c r="J243" s="168">
        <f t="shared" si="36"/>
        <v>1207.3714285714286</v>
      </c>
      <c r="K243" s="167">
        <v>1392</v>
      </c>
      <c r="L243" s="168">
        <f t="shared" si="40"/>
        <v>14.063266356986462</v>
      </c>
      <c r="M243" s="189">
        <f t="shared" si="34"/>
        <v>52.160000000000004</v>
      </c>
      <c r="N243" s="189"/>
      <c r="O243" s="189"/>
      <c r="P243" s="189"/>
      <c r="Q243" s="189"/>
      <c r="R243" s="189"/>
      <c r="S243" s="167">
        <v>32384</v>
      </c>
      <c r="T243" s="171">
        <v>1789</v>
      </c>
    </row>
    <row r="244" spans="1:20" x14ac:dyDescent="0.25">
      <c r="A244" s="172" t="str">
        <f t="shared" si="37"/>
        <v>CARC  350*10</v>
      </c>
      <c r="B244" s="174">
        <f t="shared" si="32"/>
        <v>103.56268779133498</v>
      </c>
      <c r="C244" s="173">
        <v>350</v>
      </c>
      <c r="D244" s="173"/>
      <c r="E244" s="173">
        <v>10</v>
      </c>
      <c r="F244" s="173">
        <f t="shared" si="38"/>
        <v>10</v>
      </c>
      <c r="G244" s="173">
        <f t="shared" si="39"/>
        <v>15</v>
      </c>
      <c r="H244" s="174">
        <f t="shared" si="35"/>
        <v>131.92699081698723</v>
      </c>
      <c r="I244" s="185">
        <v>25884</v>
      </c>
      <c r="J244" s="174">
        <f t="shared" si="36"/>
        <v>1479.0857142857142</v>
      </c>
      <c r="K244" s="173">
        <v>1715</v>
      </c>
      <c r="L244" s="174">
        <f t="shared" si="40"/>
        <v>14.007120580930128</v>
      </c>
      <c r="M244" s="190">
        <f t="shared" si="34"/>
        <v>64</v>
      </c>
      <c r="N244" s="190"/>
      <c r="O244" s="190"/>
      <c r="P244" s="190"/>
      <c r="Q244" s="190"/>
      <c r="R244" s="190"/>
      <c r="S244" s="173">
        <v>39886</v>
      </c>
      <c r="T244" s="177">
        <v>2185</v>
      </c>
    </row>
    <row r="245" spans="1:20" x14ac:dyDescent="0.25">
      <c r="A245" s="172" t="str">
        <f t="shared" si="37"/>
        <v>CARC  350*12.5</v>
      </c>
      <c r="B245" s="174">
        <f t="shared" si="32"/>
        <v>127.47294967396091</v>
      </c>
      <c r="C245" s="173">
        <v>350</v>
      </c>
      <c r="D245" s="173"/>
      <c r="E245" s="173">
        <v>12.5</v>
      </c>
      <c r="F245" s="173">
        <f t="shared" si="38"/>
        <v>12.5</v>
      </c>
      <c r="G245" s="173">
        <f t="shared" si="39"/>
        <v>18.75</v>
      </c>
      <c r="H245" s="174">
        <f t="shared" si="35"/>
        <v>162.38592315154256</v>
      </c>
      <c r="I245" s="185">
        <v>31541</v>
      </c>
      <c r="J245" s="174">
        <f t="shared" si="36"/>
        <v>1802.3428571428572</v>
      </c>
      <c r="K245" s="173">
        <v>2107</v>
      </c>
      <c r="L245" s="174">
        <f t="shared" si="40"/>
        <v>13.93681515229186</v>
      </c>
      <c r="M245" s="190">
        <f t="shared" si="34"/>
        <v>78.125</v>
      </c>
      <c r="N245" s="190"/>
      <c r="O245" s="190"/>
      <c r="P245" s="190"/>
      <c r="Q245" s="190"/>
      <c r="R245" s="190"/>
      <c r="S245" s="173">
        <v>48934</v>
      </c>
      <c r="T245" s="177">
        <v>2654</v>
      </c>
    </row>
    <row r="246" spans="1:20" x14ac:dyDescent="0.25">
      <c r="A246" s="172" t="str">
        <f t="shared" si="37"/>
        <v>CARC  350*14.2</v>
      </c>
      <c r="B246" s="174">
        <f t="shared" si="32"/>
        <v>143.27944366244782</v>
      </c>
      <c r="C246" s="173">
        <v>350</v>
      </c>
      <c r="D246" s="173"/>
      <c r="E246" s="173">
        <v>14.2</v>
      </c>
      <c r="F246" s="173">
        <f t="shared" si="38"/>
        <v>14.2</v>
      </c>
      <c r="G246" s="173">
        <f t="shared" si="39"/>
        <v>21.299999999999997</v>
      </c>
      <c r="H246" s="174">
        <f t="shared" si="35"/>
        <v>182.52158428337302</v>
      </c>
      <c r="I246" s="185">
        <v>35211</v>
      </c>
      <c r="J246" s="174">
        <f t="shared" si="36"/>
        <v>2012.0571428571429</v>
      </c>
      <c r="K246" s="173">
        <v>2364</v>
      </c>
      <c r="L246" s="174">
        <f t="shared" si="40"/>
        <v>13.889354568646942</v>
      </c>
      <c r="M246" s="190">
        <f t="shared" si="34"/>
        <v>87.301599999999979</v>
      </c>
      <c r="N246" s="190"/>
      <c r="O246" s="190"/>
      <c r="P246" s="190"/>
      <c r="Q246" s="190"/>
      <c r="R246" s="190"/>
      <c r="S246" s="173">
        <v>54879</v>
      </c>
      <c r="T246" s="177">
        <v>2957</v>
      </c>
    </row>
    <row r="247" spans="1:20" x14ac:dyDescent="0.25">
      <c r="A247" s="178" t="str">
        <f t="shared" si="37"/>
        <v>CARC  350*16</v>
      </c>
      <c r="B247" s="180">
        <f t="shared" si="32"/>
        <v>159.61648074581757</v>
      </c>
      <c r="C247" s="179">
        <v>350</v>
      </c>
      <c r="D247" s="179"/>
      <c r="E247" s="179">
        <v>16</v>
      </c>
      <c r="F247" s="179">
        <f t="shared" si="38"/>
        <v>16</v>
      </c>
      <c r="G247" s="179">
        <f t="shared" si="39"/>
        <v>24</v>
      </c>
      <c r="H247" s="180">
        <f t="shared" si="35"/>
        <v>203.33309649148734</v>
      </c>
      <c r="I247" s="186">
        <v>38942</v>
      </c>
      <c r="J247" s="180">
        <f t="shared" si="36"/>
        <v>2225.2571428571428</v>
      </c>
      <c r="K247" s="179">
        <v>2630</v>
      </c>
      <c r="L247" s="180">
        <f t="shared" si="40"/>
        <v>13.839012098649841</v>
      </c>
      <c r="M247" s="191">
        <f t="shared" si="34"/>
        <v>96.64</v>
      </c>
      <c r="N247" s="191"/>
      <c r="O247" s="191"/>
      <c r="P247" s="191"/>
      <c r="Q247" s="191"/>
      <c r="R247" s="191"/>
      <c r="S247" s="179">
        <v>60990</v>
      </c>
      <c r="T247" s="183">
        <v>3264</v>
      </c>
    </row>
    <row r="248" spans="1:20" x14ac:dyDescent="0.25">
      <c r="A248" s="162" t="str">
        <f t="shared" si="37"/>
        <v>CARC  400*8</v>
      </c>
      <c r="B248" s="163">
        <f t="shared" si="32"/>
        <v>96.424120186454388</v>
      </c>
      <c r="C248" s="64">
        <v>400</v>
      </c>
      <c r="E248" s="64">
        <v>8</v>
      </c>
      <c r="F248" s="64">
        <f t="shared" si="38"/>
        <v>8</v>
      </c>
      <c r="G248" s="64">
        <f t="shared" si="39"/>
        <v>12</v>
      </c>
      <c r="H248" s="163">
        <f t="shared" si="35"/>
        <v>122.83327412287183</v>
      </c>
      <c r="I248" s="187">
        <v>39128</v>
      </c>
      <c r="J248" s="163">
        <f t="shared" si="36"/>
        <v>1956.4</v>
      </c>
      <c r="K248" s="64">
        <v>2260</v>
      </c>
      <c r="L248" s="163">
        <f t="shared" si="40"/>
        <v>17.847846035218708</v>
      </c>
      <c r="M248" s="188">
        <f t="shared" si="34"/>
        <v>60.160000000000004</v>
      </c>
      <c r="N248" s="188"/>
      <c r="O248" s="188"/>
      <c r="P248" s="188"/>
      <c r="Q248" s="188"/>
      <c r="R248" s="188"/>
      <c r="S248" s="64">
        <v>60092</v>
      </c>
      <c r="T248" s="64">
        <v>2895</v>
      </c>
    </row>
    <row r="249" spans="1:20" x14ac:dyDescent="0.25">
      <c r="A249" s="162" t="str">
        <f t="shared" si="37"/>
        <v>CARC  400*10</v>
      </c>
      <c r="B249" s="163">
        <f t="shared" si="32"/>
        <v>119.26268779133498</v>
      </c>
      <c r="C249" s="64">
        <v>400</v>
      </c>
      <c r="E249" s="64">
        <v>10</v>
      </c>
      <c r="F249" s="64">
        <f t="shared" si="38"/>
        <v>10</v>
      </c>
      <c r="G249" s="64">
        <f t="shared" si="39"/>
        <v>15</v>
      </c>
      <c r="H249" s="163">
        <f t="shared" si="35"/>
        <v>151.92699081698723</v>
      </c>
      <c r="I249" s="187">
        <v>47839</v>
      </c>
      <c r="J249" s="163">
        <f t="shared" si="36"/>
        <v>2391.9499999999998</v>
      </c>
      <c r="K249" s="64">
        <v>2782</v>
      </c>
      <c r="L249" s="163">
        <f t="shared" si="40"/>
        <v>17.744900906141957</v>
      </c>
      <c r="M249" s="188">
        <f t="shared" si="34"/>
        <v>74</v>
      </c>
      <c r="N249" s="188"/>
      <c r="O249" s="188"/>
      <c r="P249" s="188"/>
      <c r="Q249" s="188"/>
      <c r="R249" s="188"/>
      <c r="S249" s="64">
        <v>73906</v>
      </c>
      <c r="T249" s="64">
        <v>3530</v>
      </c>
    </row>
    <row r="250" spans="1:20" x14ac:dyDescent="0.25">
      <c r="A250" s="162" t="str">
        <f t="shared" si="37"/>
        <v>CARC  400*12.5</v>
      </c>
      <c r="B250" s="163">
        <f t="shared" si="32"/>
        <v>147.09794967396093</v>
      </c>
      <c r="C250" s="64">
        <v>400</v>
      </c>
      <c r="E250" s="64">
        <v>12.5</v>
      </c>
      <c r="F250" s="64">
        <f t="shared" si="38"/>
        <v>12.5</v>
      </c>
      <c r="G250" s="64">
        <f t="shared" si="39"/>
        <v>18.75</v>
      </c>
      <c r="H250" s="163">
        <f t="shared" si="35"/>
        <v>187.38592315154256</v>
      </c>
      <c r="I250" s="187">
        <v>53526</v>
      </c>
      <c r="J250" s="163">
        <f t="shared" si="36"/>
        <v>2676.3</v>
      </c>
      <c r="K250" s="64">
        <v>3127</v>
      </c>
      <c r="L250" s="163">
        <f t="shared" si="40"/>
        <v>16.90105883412291</v>
      </c>
      <c r="M250" s="188">
        <f t="shared" si="34"/>
        <v>90.625</v>
      </c>
      <c r="N250" s="188"/>
      <c r="O250" s="188"/>
      <c r="P250" s="188"/>
      <c r="Q250" s="188"/>
      <c r="R250" s="188"/>
      <c r="S250" s="64">
        <v>83026</v>
      </c>
      <c r="T250" s="64">
        <v>3942</v>
      </c>
    </row>
    <row r="251" spans="1:20" x14ac:dyDescent="0.25">
      <c r="A251" s="162" t="str">
        <f t="shared" si="37"/>
        <v>CARC  400*14.5</v>
      </c>
      <c r="B251" s="163">
        <f t="shared" si="32"/>
        <v>168.79580108128181</v>
      </c>
      <c r="C251" s="64">
        <v>400</v>
      </c>
      <c r="E251" s="64">
        <v>14.5</v>
      </c>
      <c r="F251" s="64">
        <f t="shared" si="38"/>
        <v>14.5</v>
      </c>
      <c r="G251" s="64">
        <f t="shared" si="39"/>
        <v>21.75</v>
      </c>
      <c r="H251" s="163">
        <f t="shared" si="35"/>
        <v>215.02649819271568</v>
      </c>
      <c r="I251" s="187">
        <v>59344</v>
      </c>
      <c r="J251" s="163">
        <f t="shared" si="36"/>
        <v>2967.2</v>
      </c>
      <c r="K251" s="64">
        <v>3484</v>
      </c>
      <c r="L251" s="163">
        <f t="shared" si="40"/>
        <v>16.612783940862233</v>
      </c>
      <c r="M251" s="188">
        <f t="shared" si="34"/>
        <v>103.38500000000001</v>
      </c>
      <c r="N251" s="188"/>
      <c r="O251" s="188"/>
      <c r="P251" s="188"/>
      <c r="Q251" s="188"/>
      <c r="R251" s="188"/>
      <c r="S251" s="64">
        <v>92442</v>
      </c>
      <c r="T251" s="64">
        <v>4362</v>
      </c>
    </row>
    <row r="252" spans="1:20" x14ac:dyDescent="0.25">
      <c r="A252" s="162" t="str">
        <f t="shared" si="37"/>
        <v>CARC  400*16</v>
      </c>
      <c r="B252" s="163">
        <f t="shared" si="32"/>
        <v>184.73648074581754</v>
      </c>
      <c r="C252" s="64">
        <v>400</v>
      </c>
      <c r="E252" s="64">
        <v>16</v>
      </c>
      <c r="F252" s="64">
        <f t="shared" si="38"/>
        <v>16</v>
      </c>
      <c r="G252" s="64">
        <f t="shared" si="39"/>
        <v>24</v>
      </c>
      <c r="H252" s="163">
        <f t="shared" si="35"/>
        <v>235.33309649148734</v>
      </c>
      <c r="I252" s="187">
        <v>71535</v>
      </c>
      <c r="J252" s="163">
        <f t="shared" si="36"/>
        <v>3576.75</v>
      </c>
      <c r="K252" s="64">
        <v>7247</v>
      </c>
      <c r="L252" s="163">
        <f t="shared" si="40"/>
        <v>17.434832770651791</v>
      </c>
      <c r="M252" s="188">
        <f t="shared" si="34"/>
        <v>112.64</v>
      </c>
      <c r="N252" s="188"/>
      <c r="O252" s="188"/>
      <c r="P252" s="188"/>
      <c r="Q252" s="188"/>
      <c r="R252" s="188"/>
      <c r="S252" s="64">
        <v>112489</v>
      </c>
      <c r="T252" s="64">
        <v>5237</v>
      </c>
    </row>
    <row r="253" spans="1:20" x14ac:dyDescent="0.25">
      <c r="M253" s="188"/>
      <c r="N253" s="188"/>
      <c r="O253" s="188"/>
      <c r="P253" s="188"/>
      <c r="Q253" s="188"/>
      <c r="R253" s="188"/>
    </row>
  </sheetData>
  <sheetProtection algorithmName="SHA-512" hashValue="391PDFgjorTfnnVZDkXnHYNmJctLuCHwtnbtTEIR2mSzOGG7G5SBZKp24wizuFT4qXYiBL9G5Iu+zlAg+R07YQ==" saltValue="U6Ne2MnH8uO9igZte2hL+w==" spinCount="100000" sheet="1" objects="1" scenarios="1"/>
  <mergeCells count="2">
    <mergeCell ref="C1:G1"/>
    <mergeCell ref="J1:K1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99874-EED1-4D9D-8C88-35E200EF3FE4}">
  <sheetPr codeName="Feuil5">
    <tabColor rgb="FFFF0000"/>
  </sheetPr>
  <dimension ref="A1:T281"/>
  <sheetViews>
    <sheetView zoomScaleNormal="100" workbookViewId="0">
      <pane ySplit="2" topLeftCell="A3" activePane="bottomLeft" state="frozen"/>
      <selection pane="bottomLeft"/>
    </sheetView>
  </sheetViews>
  <sheetFormatPr baseColWidth="10" defaultRowHeight="15" x14ac:dyDescent="0.25"/>
  <cols>
    <col min="1" max="1" width="23.42578125" style="215" customWidth="1"/>
    <col min="2" max="2" width="18.5703125" customWidth="1"/>
  </cols>
  <sheetData>
    <row r="1" spans="1:20" ht="45" x14ac:dyDescent="0.25">
      <c r="A1" s="147" t="s">
        <v>0</v>
      </c>
      <c r="B1" s="1" t="s">
        <v>1</v>
      </c>
      <c r="C1" s="490" t="s">
        <v>2</v>
      </c>
      <c r="D1" s="491"/>
      <c r="E1" s="491"/>
      <c r="F1" s="491"/>
      <c r="G1" s="492"/>
      <c r="H1" s="1" t="s">
        <v>3</v>
      </c>
      <c r="I1" s="2" t="s">
        <v>4</v>
      </c>
      <c r="J1" s="493" t="s">
        <v>5</v>
      </c>
      <c r="K1" s="494"/>
      <c r="L1" s="3" t="s">
        <v>6</v>
      </c>
      <c r="M1" s="4" t="s">
        <v>7</v>
      </c>
      <c r="N1" s="2" t="s">
        <v>4</v>
      </c>
      <c r="O1" s="495" t="s">
        <v>5</v>
      </c>
      <c r="P1" s="496"/>
      <c r="Q1" s="3" t="s">
        <v>6</v>
      </c>
      <c r="R1" s="4" t="s">
        <v>7</v>
      </c>
      <c r="S1" s="5" t="s">
        <v>8</v>
      </c>
      <c r="T1" s="6" t="s">
        <v>398</v>
      </c>
    </row>
    <row r="2" spans="1:20" ht="15.75" thickBot="1" x14ac:dyDescent="0.3">
      <c r="A2" s="192"/>
      <c r="B2" s="7" t="s">
        <v>10</v>
      </c>
      <c r="C2" s="8" t="s">
        <v>11</v>
      </c>
      <c r="D2" s="9" t="s">
        <v>12</v>
      </c>
      <c r="E2" s="9" t="s">
        <v>399</v>
      </c>
      <c r="F2" s="9" t="s">
        <v>417</v>
      </c>
      <c r="G2" s="10" t="s">
        <v>401</v>
      </c>
      <c r="H2" s="7" t="s">
        <v>16</v>
      </c>
      <c r="I2" s="8" t="s">
        <v>17</v>
      </c>
      <c r="J2" s="9" t="s">
        <v>18</v>
      </c>
      <c r="K2" s="9" t="s">
        <v>19</v>
      </c>
      <c r="L2" s="9" t="s">
        <v>20</v>
      </c>
      <c r="M2" s="10" t="s">
        <v>21</v>
      </c>
      <c r="N2" s="8" t="s">
        <v>22</v>
      </c>
      <c r="O2" s="9" t="s">
        <v>23</v>
      </c>
      <c r="P2" s="9" t="s">
        <v>24</v>
      </c>
      <c r="Q2" s="9" t="s">
        <v>25</v>
      </c>
      <c r="R2" s="10" t="s">
        <v>26</v>
      </c>
      <c r="S2" s="11" t="s">
        <v>27</v>
      </c>
      <c r="T2" s="9" t="s">
        <v>407</v>
      </c>
    </row>
    <row r="3" spans="1:20" ht="16.5" thickBot="1" x14ac:dyDescent="0.3">
      <c r="A3" s="193"/>
      <c r="B3" s="158" t="s">
        <v>418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60"/>
    </row>
    <row r="4" spans="1:20" x14ac:dyDescent="0.25">
      <c r="A4" s="194" t="str">
        <f>$B$3&amp;"  "&amp;C4&amp;"*"&amp;D4&amp;"*"&amp;E4</f>
        <v>RECF  40*20*2</v>
      </c>
      <c r="B4" s="195">
        <f>H4*0.785</f>
        <v>1.6775380279681584</v>
      </c>
      <c r="C4" s="148">
        <v>40</v>
      </c>
      <c r="D4" s="148">
        <v>20</v>
      </c>
      <c r="E4" s="148">
        <v>2</v>
      </c>
      <c r="F4" s="148">
        <f>IF(E4&lt;=6,1*E4,IF(E4&lt;=10,1.5*E4,2*E4))</f>
        <v>2</v>
      </c>
      <c r="G4" s="148">
        <f>IF(E4&lt;=6,2*E4,IF(E4&lt;=10,2.5*E4,3*E4))</f>
        <v>4</v>
      </c>
      <c r="H4" s="195">
        <f>(2*(C4-2*G4)*E4+2*(D4-2*G4)*E4+PI()*(G4^2-F4^2))*0.01</f>
        <v>2.136991118430775</v>
      </c>
      <c r="I4" s="148">
        <v>4.03</v>
      </c>
      <c r="J4" s="195">
        <f>I4/(0.5*C4*0.1)</f>
        <v>2.0150000000000001</v>
      </c>
      <c r="K4" s="148">
        <v>2.61</v>
      </c>
      <c r="L4" s="195">
        <f>SQRT(I4/H4)</f>
        <v>1.3732549225891462</v>
      </c>
      <c r="M4" s="196">
        <f>2*(C4-2*G4)*E4*0.01</f>
        <v>1.28</v>
      </c>
      <c r="N4" s="148">
        <v>1.33</v>
      </c>
      <c r="O4" s="195">
        <f>N4/(0.5*D4*0.1)</f>
        <v>1.33</v>
      </c>
      <c r="P4" s="148">
        <v>1.59</v>
      </c>
      <c r="Q4" s="195">
        <f>SQRT(N4/H4)</f>
        <v>0.78890455187137132</v>
      </c>
      <c r="R4" s="148">
        <f>2*(D4-2*G4)*E4*0.01</f>
        <v>0.48</v>
      </c>
      <c r="S4" s="196"/>
      <c r="T4" s="148"/>
    </row>
    <row r="5" spans="1:20" x14ac:dyDescent="0.25">
      <c r="A5" s="194" t="str">
        <f t="shared" ref="A5:A68" si="0">$B$3&amp;"  "&amp;C5&amp;"*"&amp;D5&amp;"*"&amp;E5</f>
        <v>RECF  40*20*2.5</v>
      </c>
      <c r="B5" s="195">
        <f t="shared" ref="B5:B68" si="1">H5*0.785</f>
        <v>2.032403168700248</v>
      </c>
      <c r="C5" s="148">
        <v>40</v>
      </c>
      <c r="D5" s="148">
        <v>20</v>
      </c>
      <c r="E5" s="148">
        <v>2.5</v>
      </c>
      <c r="F5" s="148">
        <f t="shared" ref="F5:F68" si="2">IF(E5&lt;=6,1*E5,IF(E5&lt;=10,1.5*E5,2*E5))</f>
        <v>2.5</v>
      </c>
      <c r="G5" s="148">
        <f t="shared" ref="G5:G68" si="3">IF(E5&lt;=6,2*E5,IF(E5&lt;=10,2.5*E5,3*E5))</f>
        <v>5</v>
      </c>
      <c r="H5" s="195">
        <f t="shared" ref="H5:H68" si="4">(2*(C5-2*G5)*E5+2*(D5-2*G5)*E5+PI()*(G5^2-F5^2))*0.01</f>
        <v>2.5890486225480864</v>
      </c>
      <c r="I5" s="148">
        <v>4.6500000000000004</v>
      </c>
      <c r="J5" s="195">
        <f t="shared" ref="J5:J68" si="5">I5/(0.5*C5*0.1)</f>
        <v>2.3250000000000002</v>
      </c>
      <c r="K5" s="148">
        <v>3.08</v>
      </c>
      <c r="L5" s="195">
        <f t="shared" ref="L5:L68" si="6">SQRT(I5/H5)</f>
        <v>1.3401591415813185</v>
      </c>
      <c r="M5" s="196">
        <f t="shared" ref="M5:M68" si="7">2*(C5-2*G5)*E5*0.01</f>
        <v>1.5</v>
      </c>
      <c r="N5" s="148">
        <v>1.52</v>
      </c>
      <c r="O5" s="195">
        <f t="shared" ref="O5:O68" si="8">N5/(0.5*D5*0.1)</f>
        <v>1.52</v>
      </c>
      <c r="P5" s="148">
        <v>1.87</v>
      </c>
      <c r="Q5" s="195">
        <f t="shared" ref="Q5:Q68" si="9">SQRT(N5/H5)</f>
        <v>0.76621683638050908</v>
      </c>
      <c r="R5" s="148">
        <f t="shared" ref="R5:R68" si="10">2*(D5-2*G5)*E5*0.01</f>
        <v>0.5</v>
      </c>
      <c r="S5" s="196"/>
      <c r="T5" s="148"/>
    </row>
    <row r="6" spans="1:20" x14ac:dyDescent="0.25">
      <c r="A6" s="194" t="str">
        <f t="shared" si="0"/>
        <v>RECF  40*20*3</v>
      </c>
      <c r="B6" s="195">
        <f t="shared" si="1"/>
        <v>2.3614605629283569</v>
      </c>
      <c r="C6" s="148">
        <v>40</v>
      </c>
      <c r="D6" s="148">
        <v>20</v>
      </c>
      <c r="E6" s="148">
        <v>3</v>
      </c>
      <c r="F6" s="148">
        <f t="shared" si="2"/>
        <v>3</v>
      </c>
      <c r="G6" s="148">
        <f t="shared" si="3"/>
        <v>6</v>
      </c>
      <c r="H6" s="195">
        <f t="shared" si="4"/>
        <v>3.0082300164692444</v>
      </c>
      <c r="I6" s="148">
        <v>5.13</v>
      </c>
      <c r="J6" s="195">
        <f t="shared" si="5"/>
        <v>2.5649999999999999</v>
      </c>
      <c r="K6" s="148">
        <v>3.48</v>
      </c>
      <c r="L6" s="195">
        <f t="shared" si="6"/>
        <v>1.305879674666379</v>
      </c>
      <c r="M6" s="196">
        <f t="shared" si="7"/>
        <v>1.68</v>
      </c>
      <c r="N6" s="148">
        <v>1.65</v>
      </c>
      <c r="O6" s="195">
        <f t="shared" si="8"/>
        <v>1.65</v>
      </c>
      <c r="P6" s="148">
        <v>2.09</v>
      </c>
      <c r="Q6" s="195">
        <f t="shared" si="9"/>
        <v>0.74060467968569577</v>
      </c>
      <c r="R6" s="148">
        <f t="shared" si="10"/>
        <v>0.48</v>
      </c>
      <c r="S6" s="196"/>
      <c r="T6" s="148"/>
    </row>
    <row r="7" spans="1:20" x14ac:dyDescent="0.25">
      <c r="A7" s="197" t="str">
        <f t="shared" si="0"/>
        <v>RECF  50*30*2</v>
      </c>
      <c r="B7" s="198">
        <f t="shared" si="1"/>
        <v>2.3055380279681583</v>
      </c>
      <c r="C7" s="199">
        <v>50</v>
      </c>
      <c r="D7" s="199">
        <v>30</v>
      </c>
      <c r="E7" s="199">
        <v>2</v>
      </c>
      <c r="F7" s="199">
        <f t="shared" si="2"/>
        <v>2</v>
      </c>
      <c r="G7" s="199">
        <f t="shared" si="3"/>
        <v>4</v>
      </c>
      <c r="H7" s="198">
        <f t="shared" si="4"/>
        <v>2.9369911184307749</v>
      </c>
      <c r="I7" s="199">
        <v>9.51</v>
      </c>
      <c r="J7" s="198">
        <f t="shared" si="5"/>
        <v>3.8039999999999998</v>
      </c>
      <c r="K7" s="199">
        <v>4.74</v>
      </c>
      <c r="L7" s="198">
        <f t="shared" si="6"/>
        <v>1.7994465118263625</v>
      </c>
      <c r="M7" s="200">
        <f t="shared" si="7"/>
        <v>1.68</v>
      </c>
      <c r="N7" s="199">
        <v>4.28</v>
      </c>
      <c r="O7" s="198">
        <f t="shared" si="8"/>
        <v>2.8533333333333335</v>
      </c>
      <c r="P7" s="199">
        <v>3.32</v>
      </c>
      <c r="Q7" s="198">
        <f t="shared" si="9"/>
        <v>1.2071759313678854</v>
      </c>
      <c r="R7" s="199">
        <f t="shared" si="10"/>
        <v>0.88</v>
      </c>
      <c r="S7" s="200"/>
      <c r="T7" s="201"/>
    </row>
    <row r="8" spans="1:20" x14ac:dyDescent="0.25">
      <c r="A8" s="202" t="str">
        <f t="shared" si="0"/>
        <v>RECF  50*30*2.5</v>
      </c>
      <c r="B8" s="203">
        <f t="shared" si="1"/>
        <v>2.8174031687002481</v>
      </c>
      <c r="C8" s="204">
        <v>50</v>
      </c>
      <c r="D8" s="204">
        <v>30</v>
      </c>
      <c r="E8" s="204">
        <v>2.5</v>
      </c>
      <c r="F8" s="204">
        <f t="shared" si="2"/>
        <v>2.5</v>
      </c>
      <c r="G8" s="204">
        <f t="shared" si="3"/>
        <v>5</v>
      </c>
      <c r="H8" s="203">
        <f t="shared" si="4"/>
        <v>3.5890486225480864</v>
      </c>
      <c r="I8" s="204">
        <v>11.2</v>
      </c>
      <c r="J8" s="203">
        <f t="shared" si="5"/>
        <v>4.4799999999999995</v>
      </c>
      <c r="K8" s="204">
        <v>5.69</v>
      </c>
      <c r="L8" s="203">
        <f t="shared" si="6"/>
        <v>1.7665231792237395</v>
      </c>
      <c r="M8" s="205">
        <f t="shared" si="7"/>
        <v>2</v>
      </c>
      <c r="N8" s="204">
        <v>5.0199999999999996</v>
      </c>
      <c r="O8" s="203">
        <f t="shared" si="8"/>
        <v>3.3466666666666662</v>
      </c>
      <c r="P8" s="204">
        <v>3.97</v>
      </c>
      <c r="Q8" s="203">
        <f t="shared" si="9"/>
        <v>1.1826662068533522</v>
      </c>
      <c r="R8" s="204">
        <f t="shared" si="10"/>
        <v>1</v>
      </c>
      <c r="S8" s="205"/>
      <c r="T8" s="206"/>
    </row>
    <row r="9" spans="1:20" x14ac:dyDescent="0.25">
      <c r="A9" s="202" t="str">
        <f t="shared" si="0"/>
        <v>RECF  50*30*3</v>
      </c>
      <c r="B9" s="203">
        <f t="shared" si="1"/>
        <v>3.3034605629283567</v>
      </c>
      <c r="C9" s="204">
        <v>50</v>
      </c>
      <c r="D9" s="204">
        <v>30</v>
      </c>
      <c r="E9" s="204">
        <v>3</v>
      </c>
      <c r="F9" s="204">
        <f t="shared" si="2"/>
        <v>3</v>
      </c>
      <c r="G9" s="204">
        <f t="shared" si="3"/>
        <v>6</v>
      </c>
      <c r="H9" s="203">
        <f t="shared" si="4"/>
        <v>4.2082300164692441</v>
      </c>
      <c r="I9" s="204">
        <v>12.7</v>
      </c>
      <c r="J9" s="203">
        <f t="shared" si="5"/>
        <v>5.08</v>
      </c>
      <c r="K9" s="204">
        <v>6.55</v>
      </c>
      <c r="L9" s="203">
        <f t="shared" si="6"/>
        <v>1.7372092197422531</v>
      </c>
      <c r="M9" s="205">
        <f t="shared" si="7"/>
        <v>2.2800000000000002</v>
      </c>
      <c r="N9" s="204">
        <v>5.64</v>
      </c>
      <c r="O9" s="203">
        <f t="shared" si="8"/>
        <v>3.76</v>
      </c>
      <c r="P9" s="204">
        <v>4.5599999999999996</v>
      </c>
      <c r="Q9" s="203">
        <f t="shared" si="9"/>
        <v>1.157683429611696</v>
      </c>
      <c r="R9" s="204">
        <f t="shared" si="10"/>
        <v>1.08</v>
      </c>
      <c r="S9" s="205"/>
      <c r="T9" s="206"/>
    </row>
    <row r="10" spans="1:20" x14ac:dyDescent="0.25">
      <c r="A10" s="207" t="str">
        <f t="shared" si="0"/>
        <v>RECF  50*30*4</v>
      </c>
      <c r="B10" s="208">
        <f t="shared" si="1"/>
        <v>4.1981521118726333</v>
      </c>
      <c r="C10" s="209">
        <v>50</v>
      </c>
      <c r="D10" s="209">
        <v>30</v>
      </c>
      <c r="E10" s="209">
        <v>4</v>
      </c>
      <c r="F10" s="209">
        <f t="shared" si="2"/>
        <v>4</v>
      </c>
      <c r="G10" s="209">
        <f t="shared" si="3"/>
        <v>8</v>
      </c>
      <c r="H10" s="208">
        <f t="shared" si="4"/>
        <v>5.3479644737231</v>
      </c>
      <c r="I10" s="209">
        <v>15</v>
      </c>
      <c r="J10" s="208">
        <f t="shared" si="5"/>
        <v>6</v>
      </c>
      <c r="K10" s="209">
        <v>8</v>
      </c>
      <c r="L10" s="208">
        <f t="shared" si="6"/>
        <v>1.6747553457946358</v>
      </c>
      <c r="M10" s="210">
        <f t="shared" si="7"/>
        <v>2.72</v>
      </c>
      <c r="N10" s="209">
        <v>6.56</v>
      </c>
      <c r="O10" s="208">
        <f t="shared" si="8"/>
        <v>4.3733333333333331</v>
      </c>
      <c r="P10" s="209">
        <v>5.53</v>
      </c>
      <c r="Q10" s="208">
        <f t="shared" si="9"/>
        <v>1.1075355185225793</v>
      </c>
      <c r="R10" s="209">
        <f t="shared" si="10"/>
        <v>1.1200000000000001</v>
      </c>
      <c r="S10" s="210"/>
      <c r="T10" s="211"/>
    </row>
    <row r="11" spans="1:20" x14ac:dyDescent="0.25">
      <c r="A11" s="194" t="str">
        <f t="shared" si="0"/>
        <v>RECF  60*40*2</v>
      </c>
      <c r="B11" s="195">
        <f t="shared" si="1"/>
        <v>2.9335380279681584</v>
      </c>
      <c r="C11" s="148">
        <v>60</v>
      </c>
      <c r="D11" s="148">
        <v>40</v>
      </c>
      <c r="E11" s="148">
        <v>2</v>
      </c>
      <c r="F11" s="148">
        <f t="shared" si="2"/>
        <v>2</v>
      </c>
      <c r="G11" s="148">
        <f t="shared" si="3"/>
        <v>4</v>
      </c>
      <c r="H11" s="195">
        <f t="shared" si="4"/>
        <v>3.7369911184307751</v>
      </c>
      <c r="I11" s="148">
        <v>18.399999999999999</v>
      </c>
      <c r="J11" s="195">
        <f t="shared" si="5"/>
        <v>6.1333333333333329</v>
      </c>
      <c r="K11" s="148">
        <v>7.46</v>
      </c>
      <c r="L11" s="195">
        <f t="shared" si="6"/>
        <v>2.2189518514078017</v>
      </c>
      <c r="M11" s="196">
        <f t="shared" si="7"/>
        <v>2.08</v>
      </c>
      <c r="N11" s="148">
        <v>9.81</v>
      </c>
      <c r="O11" s="195">
        <f t="shared" si="8"/>
        <v>4.9050000000000002</v>
      </c>
      <c r="P11" s="148">
        <v>5.65</v>
      </c>
      <c r="Q11" s="195">
        <f t="shared" si="9"/>
        <v>1.6202180676847135</v>
      </c>
      <c r="R11" s="148">
        <f t="shared" si="10"/>
        <v>1.28</v>
      </c>
      <c r="S11" s="196"/>
      <c r="T11" s="148"/>
    </row>
    <row r="12" spans="1:20" x14ac:dyDescent="0.25">
      <c r="A12" s="194" t="str">
        <f t="shared" si="0"/>
        <v>RECF  60*40*2.5</v>
      </c>
      <c r="B12" s="195">
        <f t="shared" si="1"/>
        <v>3.6024031687002478</v>
      </c>
      <c r="C12" s="148">
        <v>60</v>
      </c>
      <c r="D12" s="148">
        <v>40</v>
      </c>
      <c r="E12" s="148">
        <v>2.5</v>
      </c>
      <c r="F12" s="148">
        <f t="shared" si="2"/>
        <v>2.5</v>
      </c>
      <c r="G12" s="148">
        <f t="shared" si="3"/>
        <v>5</v>
      </c>
      <c r="H12" s="195">
        <f t="shared" si="4"/>
        <v>4.589048622548086</v>
      </c>
      <c r="I12" s="148">
        <v>22</v>
      </c>
      <c r="J12" s="195">
        <f t="shared" si="5"/>
        <v>7.333333333333333</v>
      </c>
      <c r="K12" s="148">
        <v>9.0399999999999991</v>
      </c>
      <c r="L12" s="195">
        <f t="shared" si="6"/>
        <v>2.1895255166112539</v>
      </c>
      <c r="M12" s="196">
        <f t="shared" si="7"/>
        <v>2.5</v>
      </c>
      <c r="N12" s="148">
        <v>11.7</v>
      </c>
      <c r="O12" s="195">
        <f t="shared" si="8"/>
        <v>5.85</v>
      </c>
      <c r="P12" s="148">
        <v>6.83</v>
      </c>
      <c r="Q12" s="195">
        <f t="shared" si="9"/>
        <v>1.5967304272158751</v>
      </c>
      <c r="R12" s="148">
        <f t="shared" si="10"/>
        <v>1.5</v>
      </c>
      <c r="S12" s="196"/>
      <c r="T12" s="148"/>
    </row>
    <row r="13" spans="1:20" x14ac:dyDescent="0.25">
      <c r="A13" s="194" t="str">
        <f t="shared" si="0"/>
        <v>RECF  60*40*3</v>
      </c>
      <c r="B13" s="195">
        <f t="shared" si="1"/>
        <v>4.2454605629283577</v>
      </c>
      <c r="C13" s="148">
        <v>60</v>
      </c>
      <c r="D13" s="148">
        <v>40</v>
      </c>
      <c r="E13" s="148">
        <v>3</v>
      </c>
      <c r="F13" s="148">
        <f t="shared" si="2"/>
        <v>3</v>
      </c>
      <c r="G13" s="148">
        <f t="shared" si="3"/>
        <v>6</v>
      </c>
      <c r="H13" s="195">
        <f t="shared" si="4"/>
        <v>5.4082300164692452</v>
      </c>
      <c r="I13" s="148">
        <v>26.3</v>
      </c>
      <c r="J13" s="195">
        <f t="shared" si="5"/>
        <v>8.7666666666666675</v>
      </c>
      <c r="K13" s="148">
        <v>10.5</v>
      </c>
      <c r="L13" s="195">
        <f t="shared" si="6"/>
        <v>2.2052117463043066</v>
      </c>
      <c r="M13" s="196">
        <f t="shared" si="7"/>
        <v>2.88</v>
      </c>
      <c r="N13" s="148">
        <v>13.4</v>
      </c>
      <c r="O13" s="195">
        <f t="shared" si="8"/>
        <v>6.7</v>
      </c>
      <c r="P13" s="148">
        <v>7.92</v>
      </c>
      <c r="Q13" s="195">
        <f t="shared" si="9"/>
        <v>1.5740728279096037</v>
      </c>
      <c r="R13" s="148">
        <f t="shared" si="10"/>
        <v>1.68</v>
      </c>
      <c r="S13" s="196"/>
      <c r="T13" s="148"/>
    </row>
    <row r="14" spans="1:20" x14ac:dyDescent="0.25">
      <c r="A14" s="194" t="str">
        <f t="shared" si="0"/>
        <v>RECF  60*40*4</v>
      </c>
      <c r="B14" s="195">
        <f t="shared" si="1"/>
        <v>5.4541521118726344</v>
      </c>
      <c r="C14" s="148">
        <v>60</v>
      </c>
      <c r="D14" s="148">
        <v>40</v>
      </c>
      <c r="E14" s="148">
        <v>4</v>
      </c>
      <c r="F14" s="148">
        <f t="shared" si="2"/>
        <v>4</v>
      </c>
      <c r="G14" s="148">
        <f t="shared" si="3"/>
        <v>8</v>
      </c>
      <c r="H14" s="195">
        <f t="shared" si="4"/>
        <v>6.9479644737231006</v>
      </c>
      <c r="I14" s="148">
        <v>30.7</v>
      </c>
      <c r="J14" s="195">
        <f t="shared" si="5"/>
        <v>10.233333333333333</v>
      </c>
      <c r="K14" s="148">
        <v>13.1</v>
      </c>
      <c r="L14" s="195">
        <f t="shared" si="6"/>
        <v>2.1020371789112469</v>
      </c>
      <c r="M14" s="196">
        <f t="shared" si="7"/>
        <v>3.52</v>
      </c>
      <c r="N14" s="148">
        <v>16.100000000000001</v>
      </c>
      <c r="O14" s="195">
        <f t="shared" si="8"/>
        <v>8.0500000000000007</v>
      </c>
      <c r="P14" s="148">
        <v>9.85</v>
      </c>
      <c r="Q14" s="195">
        <f t="shared" si="9"/>
        <v>1.5222435531155292</v>
      </c>
      <c r="R14" s="148">
        <f t="shared" si="10"/>
        <v>1.92</v>
      </c>
      <c r="S14" s="196"/>
      <c r="T14" s="148"/>
    </row>
    <row r="15" spans="1:20" x14ac:dyDescent="0.25">
      <c r="A15" s="194" t="str">
        <f t="shared" si="0"/>
        <v>RECF  60*40*5</v>
      </c>
      <c r="B15" s="195">
        <f t="shared" si="1"/>
        <v>6.5596126748009915</v>
      </c>
      <c r="C15" s="148">
        <v>60</v>
      </c>
      <c r="D15" s="148">
        <v>40</v>
      </c>
      <c r="E15" s="148">
        <v>5</v>
      </c>
      <c r="F15" s="148">
        <f t="shared" si="2"/>
        <v>5</v>
      </c>
      <c r="G15" s="148">
        <f t="shared" si="3"/>
        <v>10</v>
      </c>
      <c r="H15" s="195">
        <f t="shared" si="4"/>
        <v>8.3561944901923457</v>
      </c>
      <c r="I15" s="148">
        <v>34.799999999999997</v>
      </c>
      <c r="J15" s="195">
        <f t="shared" si="5"/>
        <v>11.6</v>
      </c>
      <c r="K15" s="148">
        <v>16.3</v>
      </c>
      <c r="L15" s="195">
        <f t="shared" si="6"/>
        <v>2.0407290754247356</v>
      </c>
      <c r="M15" s="196">
        <f t="shared" si="7"/>
        <v>4</v>
      </c>
      <c r="N15" s="148">
        <v>18.100000000000001</v>
      </c>
      <c r="O15" s="195">
        <f t="shared" si="8"/>
        <v>9.0500000000000007</v>
      </c>
      <c r="P15" s="148">
        <v>11.4</v>
      </c>
      <c r="Q15" s="195">
        <f t="shared" si="9"/>
        <v>1.4717532978143939</v>
      </c>
      <c r="R15" s="148">
        <f t="shared" si="10"/>
        <v>2</v>
      </c>
      <c r="S15" s="196"/>
      <c r="T15" s="148"/>
    </row>
    <row r="16" spans="1:20" x14ac:dyDescent="0.25">
      <c r="A16" s="197" t="str">
        <f t="shared" si="0"/>
        <v>RECF  70*50*2</v>
      </c>
      <c r="B16" s="198">
        <f t="shared" si="1"/>
        <v>3.5615380279681585</v>
      </c>
      <c r="C16" s="199">
        <v>70</v>
      </c>
      <c r="D16" s="199">
        <v>50</v>
      </c>
      <c r="E16" s="199">
        <v>2</v>
      </c>
      <c r="F16" s="199">
        <f t="shared" si="2"/>
        <v>2</v>
      </c>
      <c r="G16" s="199">
        <f t="shared" si="3"/>
        <v>4</v>
      </c>
      <c r="H16" s="198">
        <f t="shared" si="4"/>
        <v>4.536991118430775</v>
      </c>
      <c r="I16" s="199">
        <v>31.4</v>
      </c>
      <c r="J16" s="198">
        <f t="shared" si="5"/>
        <v>8.9714285714285715</v>
      </c>
      <c r="K16" s="199">
        <v>10.8</v>
      </c>
      <c r="L16" s="198">
        <f t="shared" si="6"/>
        <v>2.6307577561767714</v>
      </c>
      <c r="M16" s="200">
        <f t="shared" si="7"/>
        <v>2.48</v>
      </c>
      <c r="N16" s="199">
        <v>18.7</v>
      </c>
      <c r="O16" s="198">
        <f t="shared" si="8"/>
        <v>7.4799999999999995</v>
      </c>
      <c r="P16" s="199">
        <v>8.58</v>
      </c>
      <c r="Q16" s="198">
        <f t="shared" si="9"/>
        <v>2.0301907220382449</v>
      </c>
      <c r="R16" s="199">
        <f t="shared" si="10"/>
        <v>1.68</v>
      </c>
      <c r="S16" s="200"/>
      <c r="T16" s="201"/>
    </row>
    <row r="17" spans="1:20" x14ac:dyDescent="0.25">
      <c r="A17" s="202" t="str">
        <f t="shared" si="0"/>
        <v>RECF  70*50*2.5</v>
      </c>
      <c r="B17" s="203">
        <f t="shared" si="1"/>
        <v>4.3874031687002484</v>
      </c>
      <c r="C17" s="204">
        <v>70</v>
      </c>
      <c r="D17" s="204">
        <v>50</v>
      </c>
      <c r="E17" s="204">
        <v>2.5</v>
      </c>
      <c r="F17" s="204">
        <f t="shared" si="2"/>
        <v>2.5</v>
      </c>
      <c r="G17" s="204">
        <f t="shared" si="3"/>
        <v>5</v>
      </c>
      <c r="H17" s="203">
        <f t="shared" si="4"/>
        <v>5.5890486225480869</v>
      </c>
      <c r="I17" s="204">
        <v>37.9</v>
      </c>
      <c r="J17" s="203">
        <f t="shared" si="5"/>
        <v>10.828571428571427</v>
      </c>
      <c r="K17" s="204">
        <v>13.2</v>
      </c>
      <c r="L17" s="203">
        <f t="shared" si="6"/>
        <v>2.6040580483112303</v>
      </c>
      <c r="M17" s="205">
        <f t="shared" si="7"/>
        <v>3</v>
      </c>
      <c r="N17" s="204">
        <v>22.5</v>
      </c>
      <c r="O17" s="203">
        <f t="shared" si="8"/>
        <v>9</v>
      </c>
      <c r="P17" s="204">
        <v>10.4</v>
      </c>
      <c r="Q17" s="203">
        <f t="shared" si="9"/>
        <v>2.0064221571598821</v>
      </c>
      <c r="R17" s="204">
        <f t="shared" si="10"/>
        <v>2</v>
      </c>
      <c r="S17" s="205"/>
      <c r="T17" s="206"/>
    </row>
    <row r="18" spans="1:20" x14ac:dyDescent="0.25">
      <c r="A18" s="202" t="str">
        <f t="shared" si="0"/>
        <v>RECF  70*50*3</v>
      </c>
      <c r="B18" s="203">
        <f t="shared" si="1"/>
        <v>5.187460562928357</v>
      </c>
      <c r="C18" s="204">
        <v>70</v>
      </c>
      <c r="D18" s="204">
        <v>50</v>
      </c>
      <c r="E18" s="204">
        <v>3</v>
      </c>
      <c r="F18" s="204">
        <f t="shared" si="2"/>
        <v>3</v>
      </c>
      <c r="G18" s="204">
        <f t="shared" si="3"/>
        <v>6</v>
      </c>
      <c r="H18" s="203">
        <f t="shared" si="4"/>
        <v>6.6082300164692445</v>
      </c>
      <c r="I18" s="204">
        <v>43.9</v>
      </c>
      <c r="J18" s="203">
        <f t="shared" si="5"/>
        <v>12.542857142857143</v>
      </c>
      <c r="K18" s="204">
        <v>15.4</v>
      </c>
      <c r="L18" s="203">
        <f t="shared" si="6"/>
        <v>2.5774466487025709</v>
      </c>
      <c r="M18" s="205">
        <f t="shared" si="7"/>
        <v>3.48</v>
      </c>
      <c r="N18" s="204">
        <v>26</v>
      </c>
      <c r="O18" s="203">
        <f t="shared" si="8"/>
        <v>10.4</v>
      </c>
      <c r="P18" s="204">
        <v>12.2</v>
      </c>
      <c r="Q18" s="203">
        <f t="shared" si="9"/>
        <v>1.9835543205538759</v>
      </c>
      <c r="R18" s="204">
        <f t="shared" si="10"/>
        <v>2.2800000000000002</v>
      </c>
      <c r="S18" s="205"/>
      <c r="T18" s="206"/>
    </row>
    <row r="19" spans="1:20" x14ac:dyDescent="0.25">
      <c r="A19" s="202" t="str">
        <f t="shared" si="0"/>
        <v>RECF  70*50*4</v>
      </c>
      <c r="B19" s="203">
        <f t="shared" si="1"/>
        <v>6.7101521118726337</v>
      </c>
      <c r="C19" s="204">
        <v>70</v>
      </c>
      <c r="D19" s="204">
        <v>50</v>
      </c>
      <c r="E19" s="204">
        <v>4</v>
      </c>
      <c r="F19" s="204">
        <f t="shared" si="2"/>
        <v>4</v>
      </c>
      <c r="G19" s="204">
        <f t="shared" si="3"/>
        <v>8</v>
      </c>
      <c r="H19" s="203">
        <f t="shared" si="4"/>
        <v>8.5479644737231002</v>
      </c>
      <c r="I19" s="204">
        <v>54.3</v>
      </c>
      <c r="J19" s="203">
        <f t="shared" si="5"/>
        <v>15.514285714285714</v>
      </c>
      <c r="K19" s="204">
        <v>19.399999999999999</v>
      </c>
      <c r="L19" s="203">
        <f t="shared" si="6"/>
        <v>2.5203947165066305</v>
      </c>
      <c r="M19" s="205">
        <f t="shared" si="7"/>
        <v>4.32</v>
      </c>
      <c r="N19" s="204">
        <v>32</v>
      </c>
      <c r="O19" s="203">
        <f t="shared" si="8"/>
        <v>12.8</v>
      </c>
      <c r="P19" s="204">
        <v>15.4</v>
      </c>
      <c r="Q19" s="203">
        <f t="shared" si="9"/>
        <v>1.9348336634043821</v>
      </c>
      <c r="R19" s="204">
        <f t="shared" si="10"/>
        <v>2.72</v>
      </c>
      <c r="S19" s="205"/>
      <c r="T19" s="206"/>
    </row>
    <row r="20" spans="1:20" x14ac:dyDescent="0.25">
      <c r="A20" s="207" t="str">
        <f t="shared" si="0"/>
        <v>RECF  70*50*5</v>
      </c>
      <c r="B20" s="208">
        <f t="shared" si="1"/>
        <v>8.1296126748009918</v>
      </c>
      <c r="C20" s="209">
        <v>70</v>
      </c>
      <c r="D20" s="209">
        <v>50</v>
      </c>
      <c r="E20" s="209">
        <v>5</v>
      </c>
      <c r="F20" s="209">
        <f t="shared" si="2"/>
        <v>5</v>
      </c>
      <c r="G20" s="209">
        <f t="shared" si="3"/>
        <v>10</v>
      </c>
      <c r="H20" s="208">
        <f t="shared" si="4"/>
        <v>10.356194490192346</v>
      </c>
      <c r="I20" s="209">
        <v>62.8</v>
      </c>
      <c r="J20" s="208">
        <f t="shared" si="5"/>
        <v>17.942857142857143</v>
      </c>
      <c r="K20" s="209">
        <v>23</v>
      </c>
      <c r="L20" s="208">
        <f t="shared" si="6"/>
        <v>2.4625197532658714</v>
      </c>
      <c r="M20" s="210">
        <f t="shared" si="7"/>
        <v>5</v>
      </c>
      <c r="N20" s="209">
        <v>36.799999999999997</v>
      </c>
      <c r="O20" s="208">
        <f t="shared" si="8"/>
        <v>14.719999999999999</v>
      </c>
      <c r="P20" s="209">
        <v>18.100000000000001</v>
      </c>
      <c r="Q20" s="208">
        <f t="shared" si="9"/>
        <v>1.8850540637310493</v>
      </c>
      <c r="R20" s="209">
        <f t="shared" si="10"/>
        <v>3</v>
      </c>
      <c r="S20" s="210"/>
      <c r="T20" s="211"/>
    </row>
    <row r="21" spans="1:20" x14ac:dyDescent="0.25">
      <c r="A21" s="194" t="str">
        <f t="shared" si="0"/>
        <v>RECF  80*40*2</v>
      </c>
      <c r="B21" s="195">
        <f t="shared" si="1"/>
        <v>3.5615380279681585</v>
      </c>
      <c r="C21" s="148">
        <v>80</v>
      </c>
      <c r="D21" s="148">
        <v>40</v>
      </c>
      <c r="E21" s="148">
        <v>2</v>
      </c>
      <c r="F21" s="148">
        <f t="shared" si="2"/>
        <v>2</v>
      </c>
      <c r="G21" s="148">
        <f t="shared" si="3"/>
        <v>4</v>
      </c>
      <c r="H21" s="195">
        <f t="shared" si="4"/>
        <v>4.536991118430775</v>
      </c>
      <c r="I21" s="148">
        <v>37.299999999999997</v>
      </c>
      <c r="J21" s="195">
        <f t="shared" si="5"/>
        <v>9.3249999999999993</v>
      </c>
      <c r="K21" s="148">
        <v>11.6</v>
      </c>
      <c r="L21" s="195">
        <f t="shared" si="6"/>
        <v>2.8672822840278687</v>
      </c>
      <c r="M21" s="196">
        <f t="shared" si="7"/>
        <v>2.88</v>
      </c>
      <c r="N21" s="148">
        <v>12.7</v>
      </c>
      <c r="O21" s="195">
        <f t="shared" si="8"/>
        <v>6.35</v>
      </c>
      <c r="P21" s="148">
        <v>7.17</v>
      </c>
      <c r="Q21" s="195">
        <f t="shared" si="9"/>
        <v>1.6730845776092949</v>
      </c>
      <c r="R21" s="148">
        <f t="shared" si="10"/>
        <v>1.28</v>
      </c>
      <c r="S21" s="196"/>
      <c r="T21" s="148"/>
    </row>
    <row r="22" spans="1:20" x14ac:dyDescent="0.25">
      <c r="A22" s="194" t="str">
        <f t="shared" si="0"/>
        <v>RECF  80*40*2.5</v>
      </c>
      <c r="B22" s="195">
        <f t="shared" si="1"/>
        <v>4.3874031687002484</v>
      </c>
      <c r="C22" s="148">
        <v>80</v>
      </c>
      <c r="D22" s="148">
        <v>40</v>
      </c>
      <c r="E22" s="148">
        <v>2.5</v>
      </c>
      <c r="F22" s="148">
        <f t="shared" si="2"/>
        <v>2.5</v>
      </c>
      <c r="G22" s="148">
        <f t="shared" si="3"/>
        <v>5</v>
      </c>
      <c r="H22" s="195">
        <f t="shared" si="4"/>
        <v>5.5890486225480869</v>
      </c>
      <c r="I22" s="148">
        <v>45</v>
      </c>
      <c r="J22" s="195">
        <f t="shared" si="5"/>
        <v>11.25</v>
      </c>
      <c r="K22" s="148">
        <v>14.1</v>
      </c>
      <c r="L22" s="195">
        <f t="shared" si="6"/>
        <v>2.8375094265013865</v>
      </c>
      <c r="M22" s="196">
        <f t="shared" si="7"/>
        <v>3.5</v>
      </c>
      <c r="N22" s="148">
        <v>15.2</v>
      </c>
      <c r="O22" s="195">
        <f t="shared" si="8"/>
        <v>7.6</v>
      </c>
      <c r="P22" s="148">
        <v>8.6999999999999993</v>
      </c>
      <c r="Q22" s="195">
        <f t="shared" si="9"/>
        <v>1.6491222455284797</v>
      </c>
      <c r="R22" s="148">
        <f t="shared" si="10"/>
        <v>1.5</v>
      </c>
      <c r="S22" s="196"/>
      <c r="T22" s="148"/>
    </row>
    <row r="23" spans="1:20" x14ac:dyDescent="0.25">
      <c r="A23" s="194" t="str">
        <f t="shared" si="0"/>
        <v>RECF  80*40*3</v>
      </c>
      <c r="B23" s="195">
        <f t="shared" si="1"/>
        <v>5.187460562928357</v>
      </c>
      <c r="C23" s="148">
        <v>80</v>
      </c>
      <c r="D23" s="148">
        <v>40</v>
      </c>
      <c r="E23" s="148">
        <v>3</v>
      </c>
      <c r="F23" s="148">
        <f t="shared" si="2"/>
        <v>3</v>
      </c>
      <c r="G23" s="148">
        <f t="shared" si="3"/>
        <v>6</v>
      </c>
      <c r="H23" s="195">
        <f t="shared" si="4"/>
        <v>6.6082300164692445</v>
      </c>
      <c r="I23" s="148">
        <v>52.1</v>
      </c>
      <c r="J23" s="195">
        <f t="shared" si="5"/>
        <v>13.025</v>
      </c>
      <c r="K23" s="148">
        <v>16.5</v>
      </c>
      <c r="L23" s="195">
        <f t="shared" si="6"/>
        <v>2.8078654045982505</v>
      </c>
      <c r="M23" s="196">
        <f t="shared" si="7"/>
        <v>4.08</v>
      </c>
      <c r="N23" s="148">
        <v>17.5</v>
      </c>
      <c r="O23" s="195">
        <f t="shared" si="8"/>
        <v>8.75</v>
      </c>
      <c r="P23" s="148">
        <v>10.1</v>
      </c>
      <c r="Q23" s="195">
        <f t="shared" si="9"/>
        <v>1.6273330647611648</v>
      </c>
      <c r="R23" s="148">
        <f t="shared" si="10"/>
        <v>1.68</v>
      </c>
      <c r="S23" s="196"/>
      <c r="T23" s="148"/>
    </row>
    <row r="24" spans="1:20" x14ac:dyDescent="0.25">
      <c r="A24" s="194" t="str">
        <f t="shared" si="0"/>
        <v>RECF  80*40*4</v>
      </c>
      <c r="B24" s="195">
        <f t="shared" si="1"/>
        <v>6.7101521118726337</v>
      </c>
      <c r="C24" s="148">
        <v>80</v>
      </c>
      <c r="D24" s="148">
        <v>40</v>
      </c>
      <c r="E24" s="148">
        <v>4</v>
      </c>
      <c r="F24" s="148">
        <f t="shared" si="2"/>
        <v>4</v>
      </c>
      <c r="G24" s="148">
        <f t="shared" si="3"/>
        <v>8</v>
      </c>
      <c r="H24" s="195">
        <f t="shared" si="4"/>
        <v>8.5479644737231002</v>
      </c>
      <c r="I24" s="148">
        <v>64.400000000000006</v>
      </c>
      <c r="J24" s="195">
        <f t="shared" si="5"/>
        <v>16.100000000000001</v>
      </c>
      <c r="K24" s="148">
        <v>20.9</v>
      </c>
      <c r="L24" s="195">
        <f t="shared" si="6"/>
        <v>2.7448055261527506</v>
      </c>
      <c r="M24" s="196">
        <f t="shared" si="7"/>
        <v>5.12</v>
      </c>
      <c r="N24" s="148">
        <v>21.3</v>
      </c>
      <c r="O24" s="195">
        <f t="shared" si="8"/>
        <v>10.65</v>
      </c>
      <c r="P24" s="148">
        <v>12.7</v>
      </c>
      <c r="Q24" s="195">
        <f t="shared" si="9"/>
        <v>1.5785503812577943</v>
      </c>
      <c r="R24" s="148">
        <f t="shared" si="10"/>
        <v>1.92</v>
      </c>
      <c r="S24" s="196"/>
      <c r="T24" s="148"/>
    </row>
    <row r="25" spans="1:20" x14ac:dyDescent="0.25">
      <c r="A25" s="194" t="str">
        <f t="shared" si="0"/>
        <v>RECF  80*40*5</v>
      </c>
      <c r="B25" s="195">
        <f t="shared" si="1"/>
        <v>8.1296126748009918</v>
      </c>
      <c r="C25" s="148">
        <v>80</v>
      </c>
      <c r="D25" s="148">
        <v>40</v>
      </c>
      <c r="E25" s="148">
        <v>5</v>
      </c>
      <c r="F25" s="148">
        <f t="shared" si="2"/>
        <v>5</v>
      </c>
      <c r="G25" s="148">
        <f t="shared" si="3"/>
        <v>10</v>
      </c>
      <c r="H25" s="195">
        <f t="shared" si="4"/>
        <v>10.356194490192346</v>
      </c>
      <c r="I25" s="148">
        <v>74.400000000000006</v>
      </c>
      <c r="J25" s="195">
        <f t="shared" si="5"/>
        <v>18.600000000000001</v>
      </c>
      <c r="K25" s="148">
        <v>24.6</v>
      </c>
      <c r="L25" s="195">
        <f t="shared" si="6"/>
        <v>2.6803182831626371</v>
      </c>
      <c r="M25" s="196">
        <f t="shared" si="7"/>
        <v>6</v>
      </c>
      <c r="N25" s="148">
        <v>24.2</v>
      </c>
      <c r="O25" s="195">
        <f t="shared" si="8"/>
        <v>12.1</v>
      </c>
      <c r="P25" s="148">
        <v>14.9</v>
      </c>
      <c r="Q25" s="195">
        <f t="shared" si="9"/>
        <v>1.528648322378342</v>
      </c>
      <c r="R25" s="148">
        <f t="shared" si="10"/>
        <v>2</v>
      </c>
      <c r="S25" s="196"/>
      <c r="T25" s="148"/>
    </row>
    <row r="26" spans="1:20" x14ac:dyDescent="0.25">
      <c r="A26" s="197" t="str">
        <f t="shared" si="0"/>
        <v>RECF  80*60*2</v>
      </c>
      <c r="B26" s="198">
        <f t="shared" si="1"/>
        <v>4.1895380279681582</v>
      </c>
      <c r="C26" s="199">
        <v>80</v>
      </c>
      <c r="D26" s="199">
        <v>60</v>
      </c>
      <c r="E26" s="199">
        <v>2</v>
      </c>
      <c r="F26" s="199">
        <f t="shared" si="2"/>
        <v>2</v>
      </c>
      <c r="G26" s="199">
        <f t="shared" si="3"/>
        <v>4</v>
      </c>
      <c r="H26" s="198">
        <f t="shared" si="4"/>
        <v>5.3369911184307748</v>
      </c>
      <c r="I26" s="199">
        <v>49.5</v>
      </c>
      <c r="J26" s="198">
        <f t="shared" si="5"/>
        <v>12.375</v>
      </c>
      <c r="K26" s="199">
        <v>14.7</v>
      </c>
      <c r="L26" s="198">
        <f t="shared" si="6"/>
        <v>3.0454702361473793</v>
      </c>
      <c r="M26" s="200">
        <f t="shared" si="7"/>
        <v>2.88</v>
      </c>
      <c r="N26" s="199">
        <v>31.8</v>
      </c>
      <c r="O26" s="198">
        <f t="shared" si="8"/>
        <v>10.6</v>
      </c>
      <c r="P26" s="199">
        <v>12.1</v>
      </c>
      <c r="Q26" s="198">
        <f t="shared" si="9"/>
        <v>2.4409861763683347</v>
      </c>
      <c r="R26" s="199">
        <f t="shared" si="10"/>
        <v>2.08</v>
      </c>
      <c r="S26" s="200"/>
      <c r="T26" s="201"/>
    </row>
    <row r="27" spans="1:20" x14ac:dyDescent="0.25">
      <c r="A27" s="202" t="str">
        <f t="shared" si="0"/>
        <v>RECF  80*60*2.5</v>
      </c>
      <c r="B27" s="203">
        <f t="shared" si="1"/>
        <v>5.1724031687002485</v>
      </c>
      <c r="C27" s="204">
        <v>80</v>
      </c>
      <c r="D27" s="204">
        <v>60</v>
      </c>
      <c r="E27" s="204">
        <v>2.5</v>
      </c>
      <c r="F27" s="204">
        <f t="shared" si="2"/>
        <v>2.5</v>
      </c>
      <c r="G27" s="204">
        <f t="shared" si="3"/>
        <v>5</v>
      </c>
      <c r="H27" s="203">
        <f t="shared" si="4"/>
        <v>6.5890486225480869</v>
      </c>
      <c r="I27" s="204">
        <v>60</v>
      </c>
      <c r="J27" s="203">
        <f t="shared" si="5"/>
        <v>15</v>
      </c>
      <c r="K27" s="204">
        <v>18</v>
      </c>
      <c r="L27" s="203">
        <f t="shared" si="6"/>
        <v>3.0176180514156234</v>
      </c>
      <c r="M27" s="205">
        <f t="shared" si="7"/>
        <v>3.5</v>
      </c>
      <c r="N27" s="204">
        <v>38.5</v>
      </c>
      <c r="O27" s="203">
        <f t="shared" si="8"/>
        <v>12.833333333333334</v>
      </c>
      <c r="P27" s="204">
        <v>14.8</v>
      </c>
      <c r="Q27" s="203">
        <f t="shared" si="9"/>
        <v>2.4172357494764993</v>
      </c>
      <c r="R27" s="204">
        <f t="shared" si="10"/>
        <v>2.5</v>
      </c>
      <c r="S27" s="205"/>
      <c r="T27" s="206"/>
    </row>
    <row r="28" spans="1:20" x14ac:dyDescent="0.25">
      <c r="A28" s="202" t="str">
        <f t="shared" si="0"/>
        <v>RECF  80*60*3</v>
      </c>
      <c r="B28" s="203">
        <f t="shared" si="1"/>
        <v>6.1294605629283572</v>
      </c>
      <c r="C28" s="204">
        <v>80</v>
      </c>
      <c r="D28" s="204">
        <v>60</v>
      </c>
      <c r="E28" s="204">
        <v>3</v>
      </c>
      <c r="F28" s="204">
        <f t="shared" si="2"/>
        <v>3</v>
      </c>
      <c r="G28" s="204">
        <f t="shared" si="3"/>
        <v>6</v>
      </c>
      <c r="H28" s="203">
        <f t="shared" si="4"/>
        <v>7.8082300164692446</v>
      </c>
      <c r="I28" s="204">
        <v>69.900000000000006</v>
      </c>
      <c r="J28" s="203">
        <f t="shared" si="5"/>
        <v>17.475000000000001</v>
      </c>
      <c r="K28" s="204">
        <v>21.1</v>
      </c>
      <c r="L28" s="203">
        <f t="shared" si="6"/>
        <v>2.9920048190117288</v>
      </c>
      <c r="M28" s="205">
        <f t="shared" si="7"/>
        <v>4.08</v>
      </c>
      <c r="N28" s="204">
        <v>44.8</v>
      </c>
      <c r="O28" s="203">
        <f t="shared" si="8"/>
        <v>14.933333333333332</v>
      </c>
      <c r="P28" s="204">
        <v>17.399999999999999</v>
      </c>
      <c r="Q28" s="203">
        <f t="shared" si="9"/>
        <v>2.3953154062719939</v>
      </c>
      <c r="R28" s="204">
        <f t="shared" si="10"/>
        <v>2.88</v>
      </c>
      <c r="S28" s="205"/>
      <c r="T28" s="206"/>
    </row>
    <row r="29" spans="1:20" x14ac:dyDescent="0.25">
      <c r="A29" s="202" t="str">
        <f t="shared" si="0"/>
        <v>RECF  80*60*4</v>
      </c>
      <c r="B29" s="203">
        <f t="shared" si="1"/>
        <v>7.9661521118726339</v>
      </c>
      <c r="C29" s="204">
        <v>80</v>
      </c>
      <c r="D29" s="204">
        <v>60</v>
      </c>
      <c r="E29" s="204">
        <v>4</v>
      </c>
      <c r="F29" s="204">
        <f t="shared" si="2"/>
        <v>4</v>
      </c>
      <c r="G29" s="204">
        <f t="shared" si="3"/>
        <v>8</v>
      </c>
      <c r="H29" s="203">
        <f t="shared" si="4"/>
        <v>10.1479644737231</v>
      </c>
      <c r="I29" s="204">
        <v>87.5</v>
      </c>
      <c r="J29" s="203">
        <f t="shared" si="5"/>
        <v>21.875</v>
      </c>
      <c r="K29" s="204">
        <v>26.9</v>
      </c>
      <c r="L29" s="203">
        <f t="shared" si="6"/>
        <v>2.9363955512682525</v>
      </c>
      <c r="M29" s="205">
        <f t="shared" si="7"/>
        <v>5.12</v>
      </c>
      <c r="N29" s="204">
        <v>55.8</v>
      </c>
      <c r="O29" s="203">
        <f t="shared" si="8"/>
        <v>18.599999999999998</v>
      </c>
      <c r="P29" s="204">
        <v>22.1</v>
      </c>
      <c r="Q29" s="203">
        <f t="shared" si="9"/>
        <v>2.3449178381214018</v>
      </c>
      <c r="R29" s="204">
        <f t="shared" si="10"/>
        <v>3.52</v>
      </c>
      <c r="S29" s="205"/>
      <c r="T29" s="206"/>
    </row>
    <row r="30" spans="1:20" x14ac:dyDescent="0.25">
      <c r="A30" s="207" t="str">
        <f t="shared" si="0"/>
        <v>RECF  80*60*5</v>
      </c>
      <c r="B30" s="208">
        <f t="shared" si="1"/>
        <v>9.6996126748009921</v>
      </c>
      <c r="C30" s="209">
        <v>80</v>
      </c>
      <c r="D30" s="209">
        <v>60</v>
      </c>
      <c r="E30" s="209">
        <v>5</v>
      </c>
      <c r="F30" s="209">
        <f t="shared" si="2"/>
        <v>5</v>
      </c>
      <c r="G30" s="209">
        <f t="shared" si="3"/>
        <v>10</v>
      </c>
      <c r="H30" s="208">
        <f t="shared" si="4"/>
        <v>12.356194490192346</v>
      </c>
      <c r="I30" s="209">
        <v>103</v>
      </c>
      <c r="J30" s="208">
        <f t="shared" si="5"/>
        <v>25.75</v>
      </c>
      <c r="K30" s="209">
        <v>32.1</v>
      </c>
      <c r="L30" s="208">
        <f t="shared" si="6"/>
        <v>2.8871958482928468</v>
      </c>
      <c r="M30" s="210">
        <f t="shared" si="7"/>
        <v>6</v>
      </c>
      <c r="N30" s="209">
        <v>65.099999999999994</v>
      </c>
      <c r="O30" s="208">
        <f t="shared" si="8"/>
        <v>21.7</v>
      </c>
      <c r="P30" s="209">
        <v>26.3</v>
      </c>
      <c r="Q30" s="208">
        <f t="shared" si="9"/>
        <v>2.2953458214027593</v>
      </c>
      <c r="R30" s="209">
        <f t="shared" si="10"/>
        <v>4</v>
      </c>
      <c r="S30" s="210"/>
      <c r="T30" s="211"/>
    </row>
    <row r="31" spans="1:20" x14ac:dyDescent="0.25">
      <c r="A31" s="194" t="str">
        <f t="shared" si="0"/>
        <v>RECF  90*50*2</v>
      </c>
      <c r="B31" s="195">
        <f t="shared" si="1"/>
        <v>4.1895380279681582</v>
      </c>
      <c r="C31" s="148">
        <v>90</v>
      </c>
      <c r="D31" s="148">
        <v>50</v>
      </c>
      <c r="E31" s="148">
        <v>2</v>
      </c>
      <c r="F31" s="148">
        <f t="shared" si="2"/>
        <v>2</v>
      </c>
      <c r="G31" s="148">
        <f t="shared" si="3"/>
        <v>4</v>
      </c>
      <c r="H31" s="195">
        <f t="shared" si="4"/>
        <v>5.3369911184307748</v>
      </c>
      <c r="I31" s="148">
        <v>57.8</v>
      </c>
      <c r="J31" s="195">
        <f t="shared" si="5"/>
        <v>12.844444444444443</v>
      </c>
      <c r="K31" s="148">
        <v>15.7</v>
      </c>
      <c r="L31" s="195">
        <f t="shared" si="6"/>
        <v>3.2909075284044613</v>
      </c>
      <c r="M31" s="196">
        <f t="shared" si="7"/>
        <v>3.2800000000000002</v>
      </c>
      <c r="N31" s="148">
        <v>23.3</v>
      </c>
      <c r="O31" s="195">
        <f t="shared" si="8"/>
        <v>9.32</v>
      </c>
      <c r="P31" s="148">
        <v>10.5</v>
      </c>
      <c r="Q31" s="195">
        <f t="shared" si="9"/>
        <v>2.0894391144865709</v>
      </c>
      <c r="R31" s="148">
        <f t="shared" si="10"/>
        <v>1.68</v>
      </c>
      <c r="S31" s="196"/>
      <c r="T31" s="148"/>
    </row>
    <row r="32" spans="1:20" x14ac:dyDescent="0.25">
      <c r="A32" s="194" t="str">
        <f t="shared" si="0"/>
        <v>RECF  90*50*2.5</v>
      </c>
      <c r="B32" s="195">
        <f t="shared" si="1"/>
        <v>5.1724031687002485</v>
      </c>
      <c r="C32" s="148">
        <v>90</v>
      </c>
      <c r="D32" s="148">
        <v>50</v>
      </c>
      <c r="E32" s="148">
        <v>2.5</v>
      </c>
      <c r="F32" s="148">
        <f t="shared" si="2"/>
        <v>2.5</v>
      </c>
      <c r="G32" s="148">
        <f t="shared" si="3"/>
        <v>5</v>
      </c>
      <c r="H32" s="195">
        <f t="shared" si="4"/>
        <v>6.5890486225480869</v>
      </c>
      <c r="I32" s="148">
        <v>70.2</v>
      </c>
      <c r="J32" s="195">
        <f t="shared" si="5"/>
        <v>15.600000000000001</v>
      </c>
      <c r="K32" s="148">
        <v>19.2</v>
      </c>
      <c r="L32" s="195">
        <f t="shared" si="6"/>
        <v>3.2640529842434276</v>
      </c>
      <c r="M32" s="196">
        <f t="shared" si="7"/>
        <v>4</v>
      </c>
      <c r="N32" s="148">
        <v>28.2</v>
      </c>
      <c r="O32" s="195">
        <f t="shared" si="8"/>
        <v>11.28</v>
      </c>
      <c r="P32" s="148">
        <v>12.8</v>
      </c>
      <c r="Q32" s="195">
        <f t="shared" si="9"/>
        <v>2.0687747076440752</v>
      </c>
      <c r="R32" s="148">
        <f t="shared" si="10"/>
        <v>2</v>
      </c>
      <c r="S32" s="196"/>
      <c r="T32" s="148"/>
    </row>
    <row r="33" spans="1:20" x14ac:dyDescent="0.25">
      <c r="A33" s="194" t="str">
        <f t="shared" si="0"/>
        <v>RECF  90*50*3</v>
      </c>
      <c r="B33" s="195">
        <f t="shared" si="1"/>
        <v>6.1294605629283572</v>
      </c>
      <c r="C33" s="148">
        <v>90</v>
      </c>
      <c r="D33" s="148">
        <v>50</v>
      </c>
      <c r="E33" s="148">
        <v>3</v>
      </c>
      <c r="F33" s="148">
        <f t="shared" si="2"/>
        <v>3</v>
      </c>
      <c r="G33" s="148">
        <f t="shared" si="3"/>
        <v>6</v>
      </c>
      <c r="H33" s="195">
        <f t="shared" si="4"/>
        <v>7.8082300164692446</v>
      </c>
      <c r="I33" s="148">
        <v>81.7</v>
      </c>
      <c r="J33" s="195">
        <f t="shared" si="5"/>
        <v>18.155555555555555</v>
      </c>
      <c r="K33" s="148">
        <v>22.6</v>
      </c>
      <c r="L33" s="195">
        <f t="shared" si="6"/>
        <v>3.2347053667175265</v>
      </c>
      <c r="M33" s="196">
        <f t="shared" si="7"/>
        <v>4.68</v>
      </c>
      <c r="N33" s="148">
        <v>32.6</v>
      </c>
      <c r="O33" s="195">
        <f t="shared" si="8"/>
        <v>13.040000000000001</v>
      </c>
      <c r="P33" s="148">
        <v>15</v>
      </c>
      <c r="Q33" s="195">
        <f t="shared" si="9"/>
        <v>2.0433017212284219</v>
      </c>
      <c r="R33" s="148">
        <f t="shared" si="10"/>
        <v>2.2800000000000002</v>
      </c>
      <c r="S33" s="196"/>
      <c r="T33" s="148"/>
    </row>
    <row r="34" spans="1:20" x14ac:dyDescent="0.25">
      <c r="A34" s="194" t="str">
        <f t="shared" si="0"/>
        <v>RECF  90*50*4</v>
      </c>
      <c r="B34" s="195">
        <f t="shared" si="1"/>
        <v>7.9661521118726339</v>
      </c>
      <c r="C34" s="148">
        <v>90</v>
      </c>
      <c r="D34" s="148">
        <v>50</v>
      </c>
      <c r="E34" s="148">
        <v>4</v>
      </c>
      <c r="F34" s="148">
        <f t="shared" si="2"/>
        <v>4</v>
      </c>
      <c r="G34" s="148">
        <f t="shared" si="3"/>
        <v>8</v>
      </c>
      <c r="H34" s="195">
        <f t="shared" si="4"/>
        <v>10.1479644737231</v>
      </c>
      <c r="I34" s="148">
        <v>102</v>
      </c>
      <c r="J34" s="195">
        <f t="shared" si="5"/>
        <v>22.666666666666668</v>
      </c>
      <c r="K34" s="148">
        <v>28.8</v>
      </c>
      <c r="L34" s="195">
        <f t="shared" si="6"/>
        <v>3.1703748692594957</v>
      </c>
      <c r="M34" s="196">
        <f t="shared" si="7"/>
        <v>5.92</v>
      </c>
      <c r="N34" s="148">
        <v>40.5</v>
      </c>
      <c r="O34" s="195">
        <f t="shared" si="8"/>
        <v>16.2</v>
      </c>
      <c r="P34" s="148">
        <v>19</v>
      </c>
      <c r="Q34" s="195">
        <f t="shared" si="9"/>
        <v>1.9977357547471397</v>
      </c>
      <c r="R34" s="148">
        <f t="shared" si="10"/>
        <v>2.72</v>
      </c>
      <c r="S34" s="196"/>
      <c r="T34" s="148"/>
    </row>
    <row r="35" spans="1:20" x14ac:dyDescent="0.25">
      <c r="A35" s="194" t="str">
        <f t="shared" si="0"/>
        <v>RECF  90*50*5</v>
      </c>
      <c r="B35" s="195">
        <f t="shared" si="1"/>
        <v>9.6996126748009921</v>
      </c>
      <c r="C35" s="148">
        <v>90</v>
      </c>
      <c r="D35" s="148">
        <v>50</v>
      </c>
      <c r="E35" s="148">
        <v>5</v>
      </c>
      <c r="F35" s="148">
        <f t="shared" si="2"/>
        <v>5</v>
      </c>
      <c r="G35" s="148">
        <f t="shared" si="3"/>
        <v>10</v>
      </c>
      <c r="H35" s="195">
        <f t="shared" si="4"/>
        <v>12.356194490192346</v>
      </c>
      <c r="I35" s="148">
        <v>120</v>
      </c>
      <c r="J35" s="195">
        <f t="shared" si="5"/>
        <v>26.666666666666668</v>
      </c>
      <c r="K35" s="148">
        <v>34.299999999999997</v>
      </c>
      <c r="L35" s="195">
        <f t="shared" si="6"/>
        <v>3.1163645485868114</v>
      </c>
      <c r="M35" s="196">
        <f t="shared" si="7"/>
        <v>7</v>
      </c>
      <c r="N35" s="148">
        <v>46.9</v>
      </c>
      <c r="O35" s="195">
        <f t="shared" si="8"/>
        <v>18.759999999999998</v>
      </c>
      <c r="P35" s="148">
        <v>22.6</v>
      </c>
      <c r="Q35" s="195">
        <f t="shared" si="9"/>
        <v>1.9482471677241038</v>
      </c>
      <c r="R35" s="148">
        <f t="shared" si="10"/>
        <v>3</v>
      </c>
      <c r="S35" s="196"/>
      <c r="T35" s="148"/>
    </row>
    <row r="36" spans="1:20" x14ac:dyDescent="0.25">
      <c r="A36" s="197" t="str">
        <f t="shared" si="0"/>
        <v>RECF  100*40*2.5</v>
      </c>
      <c r="B36" s="198">
        <f t="shared" si="1"/>
        <v>5.1724031687002485</v>
      </c>
      <c r="C36" s="199">
        <v>100</v>
      </c>
      <c r="D36" s="199">
        <v>40</v>
      </c>
      <c r="E36" s="199">
        <v>2.5</v>
      </c>
      <c r="F36" s="199">
        <f t="shared" si="2"/>
        <v>2.5</v>
      </c>
      <c r="G36" s="199">
        <f t="shared" si="3"/>
        <v>5</v>
      </c>
      <c r="H36" s="198">
        <f t="shared" si="4"/>
        <v>6.5890486225480869</v>
      </c>
      <c r="I36" s="199">
        <v>79.2</v>
      </c>
      <c r="J36" s="198">
        <f t="shared" si="5"/>
        <v>15.84</v>
      </c>
      <c r="K36" s="199">
        <v>20.2</v>
      </c>
      <c r="L36" s="198">
        <f t="shared" si="6"/>
        <v>3.4669791879362126</v>
      </c>
      <c r="M36" s="200">
        <f t="shared" si="7"/>
        <v>4.5</v>
      </c>
      <c r="N36" s="199">
        <v>18.7</v>
      </c>
      <c r="O36" s="198">
        <f t="shared" si="8"/>
        <v>9.35</v>
      </c>
      <c r="P36" s="199">
        <v>10.6</v>
      </c>
      <c r="Q36" s="198">
        <f t="shared" si="9"/>
        <v>1.6846490721071565</v>
      </c>
      <c r="R36" s="199">
        <f t="shared" si="10"/>
        <v>1.5</v>
      </c>
      <c r="S36" s="200"/>
      <c r="T36" s="201"/>
    </row>
    <row r="37" spans="1:20" x14ac:dyDescent="0.25">
      <c r="A37" s="202" t="str">
        <f t="shared" si="0"/>
        <v>RECF  100*40*3</v>
      </c>
      <c r="B37" s="203">
        <f t="shared" si="1"/>
        <v>6.1294605629283572</v>
      </c>
      <c r="C37" s="204">
        <v>100</v>
      </c>
      <c r="D37" s="204">
        <v>40</v>
      </c>
      <c r="E37" s="204">
        <v>3</v>
      </c>
      <c r="F37" s="204">
        <f t="shared" si="2"/>
        <v>3</v>
      </c>
      <c r="G37" s="204">
        <f t="shared" si="3"/>
        <v>6</v>
      </c>
      <c r="H37" s="203">
        <f t="shared" si="4"/>
        <v>7.8082300164692446</v>
      </c>
      <c r="I37" s="204">
        <v>92.1</v>
      </c>
      <c r="J37" s="203">
        <f t="shared" si="5"/>
        <v>18.419999999999998</v>
      </c>
      <c r="K37" s="204">
        <v>23.7</v>
      </c>
      <c r="L37" s="203">
        <f t="shared" si="6"/>
        <v>3.4344208806169636</v>
      </c>
      <c r="M37" s="205">
        <f t="shared" si="7"/>
        <v>5.28</v>
      </c>
      <c r="N37" s="204">
        <v>21.6</v>
      </c>
      <c r="O37" s="203">
        <f t="shared" si="8"/>
        <v>10.8</v>
      </c>
      <c r="P37" s="204">
        <v>12.4</v>
      </c>
      <c r="Q37" s="203">
        <f t="shared" si="9"/>
        <v>1.6632233613161005</v>
      </c>
      <c r="R37" s="204">
        <f t="shared" si="10"/>
        <v>1.68</v>
      </c>
      <c r="S37" s="205"/>
      <c r="T37" s="206"/>
    </row>
    <row r="38" spans="1:20" x14ac:dyDescent="0.25">
      <c r="A38" s="202" t="str">
        <f t="shared" si="0"/>
        <v>RECF  100*40*4</v>
      </c>
      <c r="B38" s="203">
        <f t="shared" si="1"/>
        <v>7.9661521118726339</v>
      </c>
      <c r="C38" s="204">
        <v>100</v>
      </c>
      <c r="D38" s="204">
        <v>40</v>
      </c>
      <c r="E38" s="204">
        <v>4</v>
      </c>
      <c r="F38" s="204">
        <f t="shared" si="2"/>
        <v>4</v>
      </c>
      <c r="G38" s="204">
        <f t="shared" si="3"/>
        <v>8</v>
      </c>
      <c r="H38" s="203">
        <f t="shared" si="4"/>
        <v>10.1479644737231</v>
      </c>
      <c r="I38" s="204">
        <v>115</v>
      </c>
      <c r="J38" s="203">
        <f t="shared" si="5"/>
        <v>23</v>
      </c>
      <c r="K38" s="204">
        <v>30.2</v>
      </c>
      <c r="L38" s="203">
        <f t="shared" si="6"/>
        <v>3.3663514218613058</v>
      </c>
      <c r="M38" s="205">
        <f t="shared" si="7"/>
        <v>6.72</v>
      </c>
      <c r="N38" s="204">
        <v>26.5</v>
      </c>
      <c r="O38" s="203">
        <f t="shared" si="8"/>
        <v>13.25</v>
      </c>
      <c r="P38" s="204">
        <v>15.6</v>
      </c>
      <c r="Q38" s="203">
        <f t="shared" si="9"/>
        <v>1.6159706471448814</v>
      </c>
      <c r="R38" s="204">
        <f t="shared" si="10"/>
        <v>1.92</v>
      </c>
      <c r="S38" s="205"/>
      <c r="T38" s="206"/>
    </row>
    <row r="39" spans="1:20" x14ac:dyDescent="0.25">
      <c r="A39" s="207" t="str">
        <f t="shared" si="0"/>
        <v>RECF  100*40*5</v>
      </c>
      <c r="B39" s="208">
        <f t="shared" si="1"/>
        <v>9.6996126748009921</v>
      </c>
      <c r="C39" s="209">
        <v>100</v>
      </c>
      <c r="D39" s="209">
        <v>40</v>
      </c>
      <c r="E39" s="209">
        <v>5</v>
      </c>
      <c r="F39" s="209">
        <f t="shared" si="2"/>
        <v>5</v>
      </c>
      <c r="G39" s="209">
        <f t="shared" si="3"/>
        <v>10</v>
      </c>
      <c r="H39" s="208">
        <f t="shared" si="4"/>
        <v>12.356194490192346</v>
      </c>
      <c r="I39" s="209">
        <v>135</v>
      </c>
      <c r="J39" s="208">
        <f t="shared" si="5"/>
        <v>27</v>
      </c>
      <c r="K39" s="209">
        <v>36</v>
      </c>
      <c r="L39" s="208">
        <f t="shared" si="6"/>
        <v>3.3054037574326323</v>
      </c>
      <c r="M39" s="210">
        <f t="shared" si="7"/>
        <v>8</v>
      </c>
      <c r="N39" s="209">
        <v>30.4</v>
      </c>
      <c r="O39" s="208">
        <f t="shared" si="8"/>
        <v>15.2</v>
      </c>
      <c r="P39" s="209">
        <v>18.399999999999999</v>
      </c>
      <c r="Q39" s="208">
        <f t="shared" si="9"/>
        <v>1.5685357587851794</v>
      </c>
      <c r="R39" s="209">
        <f t="shared" si="10"/>
        <v>2</v>
      </c>
      <c r="S39" s="210"/>
      <c r="T39" s="211"/>
    </row>
    <row r="40" spans="1:20" x14ac:dyDescent="0.25">
      <c r="A40" s="194" t="str">
        <f t="shared" si="0"/>
        <v>RECF  100*50*2.5</v>
      </c>
      <c r="B40" s="195">
        <f t="shared" si="1"/>
        <v>5.5649031687002486</v>
      </c>
      <c r="C40" s="148">
        <v>100</v>
      </c>
      <c r="D40" s="148">
        <v>50</v>
      </c>
      <c r="E40" s="148">
        <v>2.5</v>
      </c>
      <c r="F40" s="148">
        <f t="shared" si="2"/>
        <v>2.5</v>
      </c>
      <c r="G40" s="148">
        <f t="shared" si="3"/>
        <v>5</v>
      </c>
      <c r="H40" s="195">
        <f t="shared" si="4"/>
        <v>7.0890486225480869</v>
      </c>
      <c r="I40" s="148">
        <v>91.1</v>
      </c>
      <c r="J40" s="195">
        <f t="shared" si="5"/>
        <v>18.22</v>
      </c>
      <c r="K40" s="148">
        <v>22.7</v>
      </c>
      <c r="L40" s="195">
        <f t="shared" si="6"/>
        <v>3.5848023114158498</v>
      </c>
      <c r="M40" s="196">
        <f t="shared" si="7"/>
        <v>4.5</v>
      </c>
      <c r="N40" s="148">
        <v>31</v>
      </c>
      <c r="O40" s="195">
        <f t="shared" si="8"/>
        <v>12.4</v>
      </c>
      <c r="P40" s="148">
        <v>14</v>
      </c>
      <c r="Q40" s="195">
        <f t="shared" si="9"/>
        <v>2.0911581042602272</v>
      </c>
      <c r="R40" s="148">
        <f t="shared" si="10"/>
        <v>2</v>
      </c>
      <c r="S40" s="196"/>
      <c r="T40" s="148"/>
    </row>
    <row r="41" spans="1:20" x14ac:dyDescent="0.25">
      <c r="A41" s="194" t="str">
        <f t="shared" si="0"/>
        <v>RECF  100*50*3</v>
      </c>
      <c r="B41" s="195">
        <f t="shared" si="1"/>
        <v>6.6004605629283581</v>
      </c>
      <c r="C41" s="148">
        <v>100</v>
      </c>
      <c r="D41" s="148">
        <v>50</v>
      </c>
      <c r="E41" s="148">
        <v>3</v>
      </c>
      <c r="F41" s="148">
        <f t="shared" si="2"/>
        <v>3</v>
      </c>
      <c r="G41" s="148">
        <f t="shared" si="3"/>
        <v>6</v>
      </c>
      <c r="H41" s="195">
        <f t="shared" si="4"/>
        <v>8.4082300164692452</v>
      </c>
      <c r="I41" s="148">
        <v>106</v>
      </c>
      <c r="J41" s="195">
        <f t="shared" si="5"/>
        <v>21.2</v>
      </c>
      <c r="K41" s="148">
        <v>26.6</v>
      </c>
      <c r="L41" s="195">
        <f t="shared" si="6"/>
        <v>3.5505909414929482</v>
      </c>
      <c r="M41" s="196">
        <f t="shared" si="7"/>
        <v>5.28</v>
      </c>
      <c r="N41" s="148">
        <v>36</v>
      </c>
      <c r="O41" s="195">
        <f t="shared" si="8"/>
        <v>14.4</v>
      </c>
      <c r="P41" s="148">
        <v>16.399999999999999</v>
      </c>
      <c r="Q41" s="195">
        <f t="shared" si="9"/>
        <v>2.0691832706915214</v>
      </c>
      <c r="R41" s="148">
        <f t="shared" si="10"/>
        <v>2.2800000000000002</v>
      </c>
      <c r="S41" s="196"/>
      <c r="T41" s="148"/>
    </row>
    <row r="42" spans="1:20" x14ac:dyDescent="0.25">
      <c r="A42" s="194" t="str">
        <f t="shared" si="0"/>
        <v>RECF  100*50*4</v>
      </c>
      <c r="B42" s="195">
        <f t="shared" si="1"/>
        <v>8.5941521118726349</v>
      </c>
      <c r="C42" s="148">
        <v>100</v>
      </c>
      <c r="D42" s="148">
        <v>50</v>
      </c>
      <c r="E42" s="148">
        <v>4</v>
      </c>
      <c r="F42" s="148">
        <f t="shared" si="2"/>
        <v>4</v>
      </c>
      <c r="G42" s="148">
        <f t="shared" si="3"/>
        <v>8</v>
      </c>
      <c r="H42" s="195">
        <f t="shared" si="4"/>
        <v>10.947964473723101</v>
      </c>
      <c r="I42" s="148">
        <v>134</v>
      </c>
      <c r="J42" s="195">
        <f t="shared" si="5"/>
        <v>26.8</v>
      </c>
      <c r="K42" s="148">
        <v>34</v>
      </c>
      <c r="L42" s="195">
        <f t="shared" si="6"/>
        <v>3.4985308628040044</v>
      </c>
      <c r="M42" s="196">
        <f t="shared" si="7"/>
        <v>6.72</v>
      </c>
      <c r="N42" s="148">
        <v>44.7</v>
      </c>
      <c r="O42" s="195">
        <f t="shared" si="8"/>
        <v>17.880000000000003</v>
      </c>
      <c r="P42" s="148">
        <v>20.9</v>
      </c>
      <c r="Q42" s="195">
        <f t="shared" si="9"/>
        <v>2.0206312805697082</v>
      </c>
      <c r="R42" s="148">
        <f t="shared" si="10"/>
        <v>2.72</v>
      </c>
      <c r="S42" s="196"/>
      <c r="T42" s="148"/>
    </row>
    <row r="43" spans="1:20" x14ac:dyDescent="0.25">
      <c r="A43" s="194" t="str">
        <f t="shared" si="0"/>
        <v>RECF  100*50*5</v>
      </c>
      <c r="B43" s="195">
        <f t="shared" si="1"/>
        <v>10.484612674800992</v>
      </c>
      <c r="C43" s="148">
        <v>100</v>
      </c>
      <c r="D43" s="148">
        <v>50</v>
      </c>
      <c r="E43" s="148">
        <v>5</v>
      </c>
      <c r="F43" s="148">
        <f t="shared" si="2"/>
        <v>5</v>
      </c>
      <c r="G43" s="148">
        <f t="shared" si="3"/>
        <v>10</v>
      </c>
      <c r="H43" s="195">
        <f t="shared" si="4"/>
        <v>13.356194490192346</v>
      </c>
      <c r="I43" s="148">
        <v>157</v>
      </c>
      <c r="J43" s="195">
        <f t="shared" si="5"/>
        <v>31.4</v>
      </c>
      <c r="K43" s="148">
        <v>40.700000000000003</v>
      </c>
      <c r="L43" s="195">
        <f t="shared" si="6"/>
        <v>3.4285339866821301</v>
      </c>
      <c r="M43" s="196">
        <f t="shared" si="7"/>
        <v>8</v>
      </c>
      <c r="N43" s="148">
        <v>52</v>
      </c>
      <c r="O43" s="195">
        <f t="shared" si="8"/>
        <v>20.8</v>
      </c>
      <c r="P43" s="148">
        <v>24.9</v>
      </c>
      <c r="Q43" s="195">
        <f t="shared" si="9"/>
        <v>1.9731509210510316</v>
      </c>
      <c r="R43" s="148">
        <f t="shared" si="10"/>
        <v>3</v>
      </c>
      <c r="S43" s="196"/>
      <c r="T43" s="148"/>
    </row>
    <row r="44" spans="1:20" x14ac:dyDescent="0.25">
      <c r="A44" s="194" t="str">
        <f t="shared" si="0"/>
        <v>RECF  100*50*6</v>
      </c>
      <c r="B44" s="195">
        <f t="shared" si="1"/>
        <v>12.271842251713428</v>
      </c>
      <c r="C44" s="148">
        <v>100</v>
      </c>
      <c r="D44" s="148">
        <v>50</v>
      </c>
      <c r="E44" s="148">
        <v>6</v>
      </c>
      <c r="F44" s="148">
        <f t="shared" si="2"/>
        <v>6</v>
      </c>
      <c r="G44" s="148">
        <f t="shared" si="3"/>
        <v>12</v>
      </c>
      <c r="H44" s="195">
        <f t="shared" si="4"/>
        <v>15.632920065876977</v>
      </c>
      <c r="I44" s="148">
        <v>177</v>
      </c>
      <c r="J44" s="195">
        <f t="shared" si="5"/>
        <v>35.4</v>
      </c>
      <c r="K44" s="148">
        <v>46.7</v>
      </c>
      <c r="L44" s="195">
        <f t="shared" si="6"/>
        <v>3.3648567465267272</v>
      </c>
      <c r="M44" s="196">
        <f t="shared" si="7"/>
        <v>9.120000000000001</v>
      </c>
      <c r="N44" s="148">
        <v>57.6</v>
      </c>
      <c r="O44" s="195">
        <f t="shared" si="8"/>
        <v>23.04</v>
      </c>
      <c r="P44" s="148">
        <v>28.4</v>
      </c>
      <c r="Q44" s="195">
        <f t="shared" si="9"/>
        <v>1.9195135760651707</v>
      </c>
      <c r="R44" s="148">
        <f t="shared" si="10"/>
        <v>3.12</v>
      </c>
      <c r="S44" s="196"/>
      <c r="T44" s="148"/>
    </row>
    <row r="45" spans="1:20" x14ac:dyDescent="0.25">
      <c r="A45" s="194" t="str">
        <f t="shared" si="0"/>
        <v>RECF  100*50*6.3</v>
      </c>
      <c r="B45" s="195">
        <f t="shared" si="1"/>
        <v>12.520430110018738</v>
      </c>
      <c r="C45" s="148">
        <v>100</v>
      </c>
      <c r="D45" s="148">
        <v>50</v>
      </c>
      <c r="E45" s="148">
        <v>6.3</v>
      </c>
      <c r="F45" s="148">
        <f t="shared" si="2"/>
        <v>9.4499999999999993</v>
      </c>
      <c r="G45" s="148">
        <f t="shared" si="3"/>
        <v>15.75</v>
      </c>
      <c r="H45" s="195">
        <f t="shared" si="4"/>
        <v>15.949592496839157</v>
      </c>
      <c r="I45" s="148">
        <v>173</v>
      </c>
      <c r="J45" s="195">
        <f t="shared" si="5"/>
        <v>34.6</v>
      </c>
      <c r="K45" s="148">
        <v>46.6</v>
      </c>
      <c r="L45" s="195">
        <f t="shared" si="6"/>
        <v>3.2934286243437589</v>
      </c>
      <c r="M45" s="196">
        <f t="shared" si="7"/>
        <v>8.6310000000000002</v>
      </c>
      <c r="N45" s="148">
        <v>56.9</v>
      </c>
      <c r="O45" s="195">
        <f t="shared" si="8"/>
        <v>22.759999999999998</v>
      </c>
      <c r="P45" s="148">
        <v>28.3</v>
      </c>
      <c r="Q45" s="195">
        <f t="shared" si="9"/>
        <v>1.8887798347471374</v>
      </c>
      <c r="R45" s="148">
        <f t="shared" si="10"/>
        <v>2.331</v>
      </c>
      <c r="S45" s="196"/>
      <c r="T45" s="148"/>
    </row>
    <row r="46" spans="1:20" x14ac:dyDescent="0.25">
      <c r="A46" s="197" t="str">
        <f t="shared" si="0"/>
        <v>RECF  100*60*2.5</v>
      </c>
      <c r="B46" s="198">
        <f t="shared" si="1"/>
        <v>5.9574031687002487</v>
      </c>
      <c r="C46" s="199">
        <v>100</v>
      </c>
      <c r="D46" s="199">
        <v>60</v>
      </c>
      <c r="E46" s="199">
        <v>2.5</v>
      </c>
      <c r="F46" s="199">
        <f t="shared" si="2"/>
        <v>2.5</v>
      </c>
      <c r="G46" s="199">
        <f t="shared" si="3"/>
        <v>5</v>
      </c>
      <c r="H46" s="198">
        <f t="shared" si="4"/>
        <v>7.5890486225480869</v>
      </c>
      <c r="I46" s="199">
        <v>103</v>
      </c>
      <c r="J46" s="198">
        <f t="shared" si="5"/>
        <v>20.6</v>
      </c>
      <c r="K46" s="199">
        <v>25.1</v>
      </c>
      <c r="L46" s="198">
        <f t="shared" si="6"/>
        <v>3.6840451551850384</v>
      </c>
      <c r="M46" s="200">
        <f t="shared" si="7"/>
        <v>4.5</v>
      </c>
      <c r="N46" s="199">
        <v>46.8</v>
      </c>
      <c r="O46" s="198">
        <f t="shared" si="8"/>
        <v>15.6</v>
      </c>
      <c r="P46" s="199">
        <v>17.7</v>
      </c>
      <c r="Q46" s="198">
        <f t="shared" si="9"/>
        <v>2.4833004021908787</v>
      </c>
      <c r="R46" s="199">
        <f t="shared" si="10"/>
        <v>2.5</v>
      </c>
      <c r="S46" s="200"/>
      <c r="T46" s="201"/>
    </row>
    <row r="47" spans="1:20" x14ac:dyDescent="0.25">
      <c r="A47" s="202" t="str">
        <f t="shared" si="0"/>
        <v>RECF  100*60*3</v>
      </c>
      <c r="B47" s="203">
        <f t="shared" si="1"/>
        <v>7.0714605629283573</v>
      </c>
      <c r="C47" s="204">
        <v>100</v>
      </c>
      <c r="D47" s="204">
        <v>60</v>
      </c>
      <c r="E47" s="204">
        <v>3</v>
      </c>
      <c r="F47" s="204">
        <f t="shared" si="2"/>
        <v>3</v>
      </c>
      <c r="G47" s="204">
        <f t="shared" si="3"/>
        <v>6</v>
      </c>
      <c r="H47" s="203">
        <f t="shared" si="4"/>
        <v>9.0082300164692448</v>
      </c>
      <c r="I47" s="204">
        <v>120</v>
      </c>
      <c r="J47" s="203">
        <f t="shared" si="5"/>
        <v>24</v>
      </c>
      <c r="K47" s="204">
        <v>29.5</v>
      </c>
      <c r="L47" s="203">
        <f t="shared" si="6"/>
        <v>3.6498153180193578</v>
      </c>
      <c r="M47" s="205">
        <f t="shared" si="7"/>
        <v>5.28</v>
      </c>
      <c r="N47" s="204">
        <v>54.5</v>
      </c>
      <c r="O47" s="203">
        <f t="shared" si="8"/>
        <v>18.166666666666668</v>
      </c>
      <c r="P47" s="204">
        <v>20.8</v>
      </c>
      <c r="Q47" s="203">
        <f t="shared" si="9"/>
        <v>2.459679477989047</v>
      </c>
      <c r="R47" s="204">
        <f t="shared" si="10"/>
        <v>2.88</v>
      </c>
      <c r="S47" s="205"/>
      <c r="T47" s="206"/>
    </row>
    <row r="48" spans="1:20" x14ac:dyDescent="0.25">
      <c r="A48" s="202" t="str">
        <f t="shared" si="0"/>
        <v>RECF  100*60*4</v>
      </c>
      <c r="B48" s="203">
        <f t="shared" si="1"/>
        <v>9.2221521118726333</v>
      </c>
      <c r="C48" s="204">
        <v>100</v>
      </c>
      <c r="D48" s="204">
        <v>60</v>
      </c>
      <c r="E48" s="204">
        <v>4</v>
      </c>
      <c r="F48" s="204">
        <f t="shared" si="2"/>
        <v>4</v>
      </c>
      <c r="G48" s="204">
        <f t="shared" si="3"/>
        <v>8</v>
      </c>
      <c r="H48" s="203">
        <f t="shared" si="4"/>
        <v>11.747964473723099</v>
      </c>
      <c r="I48" s="204">
        <v>152</v>
      </c>
      <c r="J48" s="203">
        <f t="shared" si="5"/>
        <v>30.4</v>
      </c>
      <c r="K48" s="204">
        <v>37.9</v>
      </c>
      <c r="L48" s="203">
        <f t="shared" si="6"/>
        <v>3.5970003635041286</v>
      </c>
      <c r="M48" s="205">
        <f t="shared" si="7"/>
        <v>6.72</v>
      </c>
      <c r="N48" s="204">
        <v>68.400000000000006</v>
      </c>
      <c r="O48" s="203">
        <f t="shared" si="8"/>
        <v>22.8</v>
      </c>
      <c r="P48" s="204">
        <v>26.6</v>
      </c>
      <c r="Q48" s="203">
        <f t="shared" si="9"/>
        <v>2.4129411983660058</v>
      </c>
      <c r="R48" s="204">
        <f t="shared" si="10"/>
        <v>3.52</v>
      </c>
      <c r="S48" s="205"/>
      <c r="T48" s="206"/>
    </row>
    <row r="49" spans="1:20" x14ac:dyDescent="0.25">
      <c r="A49" s="202" t="str">
        <f t="shared" si="0"/>
        <v>RECF  100*60*5</v>
      </c>
      <c r="B49" s="203">
        <f t="shared" si="1"/>
        <v>11.269612674800992</v>
      </c>
      <c r="C49" s="204">
        <v>100</v>
      </c>
      <c r="D49" s="204">
        <v>60</v>
      </c>
      <c r="E49" s="204">
        <v>5</v>
      </c>
      <c r="F49" s="204">
        <f t="shared" si="2"/>
        <v>5</v>
      </c>
      <c r="G49" s="204">
        <f t="shared" si="3"/>
        <v>10</v>
      </c>
      <c r="H49" s="203">
        <f t="shared" si="4"/>
        <v>14.356194490192346</v>
      </c>
      <c r="I49" s="204">
        <v>180</v>
      </c>
      <c r="J49" s="203">
        <f t="shared" si="5"/>
        <v>36</v>
      </c>
      <c r="K49" s="204">
        <v>45.5</v>
      </c>
      <c r="L49" s="203">
        <f t="shared" si="6"/>
        <v>3.5409238405981567</v>
      </c>
      <c r="M49" s="205">
        <f t="shared" si="7"/>
        <v>8</v>
      </c>
      <c r="N49" s="204">
        <v>80.3</v>
      </c>
      <c r="O49" s="203">
        <f t="shared" si="8"/>
        <v>26.766666666666666</v>
      </c>
      <c r="P49" s="204">
        <v>31.8</v>
      </c>
      <c r="Q49" s="203">
        <f t="shared" si="9"/>
        <v>2.365037906774889</v>
      </c>
      <c r="R49" s="204">
        <f t="shared" si="10"/>
        <v>4</v>
      </c>
      <c r="S49" s="205"/>
      <c r="T49" s="206"/>
    </row>
    <row r="50" spans="1:20" x14ac:dyDescent="0.25">
      <c r="A50" s="202" t="str">
        <f t="shared" si="0"/>
        <v>RECF  100*60*6</v>
      </c>
      <c r="B50" s="203">
        <f t="shared" si="1"/>
        <v>13.213842251713427</v>
      </c>
      <c r="C50" s="204">
        <v>100</v>
      </c>
      <c r="D50" s="204">
        <v>60</v>
      </c>
      <c r="E50" s="204">
        <v>6</v>
      </c>
      <c r="F50" s="204">
        <f t="shared" si="2"/>
        <v>6</v>
      </c>
      <c r="G50" s="204">
        <f t="shared" si="3"/>
        <v>12</v>
      </c>
      <c r="H50" s="203">
        <f t="shared" si="4"/>
        <v>16.832920065876976</v>
      </c>
      <c r="I50" s="204">
        <v>204</v>
      </c>
      <c r="J50" s="203">
        <f t="shared" si="5"/>
        <v>40.799999999999997</v>
      </c>
      <c r="K50" s="204">
        <v>52.4</v>
      </c>
      <c r="L50" s="203">
        <f t="shared" si="6"/>
        <v>3.4812511273811135</v>
      </c>
      <c r="M50" s="205">
        <f t="shared" si="7"/>
        <v>9.120000000000001</v>
      </c>
      <c r="N50" s="204">
        <v>90.3</v>
      </c>
      <c r="O50" s="203">
        <f t="shared" si="8"/>
        <v>30.099999999999998</v>
      </c>
      <c r="P50" s="204">
        <v>36.5</v>
      </c>
      <c r="Q50" s="203">
        <f t="shared" si="9"/>
        <v>2.3161364676405984</v>
      </c>
      <c r="R50" s="204">
        <f t="shared" si="10"/>
        <v>4.32</v>
      </c>
      <c r="S50" s="205"/>
      <c r="T50" s="206"/>
    </row>
    <row r="51" spans="1:20" x14ac:dyDescent="0.25">
      <c r="A51" s="207" t="str">
        <f t="shared" si="0"/>
        <v>RECF  100*60*6.3</v>
      </c>
      <c r="B51" s="208">
        <f t="shared" si="1"/>
        <v>13.509530110018739</v>
      </c>
      <c r="C51" s="209">
        <v>100</v>
      </c>
      <c r="D51" s="209">
        <v>60</v>
      </c>
      <c r="E51" s="209">
        <v>6.3</v>
      </c>
      <c r="F51" s="209">
        <f t="shared" si="2"/>
        <v>9.4499999999999993</v>
      </c>
      <c r="G51" s="209">
        <f t="shared" si="3"/>
        <v>15.75</v>
      </c>
      <c r="H51" s="208">
        <f t="shared" si="4"/>
        <v>17.209592496839157</v>
      </c>
      <c r="I51" s="209">
        <v>201</v>
      </c>
      <c r="J51" s="208">
        <f t="shared" si="5"/>
        <v>40.200000000000003</v>
      </c>
      <c r="K51" s="209">
        <v>52.5</v>
      </c>
      <c r="L51" s="208">
        <f t="shared" si="6"/>
        <v>3.4175331450609927</v>
      </c>
      <c r="M51" s="210">
        <f t="shared" si="7"/>
        <v>8.6310000000000002</v>
      </c>
      <c r="N51" s="209">
        <v>89.3</v>
      </c>
      <c r="O51" s="208">
        <f t="shared" si="8"/>
        <v>29.766666666666666</v>
      </c>
      <c r="P51" s="209">
        <v>36.6</v>
      </c>
      <c r="Q51" s="208">
        <f t="shared" si="9"/>
        <v>2.2779303240699793</v>
      </c>
      <c r="R51" s="209">
        <f t="shared" si="10"/>
        <v>3.5909999999999997</v>
      </c>
      <c r="S51" s="210"/>
      <c r="T51" s="211"/>
    </row>
    <row r="52" spans="1:20" x14ac:dyDescent="0.25">
      <c r="A52" s="194" t="str">
        <f t="shared" si="0"/>
        <v>RECF  100*80*2.5</v>
      </c>
      <c r="B52" s="195">
        <f t="shared" si="1"/>
        <v>6.7424031687002488</v>
      </c>
      <c r="C52" s="148">
        <v>100</v>
      </c>
      <c r="D52" s="148">
        <v>80</v>
      </c>
      <c r="E52" s="148">
        <v>2.5</v>
      </c>
      <c r="F52" s="148">
        <f t="shared" si="2"/>
        <v>2.5</v>
      </c>
      <c r="G52" s="148">
        <f t="shared" si="3"/>
        <v>5</v>
      </c>
      <c r="H52" s="195">
        <f t="shared" si="4"/>
        <v>8.5890486225480878</v>
      </c>
      <c r="I52" s="148">
        <v>127</v>
      </c>
      <c r="J52" s="195">
        <f t="shared" si="5"/>
        <v>25.4</v>
      </c>
      <c r="K52" s="148">
        <v>30</v>
      </c>
      <c r="L52" s="195">
        <f t="shared" si="6"/>
        <v>3.8452920479722272</v>
      </c>
      <c r="M52" s="196">
        <f t="shared" si="7"/>
        <v>4.5</v>
      </c>
      <c r="N52" s="148">
        <v>90.1</v>
      </c>
      <c r="O52" s="195">
        <f t="shared" si="8"/>
        <v>22.524999999999999</v>
      </c>
      <c r="P52" s="148">
        <v>25.8</v>
      </c>
      <c r="Q52" s="195">
        <f t="shared" si="9"/>
        <v>3.2388427640389645</v>
      </c>
      <c r="R52" s="148">
        <f t="shared" si="10"/>
        <v>3.5</v>
      </c>
      <c r="S52" s="196"/>
      <c r="T52" s="148"/>
    </row>
    <row r="53" spans="1:20" x14ac:dyDescent="0.25">
      <c r="A53" s="194" t="str">
        <f t="shared" si="0"/>
        <v>RECF  100*80*3</v>
      </c>
      <c r="B53" s="195">
        <f t="shared" si="1"/>
        <v>8.0134605629283566</v>
      </c>
      <c r="C53" s="148">
        <v>100</v>
      </c>
      <c r="D53" s="148">
        <v>80</v>
      </c>
      <c r="E53" s="148">
        <v>3</v>
      </c>
      <c r="F53" s="148">
        <f t="shared" si="2"/>
        <v>3</v>
      </c>
      <c r="G53" s="148">
        <f t="shared" si="3"/>
        <v>6</v>
      </c>
      <c r="H53" s="195">
        <f t="shared" si="4"/>
        <v>10.208230016469244</v>
      </c>
      <c r="I53" s="148">
        <v>149</v>
      </c>
      <c r="J53" s="195">
        <f t="shared" si="5"/>
        <v>29.8</v>
      </c>
      <c r="K53" s="148">
        <v>35.4</v>
      </c>
      <c r="L53" s="195">
        <f t="shared" si="6"/>
        <v>3.8204798248038454</v>
      </c>
      <c r="M53" s="196">
        <f t="shared" si="7"/>
        <v>5.28</v>
      </c>
      <c r="N53" s="148">
        <v>105</v>
      </c>
      <c r="O53" s="195">
        <f t="shared" si="8"/>
        <v>26.25</v>
      </c>
      <c r="P53" s="148">
        <v>30.4</v>
      </c>
      <c r="Q53" s="195">
        <f t="shared" si="9"/>
        <v>3.2071511325149409</v>
      </c>
      <c r="R53" s="148">
        <f t="shared" si="10"/>
        <v>4.08</v>
      </c>
      <c r="S53" s="196"/>
      <c r="T53" s="148"/>
    </row>
    <row r="54" spans="1:20" x14ac:dyDescent="0.25">
      <c r="A54" s="194" t="str">
        <f t="shared" si="0"/>
        <v>RECF  100*80*4</v>
      </c>
      <c r="B54" s="195">
        <f t="shared" si="1"/>
        <v>10.478152111872635</v>
      </c>
      <c r="C54" s="148">
        <v>100</v>
      </c>
      <c r="D54" s="148">
        <v>80</v>
      </c>
      <c r="E54" s="148">
        <v>4</v>
      </c>
      <c r="F54" s="148">
        <f t="shared" si="2"/>
        <v>4</v>
      </c>
      <c r="G54" s="148">
        <f t="shared" si="3"/>
        <v>8</v>
      </c>
      <c r="H54" s="195">
        <f t="shared" si="4"/>
        <v>13.347964473723101</v>
      </c>
      <c r="I54" s="148">
        <v>189</v>
      </c>
      <c r="J54" s="195">
        <f t="shared" si="5"/>
        <v>37.799999999999997</v>
      </c>
      <c r="K54" s="148">
        <v>45.6</v>
      </c>
      <c r="L54" s="195">
        <f t="shared" si="6"/>
        <v>3.7629061002000324</v>
      </c>
      <c r="M54" s="196">
        <f t="shared" si="7"/>
        <v>6.72</v>
      </c>
      <c r="N54" s="148">
        <v>134</v>
      </c>
      <c r="O54" s="195">
        <f t="shared" si="8"/>
        <v>33.5</v>
      </c>
      <c r="P54" s="148">
        <v>39.1</v>
      </c>
      <c r="Q54" s="195">
        <f t="shared" si="9"/>
        <v>3.1684355550217664</v>
      </c>
      <c r="R54" s="148">
        <f t="shared" si="10"/>
        <v>5.12</v>
      </c>
      <c r="S54" s="196"/>
      <c r="T54" s="148"/>
    </row>
    <row r="55" spans="1:20" x14ac:dyDescent="0.25">
      <c r="A55" s="194" t="str">
        <f t="shared" si="0"/>
        <v>RECF  100*80*5</v>
      </c>
      <c r="B55" s="195">
        <f t="shared" si="1"/>
        <v>12.839612674800991</v>
      </c>
      <c r="C55" s="148">
        <v>100</v>
      </c>
      <c r="D55" s="148">
        <v>80</v>
      </c>
      <c r="E55" s="148">
        <v>5</v>
      </c>
      <c r="F55" s="148">
        <f t="shared" si="2"/>
        <v>5</v>
      </c>
      <c r="G55" s="148">
        <f t="shared" si="3"/>
        <v>10</v>
      </c>
      <c r="H55" s="195">
        <f t="shared" si="4"/>
        <v>16.356194490192344</v>
      </c>
      <c r="I55" s="148">
        <v>225</v>
      </c>
      <c r="J55" s="195">
        <f t="shared" si="5"/>
        <v>45</v>
      </c>
      <c r="K55" s="148">
        <v>55</v>
      </c>
      <c r="L55" s="195">
        <f t="shared" si="6"/>
        <v>3.7089427180842351</v>
      </c>
      <c r="M55" s="196">
        <f t="shared" si="7"/>
        <v>8</v>
      </c>
      <c r="N55" s="148">
        <v>159</v>
      </c>
      <c r="O55" s="195">
        <f t="shared" si="8"/>
        <v>39.75</v>
      </c>
      <c r="P55" s="148">
        <v>47.1</v>
      </c>
      <c r="Q55" s="195">
        <f t="shared" si="9"/>
        <v>3.1178658781493342</v>
      </c>
      <c r="R55" s="148">
        <f t="shared" si="10"/>
        <v>6</v>
      </c>
      <c r="S55" s="196"/>
      <c r="T55" s="148"/>
    </row>
    <row r="56" spans="1:20" x14ac:dyDescent="0.25">
      <c r="A56" s="194" t="str">
        <f t="shared" si="0"/>
        <v>RECF  100*80*6</v>
      </c>
      <c r="B56" s="195">
        <f t="shared" si="1"/>
        <v>15.097842251713429</v>
      </c>
      <c r="C56" s="148">
        <v>100</v>
      </c>
      <c r="D56" s="148">
        <v>80</v>
      </c>
      <c r="E56" s="148">
        <v>6</v>
      </c>
      <c r="F56" s="148">
        <f t="shared" si="2"/>
        <v>6</v>
      </c>
      <c r="G56" s="148">
        <f t="shared" si="3"/>
        <v>12</v>
      </c>
      <c r="H56" s="195">
        <f t="shared" si="4"/>
        <v>19.232920065876979</v>
      </c>
      <c r="I56" s="148">
        <v>257</v>
      </c>
      <c r="J56" s="195">
        <f t="shared" si="5"/>
        <v>51.4</v>
      </c>
      <c r="K56" s="148">
        <v>63.7</v>
      </c>
      <c r="L56" s="195">
        <f t="shared" si="6"/>
        <v>3.6554760964354807</v>
      </c>
      <c r="M56" s="196">
        <f t="shared" si="7"/>
        <v>9.120000000000001</v>
      </c>
      <c r="N56" s="148">
        <v>181</v>
      </c>
      <c r="O56" s="195">
        <f t="shared" si="8"/>
        <v>45.25</v>
      </c>
      <c r="P56" s="148">
        <v>54.5</v>
      </c>
      <c r="Q56" s="195">
        <f t="shared" si="9"/>
        <v>3.0677267556611549</v>
      </c>
      <c r="R56" s="148">
        <f t="shared" si="10"/>
        <v>6.72</v>
      </c>
      <c r="S56" s="196"/>
      <c r="T56" s="148"/>
    </row>
    <row r="57" spans="1:20" x14ac:dyDescent="0.25">
      <c r="A57" s="194" t="str">
        <f t="shared" si="0"/>
        <v>RECF  100*80*6.3</v>
      </c>
      <c r="B57" s="195">
        <f t="shared" si="1"/>
        <v>15.487730110018738</v>
      </c>
      <c r="C57" s="148">
        <v>100</v>
      </c>
      <c r="D57" s="148">
        <v>80</v>
      </c>
      <c r="E57" s="148">
        <v>6.3</v>
      </c>
      <c r="F57" s="148">
        <f t="shared" si="2"/>
        <v>9.4499999999999993</v>
      </c>
      <c r="G57" s="148">
        <f t="shared" si="3"/>
        <v>15.75</v>
      </c>
      <c r="H57" s="195">
        <f t="shared" si="4"/>
        <v>19.729592496839157</v>
      </c>
      <c r="I57" s="148">
        <v>256</v>
      </c>
      <c r="J57" s="195">
        <f t="shared" si="5"/>
        <v>51.2</v>
      </c>
      <c r="K57" s="148">
        <v>64.3</v>
      </c>
      <c r="L57" s="195">
        <f t="shared" si="6"/>
        <v>3.6021427953633145</v>
      </c>
      <c r="M57" s="196">
        <f t="shared" si="7"/>
        <v>8.6310000000000002</v>
      </c>
      <c r="N57" s="148">
        <v>181</v>
      </c>
      <c r="O57" s="195">
        <f t="shared" si="8"/>
        <v>45.25</v>
      </c>
      <c r="P57" s="148">
        <v>55.1</v>
      </c>
      <c r="Q57" s="195">
        <f t="shared" si="9"/>
        <v>3.0288671832933254</v>
      </c>
      <c r="R57" s="148">
        <f t="shared" si="10"/>
        <v>6.1110000000000007</v>
      </c>
      <c r="S57" s="196"/>
      <c r="T57" s="148"/>
    </row>
    <row r="58" spans="1:20" x14ac:dyDescent="0.25">
      <c r="A58" s="197" t="str">
        <f t="shared" si="0"/>
        <v>RECF  120*60*2.5</v>
      </c>
      <c r="B58" s="198">
        <f t="shared" si="1"/>
        <v>6.7424031687002488</v>
      </c>
      <c r="C58" s="199">
        <v>120</v>
      </c>
      <c r="D58" s="199">
        <v>60</v>
      </c>
      <c r="E58" s="199">
        <v>2.5</v>
      </c>
      <c r="F58" s="199">
        <f t="shared" si="2"/>
        <v>2.5</v>
      </c>
      <c r="G58" s="199">
        <f t="shared" si="3"/>
        <v>5</v>
      </c>
      <c r="H58" s="198">
        <f t="shared" si="4"/>
        <v>8.5890486225480878</v>
      </c>
      <c r="I58" s="199">
        <v>161</v>
      </c>
      <c r="J58" s="198">
        <f t="shared" si="5"/>
        <v>26.833333333333332</v>
      </c>
      <c r="K58" s="199">
        <v>33.200000000000003</v>
      </c>
      <c r="L58" s="198">
        <f t="shared" si="6"/>
        <v>4.3295265515615871</v>
      </c>
      <c r="M58" s="200">
        <f t="shared" si="7"/>
        <v>5.5</v>
      </c>
      <c r="N58" s="199">
        <v>55.1</v>
      </c>
      <c r="O58" s="198">
        <f t="shared" si="8"/>
        <v>18.366666666666667</v>
      </c>
      <c r="P58" s="199">
        <v>20.5</v>
      </c>
      <c r="Q58" s="198">
        <f t="shared" si="9"/>
        <v>2.5328138292220959</v>
      </c>
      <c r="R58" s="199">
        <f t="shared" si="10"/>
        <v>2.5</v>
      </c>
      <c r="S58" s="200"/>
      <c r="T58" s="201"/>
    </row>
    <row r="59" spans="1:20" x14ac:dyDescent="0.25">
      <c r="A59" s="202" t="str">
        <f t="shared" si="0"/>
        <v>RECF  120*60*3</v>
      </c>
      <c r="B59" s="203">
        <f t="shared" si="1"/>
        <v>8.0134605629283566</v>
      </c>
      <c r="C59" s="204">
        <v>120</v>
      </c>
      <c r="D59" s="204">
        <v>60</v>
      </c>
      <c r="E59" s="204">
        <v>3</v>
      </c>
      <c r="F59" s="204">
        <f t="shared" si="2"/>
        <v>3</v>
      </c>
      <c r="G59" s="204">
        <f t="shared" si="3"/>
        <v>6</v>
      </c>
      <c r="H59" s="203">
        <f t="shared" si="4"/>
        <v>10.208230016469244</v>
      </c>
      <c r="I59" s="204">
        <v>189</v>
      </c>
      <c r="J59" s="203">
        <f t="shared" si="5"/>
        <v>31.5</v>
      </c>
      <c r="K59" s="204">
        <v>39.200000000000003</v>
      </c>
      <c r="L59" s="203">
        <f t="shared" si="6"/>
        <v>4.3028447678513064</v>
      </c>
      <c r="M59" s="205">
        <f t="shared" si="7"/>
        <v>6.48</v>
      </c>
      <c r="N59" s="204">
        <v>64.3</v>
      </c>
      <c r="O59" s="203">
        <f t="shared" si="8"/>
        <v>21.433333333333334</v>
      </c>
      <c r="P59" s="204">
        <v>24.2</v>
      </c>
      <c r="Q59" s="203">
        <f t="shared" si="9"/>
        <v>2.5097488439525408</v>
      </c>
      <c r="R59" s="204">
        <f t="shared" si="10"/>
        <v>2.88</v>
      </c>
      <c r="S59" s="205"/>
      <c r="T59" s="206"/>
    </row>
    <row r="60" spans="1:20" x14ac:dyDescent="0.25">
      <c r="A60" s="202" t="str">
        <f t="shared" si="0"/>
        <v>RECF  120*60*4</v>
      </c>
      <c r="B60" s="203">
        <f t="shared" si="1"/>
        <v>10.478152111872635</v>
      </c>
      <c r="C60" s="204">
        <v>120</v>
      </c>
      <c r="D60" s="204">
        <v>60</v>
      </c>
      <c r="E60" s="204">
        <v>4</v>
      </c>
      <c r="F60" s="204">
        <f t="shared" si="2"/>
        <v>4</v>
      </c>
      <c r="G60" s="204">
        <f t="shared" si="3"/>
        <v>8</v>
      </c>
      <c r="H60" s="203">
        <f t="shared" si="4"/>
        <v>13.347964473723101</v>
      </c>
      <c r="I60" s="204">
        <v>140</v>
      </c>
      <c r="J60" s="203">
        <f t="shared" si="5"/>
        <v>23.333333333333332</v>
      </c>
      <c r="K60" s="204">
        <v>50.4</v>
      </c>
      <c r="L60" s="203">
        <f t="shared" si="6"/>
        <v>3.2385939243148942</v>
      </c>
      <c r="M60" s="205">
        <f t="shared" si="7"/>
        <v>8.32</v>
      </c>
      <c r="N60" s="204">
        <v>81</v>
      </c>
      <c r="O60" s="203">
        <f t="shared" si="8"/>
        <v>27</v>
      </c>
      <c r="P60" s="204">
        <v>31</v>
      </c>
      <c r="Q60" s="203">
        <f t="shared" si="9"/>
        <v>2.4634002910253905</v>
      </c>
      <c r="R60" s="204">
        <f t="shared" si="10"/>
        <v>3.52</v>
      </c>
      <c r="S60" s="205"/>
      <c r="T60" s="206"/>
    </row>
    <row r="61" spans="1:20" x14ac:dyDescent="0.25">
      <c r="A61" s="202" t="str">
        <f t="shared" si="0"/>
        <v>RECF  120*60*5</v>
      </c>
      <c r="B61" s="203">
        <f t="shared" si="1"/>
        <v>12.839612674800991</v>
      </c>
      <c r="C61" s="204">
        <v>120</v>
      </c>
      <c r="D61" s="204">
        <v>60</v>
      </c>
      <c r="E61" s="204">
        <v>5</v>
      </c>
      <c r="F61" s="204">
        <f t="shared" si="2"/>
        <v>5</v>
      </c>
      <c r="G61" s="204">
        <f t="shared" si="3"/>
        <v>10</v>
      </c>
      <c r="H61" s="203">
        <f t="shared" si="4"/>
        <v>16.356194490192344</v>
      </c>
      <c r="I61" s="204">
        <v>286</v>
      </c>
      <c r="J61" s="203">
        <f t="shared" si="5"/>
        <v>47.666666666666664</v>
      </c>
      <c r="K61" s="204">
        <v>60.9</v>
      </c>
      <c r="L61" s="203">
        <f t="shared" si="6"/>
        <v>4.1815941886130785</v>
      </c>
      <c r="M61" s="205">
        <f t="shared" si="7"/>
        <v>10</v>
      </c>
      <c r="N61" s="204">
        <v>95.5</v>
      </c>
      <c r="O61" s="203">
        <f t="shared" si="8"/>
        <v>31.833333333333332</v>
      </c>
      <c r="P61" s="204">
        <v>37.299999999999997</v>
      </c>
      <c r="Q61" s="203">
        <f t="shared" si="9"/>
        <v>2.4163539624960872</v>
      </c>
      <c r="R61" s="204">
        <f t="shared" si="10"/>
        <v>4</v>
      </c>
      <c r="S61" s="205"/>
      <c r="T61" s="206"/>
    </row>
    <row r="62" spans="1:20" x14ac:dyDescent="0.25">
      <c r="A62" s="202" t="str">
        <f t="shared" si="0"/>
        <v>RECF  120*60*6</v>
      </c>
      <c r="B62" s="203">
        <f t="shared" si="1"/>
        <v>15.097842251713429</v>
      </c>
      <c r="C62" s="204">
        <v>120</v>
      </c>
      <c r="D62" s="204">
        <v>60</v>
      </c>
      <c r="E62" s="204">
        <v>6</v>
      </c>
      <c r="F62" s="204">
        <f t="shared" si="2"/>
        <v>6</v>
      </c>
      <c r="G62" s="204">
        <f t="shared" si="3"/>
        <v>12</v>
      </c>
      <c r="H62" s="203">
        <f t="shared" si="4"/>
        <v>19.232920065876979</v>
      </c>
      <c r="I62" s="204">
        <v>326</v>
      </c>
      <c r="J62" s="203">
        <f t="shared" si="5"/>
        <v>54.333333333333336</v>
      </c>
      <c r="K62" s="204">
        <v>70.400000000000006</v>
      </c>
      <c r="L62" s="203">
        <f t="shared" si="6"/>
        <v>4.1170504298924024</v>
      </c>
      <c r="M62" s="205">
        <f t="shared" si="7"/>
        <v>11.52</v>
      </c>
      <c r="N62" s="204">
        <v>108</v>
      </c>
      <c r="O62" s="203">
        <f t="shared" si="8"/>
        <v>36</v>
      </c>
      <c r="P62" s="204">
        <v>42.9</v>
      </c>
      <c r="Q62" s="203">
        <f t="shared" si="9"/>
        <v>2.3696776062503169</v>
      </c>
      <c r="R62" s="204">
        <f t="shared" si="10"/>
        <v>4.32</v>
      </c>
      <c r="S62" s="205"/>
      <c r="T62" s="206"/>
    </row>
    <row r="63" spans="1:20" x14ac:dyDescent="0.25">
      <c r="A63" s="202" t="str">
        <f t="shared" si="0"/>
        <v>RECF  120*60*6.3</v>
      </c>
      <c r="B63" s="203">
        <f t="shared" si="1"/>
        <v>15.487730110018738</v>
      </c>
      <c r="C63" s="204">
        <v>120</v>
      </c>
      <c r="D63" s="204">
        <v>60</v>
      </c>
      <c r="E63" s="204">
        <v>6.3</v>
      </c>
      <c r="F63" s="204">
        <f t="shared" si="2"/>
        <v>9.4499999999999993</v>
      </c>
      <c r="G63" s="204">
        <f t="shared" si="3"/>
        <v>15.75</v>
      </c>
      <c r="H63" s="203">
        <f t="shared" si="4"/>
        <v>19.729592496839157</v>
      </c>
      <c r="I63" s="204">
        <v>324</v>
      </c>
      <c r="J63" s="203">
        <f t="shared" si="5"/>
        <v>54</v>
      </c>
      <c r="K63" s="204">
        <v>70.900000000000006</v>
      </c>
      <c r="L63" s="203">
        <f t="shared" si="6"/>
        <v>4.0524106447837287</v>
      </c>
      <c r="M63" s="205">
        <f t="shared" si="7"/>
        <v>11.151</v>
      </c>
      <c r="N63" s="204">
        <v>108</v>
      </c>
      <c r="O63" s="203">
        <f t="shared" si="8"/>
        <v>36</v>
      </c>
      <c r="P63" s="204">
        <v>43.4</v>
      </c>
      <c r="Q63" s="203">
        <f t="shared" si="9"/>
        <v>2.3396603766327906</v>
      </c>
      <c r="R63" s="204">
        <f t="shared" si="10"/>
        <v>3.5909999999999997</v>
      </c>
      <c r="S63" s="205"/>
      <c r="T63" s="206"/>
    </row>
    <row r="64" spans="1:20" x14ac:dyDescent="0.25">
      <c r="A64" s="207" t="str">
        <f t="shared" si="0"/>
        <v>RECF  120*60*8</v>
      </c>
      <c r="B64" s="208">
        <f t="shared" si="1"/>
        <v>18.87334459665405</v>
      </c>
      <c r="C64" s="209">
        <v>120</v>
      </c>
      <c r="D64" s="209">
        <v>60</v>
      </c>
      <c r="E64" s="209">
        <v>8</v>
      </c>
      <c r="F64" s="209">
        <f t="shared" si="2"/>
        <v>12</v>
      </c>
      <c r="G64" s="209">
        <f t="shared" si="3"/>
        <v>20</v>
      </c>
      <c r="H64" s="208">
        <f t="shared" si="4"/>
        <v>24.042477193189871</v>
      </c>
      <c r="I64" s="209">
        <v>368</v>
      </c>
      <c r="J64" s="208">
        <f t="shared" si="5"/>
        <v>61.333333333333336</v>
      </c>
      <c r="K64" s="209">
        <v>83.4</v>
      </c>
      <c r="L64" s="208">
        <f t="shared" si="6"/>
        <v>3.9123193981531488</v>
      </c>
      <c r="M64" s="210">
        <f t="shared" si="7"/>
        <v>12.8</v>
      </c>
      <c r="N64" s="209">
        <v>121</v>
      </c>
      <c r="O64" s="208">
        <f t="shared" si="8"/>
        <v>40.333333333333336</v>
      </c>
      <c r="P64" s="209">
        <v>50.7</v>
      </c>
      <c r="Q64" s="208">
        <f t="shared" si="9"/>
        <v>2.2433812140025862</v>
      </c>
      <c r="R64" s="209">
        <f t="shared" si="10"/>
        <v>3.2</v>
      </c>
      <c r="S64" s="210"/>
      <c r="T64" s="211"/>
    </row>
    <row r="65" spans="1:20" x14ac:dyDescent="0.25">
      <c r="A65" s="194" t="str">
        <f t="shared" si="0"/>
        <v>RECF  120*80*3</v>
      </c>
      <c r="B65" s="195">
        <f t="shared" si="1"/>
        <v>8.9554605629283586</v>
      </c>
      <c r="C65" s="148">
        <v>120</v>
      </c>
      <c r="D65" s="148">
        <v>80</v>
      </c>
      <c r="E65" s="148">
        <v>3</v>
      </c>
      <c r="F65" s="148">
        <f t="shared" si="2"/>
        <v>3</v>
      </c>
      <c r="G65" s="148">
        <f t="shared" si="3"/>
        <v>6</v>
      </c>
      <c r="H65" s="195">
        <f t="shared" si="4"/>
        <v>11.408230016469245</v>
      </c>
      <c r="I65" s="148">
        <v>230</v>
      </c>
      <c r="J65" s="195">
        <f t="shared" si="5"/>
        <v>38.333333333333336</v>
      </c>
      <c r="K65" s="148">
        <v>46.2</v>
      </c>
      <c r="L65" s="195">
        <f t="shared" si="6"/>
        <v>4.4900872846798086</v>
      </c>
      <c r="M65" s="196">
        <f t="shared" si="7"/>
        <v>6.48</v>
      </c>
      <c r="N65" s="148">
        <v>123</v>
      </c>
      <c r="O65" s="195">
        <f t="shared" si="8"/>
        <v>30.75</v>
      </c>
      <c r="P65" s="148">
        <v>35</v>
      </c>
      <c r="Q65" s="195">
        <f t="shared" si="9"/>
        <v>3.2835483923694273</v>
      </c>
      <c r="R65" s="148">
        <f t="shared" si="10"/>
        <v>4.08</v>
      </c>
      <c r="S65" s="196"/>
      <c r="T65" s="148"/>
    </row>
    <row r="66" spans="1:20" x14ac:dyDescent="0.25">
      <c r="A66" s="194" t="str">
        <f t="shared" si="0"/>
        <v>RECF  120*80*4</v>
      </c>
      <c r="B66" s="195">
        <f t="shared" si="1"/>
        <v>11.734152111872634</v>
      </c>
      <c r="C66" s="148">
        <v>120</v>
      </c>
      <c r="D66" s="148">
        <v>80</v>
      </c>
      <c r="E66" s="148">
        <v>4</v>
      </c>
      <c r="F66" s="148">
        <f t="shared" si="2"/>
        <v>4</v>
      </c>
      <c r="G66" s="148">
        <f t="shared" si="3"/>
        <v>8</v>
      </c>
      <c r="H66" s="195">
        <f t="shared" si="4"/>
        <v>14.947964473723101</v>
      </c>
      <c r="I66" s="148">
        <v>294</v>
      </c>
      <c r="J66" s="195">
        <f t="shared" si="5"/>
        <v>49</v>
      </c>
      <c r="K66" s="148">
        <v>59.7</v>
      </c>
      <c r="L66" s="195">
        <f t="shared" si="6"/>
        <v>4.4348877978102514</v>
      </c>
      <c r="M66" s="196">
        <f t="shared" si="7"/>
        <v>8.32</v>
      </c>
      <c r="N66" s="148">
        <v>157</v>
      </c>
      <c r="O66" s="195">
        <f t="shared" si="8"/>
        <v>39.25</v>
      </c>
      <c r="P66" s="148">
        <v>45.2</v>
      </c>
      <c r="Q66" s="195">
        <f t="shared" si="9"/>
        <v>3.2408490086762396</v>
      </c>
      <c r="R66" s="148">
        <f t="shared" si="10"/>
        <v>5.12</v>
      </c>
      <c r="S66" s="196"/>
      <c r="T66" s="148"/>
    </row>
    <row r="67" spans="1:20" x14ac:dyDescent="0.25">
      <c r="A67" s="194" t="str">
        <f t="shared" si="0"/>
        <v>RECF  120*80*5</v>
      </c>
      <c r="B67" s="195">
        <f t="shared" si="1"/>
        <v>14.409612674800991</v>
      </c>
      <c r="C67" s="148">
        <v>120</v>
      </c>
      <c r="D67" s="148">
        <v>80</v>
      </c>
      <c r="E67" s="148">
        <v>5</v>
      </c>
      <c r="F67" s="148">
        <f t="shared" si="2"/>
        <v>5</v>
      </c>
      <c r="G67" s="148">
        <f t="shared" si="3"/>
        <v>10</v>
      </c>
      <c r="H67" s="195">
        <f t="shared" si="4"/>
        <v>18.356194490192344</v>
      </c>
      <c r="I67" s="148">
        <v>352</v>
      </c>
      <c r="J67" s="195">
        <f t="shared" si="5"/>
        <v>58.666666666666664</v>
      </c>
      <c r="K67" s="148">
        <v>72.400000000000006</v>
      </c>
      <c r="L67" s="195">
        <f t="shared" si="6"/>
        <v>4.3790510332225079</v>
      </c>
      <c r="M67" s="196">
        <f t="shared" si="7"/>
        <v>10</v>
      </c>
      <c r="N67" s="148">
        <v>187</v>
      </c>
      <c r="O67" s="195">
        <f t="shared" si="8"/>
        <v>46.75</v>
      </c>
      <c r="P67" s="148">
        <v>54.6</v>
      </c>
      <c r="Q67" s="195">
        <f t="shared" si="9"/>
        <v>3.1917544899741315</v>
      </c>
      <c r="R67" s="148">
        <f t="shared" si="10"/>
        <v>6</v>
      </c>
      <c r="S67" s="196"/>
      <c r="T67" s="148"/>
    </row>
    <row r="68" spans="1:20" x14ac:dyDescent="0.25">
      <c r="A68" s="194" t="str">
        <f t="shared" si="0"/>
        <v>RECF  120*80*6</v>
      </c>
      <c r="B68" s="195">
        <f t="shared" si="1"/>
        <v>16.981842251713431</v>
      </c>
      <c r="C68" s="148">
        <v>120</v>
      </c>
      <c r="D68" s="148">
        <v>80</v>
      </c>
      <c r="E68" s="148">
        <v>6</v>
      </c>
      <c r="F68" s="148">
        <f t="shared" si="2"/>
        <v>6</v>
      </c>
      <c r="G68" s="148">
        <f t="shared" si="3"/>
        <v>12</v>
      </c>
      <c r="H68" s="195">
        <f t="shared" si="4"/>
        <v>21.632920065876981</v>
      </c>
      <c r="I68" s="148">
        <v>404</v>
      </c>
      <c r="J68" s="195">
        <f t="shared" si="5"/>
        <v>67.333333333333329</v>
      </c>
      <c r="K68" s="148">
        <v>84.1</v>
      </c>
      <c r="L68" s="195">
        <f t="shared" si="6"/>
        <v>4.3214859939392616</v>
      </c>
      <c r="M68" s="196">
        <f t="shared" si="7"/>
        <v>11.52</v>
      </c>
      <c r="N68" s="148">
        <v>214</v>
      </c>
      <c r="O68" s="195">
        <f t="shared" si="8"/>
        <v>53.5</v>
      </c>
      <c r="P68" s="148">
        <v>63.4</v>
      </c>
      <c r="Q68" s="195">
        <f t="shared" si="9"/>
        <v>3.1452075817719423</v>
      </c>
      <c r="R68" s="148">
        <f t="shared" si="10"/>
        <v>6.72</v>
      </c>
      <c r="S68" s="196"/>
      <c r="T68" s="148"/>
    </row>
    <row r="69" spans="1:20" x14ac:dyDescent="0.25">
      <c r="A69" s="194" t="str">
        <f t="shared" ref="A69:A132" si="11">$B$3&amp;"  "&amp;C69&amp;"*"&amp;D69&amp;"*"&amp;E69</f>
        <v>RECF  120*80*6.3</v>
      </c>
      <c r="B69" s="195">
        <f t="shared" ref="B69:B132" si="12">H69*0.785</f>
        <v>17.465930110018739</v>
      </c>
      <c r="C69" s="148">
        <v>120</v>
      </c>
      <c r="D69" s="148">
        <v>80</v>
      </c>
      <c r="E69" s="148">
        <v>6.3</v>
      </c>
      <c r="F69" s="148">
        <f t="shared" ref="F69:F132" si="13">IF(E69&lt;=6,1*E69,IF(E69&lt;=10,1.5*E69,2*E69))</f>
        <v>9.4499999999999993</v>
      </c>
      <c r="G69" s="148">
        <f t="shared" ref="G69:G132" si="14">IF(E69&lt;=6,2*E69,IF(E69&lt;=10,2.5*E69,3*E69))</f>
        <v>15.75</v>
      </c>
      <c r="H69" s="195">
        <f t="shared" ref="H69:H132" si="15">(2*(C69-2*G69)*E69+2*(D69-2*G69)*E69+PI()*(G69^2-F69^2))*0.01</f>
        <v>22.249592496839156</v>
      </c>
      <c r="I69" s="148">
        <v>405</v>
      </c>
      <c r="J69" s="195">
        <f t="shared" ref="J69:J132" si="16">I69/(0.5*C69*0.1)</f>
        <v>67.5</v>
      </c>
      <c r="K69" s="148">
        <v>85.3</v>
      </c>
      <c r="L69" s="195">
        <f t="shared" ref="L69:L132" si="17">SQRT(I69/H69)</f>
        <v>4.2664482379025603</v>
      </c>
      <c r="M69" s="196">
        <f t="shared" ref="M69:M132" si="18">2*(C69-2*G69)*E69*0.01</f>
        <v>11.151</v>
      </c>
      <c r="N69" s="148">
        <v>215</v>
      </c>
      <c r="O69" s="195">
        <f t="shared" ref="O69:O132" si="19">N69/(0.5*D69*0.1)</f>
        <v>53.75</v>
      </c>
      <c r="P69" s="148">
        <v>64.400000000000006</v>
      </c>
      <c r="Q69" s="195">
        <f t="shared" ref="Q69:Q132" si="20">SQRT(N69/H69)</f>
        <v>3.1085524485736262</v>
      </c>
      <c r="R69" s="148">
        <f t="shared" ref="R69:R132" si="21">2*(D69-2*G69)*E69*0.01</f>
        <v>6.1110000000000007</v>
      </c>
      <c r="S69" s="196"/>
      <c r="T69" s="148"/>
    </row>
    <row r="70" spans="1:20" x14ac:dyDescent="0.25">
      <c r="A70" s="194" t="str">
        <f t="shared" si="11"/>
        <v>RECF  120*80*8</v>
      </c>
      <c r="B70" s="195">
        <f t="shared" si="12"/>
        <v>21.385344596654051</v>
      </c>
      <c r="C70" s="148">
        <v>120</v>
      </c>
      <c r="D70" s="148">
        <v>80</v>
      </c>
      <c r="E70" s="148">
        <v>8</v>
      </c>
      <c r="F70" s="148">
        <f t="shared" si="13"/>
        <v>12</v>
      </c>
      <c r="G70" s="148">
        <f t="shared" si="14"/>
        <v>20</v>
      </c>
      <c r="H70" s="195">
        <f t="shared" si="15"/>
        <v>27.24247719318987</v>
      </c>
      <c r="I70" s="148">
        <v>469</v>
      </c>
      <c r="J70" s="195">
        <f t="shared" si="16"/>
        <v>78.166666666666671</v>
      </c>
      <c r="K70" s="148">
        <v>101</v>
      </c>
      <c r="L70" s="195">
        <f t="shared" si="17"/>
        <v>4.1491880972158093</v>
      </c>
      <c r="M70" s="196">
        <f t="shared" si="18"/>
        <v>12.8</v>
      </c>
      <c r="N70" s="148">
        <v>247</v>
      </c>
      <c r="O70" s="195">
        <f t="shared" si="19"/>
        <v>61.75</v>
      </c>
      <c r="P70" s="148">
        <v>76.3</v>
      </c>
      <c r="Q70" s="195">
        <f t="shared" si="20"/>
        <v>3.0110999983823552</v>
      </c>
      <c r="R70" s="148">
        <f t="shared" si="21"/>
        <v>6.4</v>
      </c>
      <c r="S70" s="196"/>
      <c r="T70" s="148"/>
    </row>
    <row r="71" spans="1:20" x14ac:dyDescent="0.25">
      <c r="A71" s="197" t="str">
        <f t="shared" si="11"/>
        <v>RECF  140*80*4</v>
      </c>
      <c r="B71" s="198">
        <f t="shared" si="12"/>
        <v>12.990152111872636</v>
      </c>
      <c r="C71" s="199">
        <v>140</v>
      </c>
      <c r="D71" s="199">
        <v>80</v>
      </c>
      <c r="E71" s="199">
        <v>4</v>
      </c>
      <c r="F71" s="199">
        <f t="shared" si="13"/>
        <v>4</v>
      </c>
      <c r="G71" s="199">
        <f t="shared" si="14"/>
        <v>8</v>
      </c>
      <c r="H71" s="198">
        <f t="shared" si="15"/>
        <v>16.547964473723102</v>
      </c>
      <c r="I71" s="199">
        <v>429</v>
      </c>
      <c r="J71" s="198">
        <f t="shared" si="16"/>
        <v>61.285714285714285</v>
      </c>
      <c r="K71" s="199">
        <v>75.5</v>
      </c>
      <c r="L71" s="198">
        <f t="shared" si="17"/>
        <v>5.091624366330529</v>
      </c>
      <c r="M71" s="200">
        <f t="shared" si="18"/>
        <v>9.92</v>
      </c>
      <c r="N71" s="199">
        <v>180</v>
      </c>
      <c r="O71" s="198">
        <f t="shared" si="19"/>
        <v>45</v>
      </c>
      <c r="P71" s="199">
        <v>51.3</v>
      </c>
      <c r="Q71" s="198">
        <f t="shared" si="20"/>
        <v>3.2981010867016218</v>
      </c>
      <c r="R71" s="199">
        <f t="shared" si="21"/>
        <v>5.12</v>
      </c>
      <c r="S71" s="200"/>
      <c r="T71" s="201"/>
    </row>
    <row r="72" spans="1:20" x14ac:dyDescent="0.25">
      <c r="A72" s="202" t="str">
        <f t="shared" si="11"/>
        <v>RECF  140*80*5</v>
      </c>
      <c r="B72" s="203">
        <f t="shared" si="12"/>
        <v>15.979612674800991</v>
      </c>
      <c r="C72" s="204">
        <v>140</v>
      </c>
      <c r="D72" s="204">
        <v>80</v>
      </c>
      <c r="E72" s="204">
        <v>5</v>
      </c>
      <c r="F72" s="204">
        <f t="shared" si="13"/>
        <v>5</v>
      </c>
      <c r="G72" s="204">
        <f t="shared" si="14"/>
        <v>10</v>
      </c>
      <c r="H72" s="203">
        <f t="shared" si="15"/>
        <v>20.356194490192344</v>
      </c>
      <c r="I72" s="204">
        <v>416</v>
      </c>
      <c r="J72" s="203">
        <f t="shared" si="16"/>
        <v>59.428571428571431</v>
      </c>
      <c r="K72" s="204">
        <v>91.7</v>
      </c>
      <c r="L72" s="203">
        <f t="shared" si="17"/>
        <v>4.520623824404681</v>
      </c>
      <c r="M72" s="205">
        <f t="shared" si="18"/>
        <v>12</v>
      </c>
      <c r="N72" s="204">
        <v>215</v>
      </c>
      <c r="O72" s="203">
        <f t="shared" si="19"/>
        <v>53.75</v>
      </c>
      <c r="P72" s="204">
        <v>62.1</v>
      </c>
      <c r="Q72" s="203">
        <f t="shared" si="20"/>
        <v>3.2499070063550946</v>
      </c>
      <c r="R72" s="204">
        <f t="shared" si="21"/>
        <v>6</v>
      </c>
      <c r="S72" s="205"/>
      <c r="T72" s="206"/>
    </row>
    <row r="73" spans="1:20" x14ac:dyDescent="0.25">
      <c r="A73" s="202" t="str">
        <f t="shared" si="11"/>
        <v>RECF  140*80*6</v>
      </c>
      <c r="B73" s="203">
        <f t="shared" si="12"/>
        <v>18.865842251713431</v>
      </c>
      <c r="C73" s="204">
        <v>140</v>
      </c>
      <c r="D73" s="204">
        <v>80</v>
      </c>
      <c r="E73" s="204">
        <v>6</v>
      </c>
      <c r="F73" s="204">
        <f t="shared" si="13"/>
        <v>6</v>
      </c>
      <c r="G73" s="204">
        <f t="shared" si="14"/>
        <v>12</v>
      </c>
      <c r="H73" s="203">
        <f t="shared" si="15"/>
        <v>24.032920065876979</v>
      </c>
      <c r="I73" s="204">
        <v>495</v>
      </c>
      <c r="J73" s="203">
        <f t="shared" si="16"/>
        <v>70.714285714285708</v>
      </c>
      <c r="K73" s="204">
        <v>107</v>
      </c>
      <c r="L73" s="203">
        <f t="shared" si="17"/>
        <v>4.5383640302089274</v>
      </c>
      <c r="M73" s="205">
        <f t="shared" si="18"/>
        <v>13.92</v>
      </c>
      <c r="N73" s="204">
        <v>247</v>
      </c>
      <c r="O73" s="203">
        <f t="shared" si="19"/>
        <v>61.75</v>
      </c>
      <c r="P73" s="204">
        <v>72.3</v>
      </c>
      <c r="Q73" s="203">
        <f t="shared" si="20"/>
        <v>3.2058648192517576</v>
      </c>
      <c r="R73" s="204">
        <f t="shared" si="21"/>
        <v>6.72</v>
      </c>
      <c r="S73" s="205"/>
      <c r="T73" s="206"/>
    </row>
    <row r="74" spans="1:20" x14ac:dyDescent="0.25">
      <c r="A74" s="202" t="str">
        <f t="shared" si="11"/>
        <v>RECF  140*80*6.3</v>
      </c>
      <c r="B74" s="203">
        <f t="shared" si="12"/>
        <v>19.444130110018737</v>
      </c>
      <c r="C74" s="204">
        <v>140</v>
      </c>
      <c r="D74" s="204">
        <v>80</v>
      </c>
      <c r="E74" s="204">
        <v>6.3</v>
      </c>
      <c r="F74" s="204">
        <f t="shared" si="13"/>
        <v>9.4499999999999993</v>
      </c>
      <c r="G74" s="204">
        <f t="shared" si="14"/>
        <v>15.75</v>
      </c>
      <c r="H74" s="203">
        <f t="shared" si="15"/>
        <v>24.769592496839156</v>
      </c>
      <c r="I74" s="204">
        <v>599</v>
      </c>
      <c r="J74" s="203">
        <f t="shared" si="16"/>
        <v>85.571428571428569</v>
      </c>
      <c r="K74" s="204">
        <v>109</v>
      </c>
      <c r="L74" s="203">
        <f t="shared" si="17"/>
        <v>4.9176088344965798</v>
      </c>
      <c r="M74" s="205">
        <f t="shared" si="18"/>
        <v>13.670999999999999</v>
      </c>
      <c r="N74" s="204">
        <v>249</v>
      </c>
      <c r="O74" s="203">
        <f t="shared" si="19"/>
        <v>62.25</v>
      </c>
      <c r="P74" s="204">
        <v>73.7</v>
      </c>
      <c r="Q74" s="203">
        <f t="shared" si="20"/>
        <v>3.1705911472609416</v>
      </c>
      <c r="R74" s="204">
        <f t="shared" si="21"/>
        <v>6.1110000000000007</v>
      </c>
      <c r="S74" s="205"/>
      <c r="T74" s="206"/>
    </row>
    <row r="75" spans="1:20" x14ac:dyDescent="0.25">
      <c r="A75" s="207" t="str">
        <f t="shared" si="11"/>
        <v>RECF  140*80*8</v>
      </c>
      <c r="B75" s="208">
        <f t="shared" si="12"/>
        <v>23.897344596654047</v>
      </c>
      <c r="C75" s="209">
        <v>140</v>
      </c>
      <c r="D75" s="209">
        <v>80</v>
      </c>
      <c r="E75" s="209">
        <v>8</v>
      </c>
      <c r="F75" s="209">
        <f t="shared" si="13"/>
        <v>12</v>
      </c>
      <c r="G75" s="209">
        <f t="shared" si="14"/>
        <v>20</v>
      </c>
      <c r="H75" s="208">
        <f t="shared" si="15"/>
        <v>30.44247719318987</v>
      </c>
      <c r="I75" s="209">
        <v>700</v>
      </c>
      <c r="J75" s="208">
        <f t="shared" si="16"/>
        <v>100</v>
      </c>
      <c r="K75" s="209">
        <v>130</v>
      </c>
      <c r="L75" s="208">
        <f t="shared" si="17"/>
        <v>4.7952253922355288</v>
      </c>
      <c r="M75" s="210">
        <f t="shared" si="18"/>
        <v>16</v>
      </c>
      <c r="N75" s="209">
        <v>289</v>
      </c>
      <c r="O75" s="208">
        <f t="shared" si="19"/>
        <v>72.25</v>
      </c>
      <c r="P75" s="209">
        <v>87.8</v>
      </c>
      <c r="Q75" s="208">
        <f t="shared" si="20"/>
        <v>3.0811222251725034</v>
      </c>
      <c r="R75" s="209">
        <f t="shared" si="21"/>
        <v>6.4</v>
      </c>
      <c r="S75" s="210"/>
      <c r="T75" s="211"/>
    </row>
    <row r="76" spans="1:20" x14ac:dyDescent="0.25">
      <c r="A76" s="194" t="str">
        <f t="shared" si="11"/>
        <v>RECF  150*100*4</v>
      </c>
      <c r="B76" s="195">
        <f t="shared" si="12"/>
        <v>14.874152111872634</v>
      </c>
      <c r="C76" s="148">
        <v>150</v>
      </c>
      <c r="D76" s="148">
        <v>100</v>
      </c>
      <c r="E76" s="148">
        <v>4</v>
      </c>
      <c r="F76" s="148">
        <f t="shared" si="13"/>
        <v>4</v>
      </c>
      <c r="G76" s="148">
        <f t="shared" si="14"/>
        <v>8</v>
      </c>
      <c r="H76" s="195">
        <f t="shared" si="15"/>
        <v>18.947964473723101</v>
      </c>
      <c r="I76" s="148">
        <v>594</v>
      </c>
      <c r="J76" s="195">
        <f t="shared" si="16"/>
        <v>79.2</v>
      </c>
      <c r="K76" s="148">
        <v>95.6</v>
      </c>
      <c r="L76" s="195">
        <f t="shared" si="17"/>
        <v>5.5990190044515371</v>
      </c>
      <c r="M76" s="196">
        <f t="shared" si="18"/>
        <v>10.72</v>
      </c>
      <c r="N76" s="148">
        <v>318</v>
      </c>
      <c r="O76" s="195">
        <f t="shared" si="19"/>
        <v>63.6</v>
      </c>
      <c r="P76" s="148">
        <v>72.400000000000006</v>
      </c>
      <c r="Q76" s="195">
        <f t="shared" si="20"/>
        <v>4.0966822398391063</v>
      </c>
      <c r="R76" s="148">
        <f t="shared" si="21"/>
        <v>6.72</v>
      </c>
      <c r="S76" s="196"/>
      <c r="T76" s="148"/>
    </row>
    <row r="77" spans="1:20" x14ac:dyDescent="0.25">
      <c r="A77" s="194" t="str">
        <f t="shared" si="11"/>
        <v>RECF  150*100*5</v>
      </c>
      <c r="B77" s="195">
        <f t="shared" si="12"/>
        <v>18.334612674800994</v>
      </c>
      <c r="C77" s="148">
        <v>150</v>
      </c>
      <c r="D77" s="148">
        <v>100</v>
      </c>
      <c r="E77" s="148">
        <v>5</v>
      </c>
      <c r="F77" s="148">
        <f t="shared" si="13"/>
        <v>5</v>
      </c>
      <c r="G77" s="148">
        <f t="shared" si="14"/>
        <v>10</v>
      </c>
      <c r="H77" s="195">
        <f t="shared" si="15"/>
        <v>23.356194490192348</v>
      </c>
      <c r="I77" s="148">
        <v>718</v>
      </c>
      <c r="J77" s="195">
        <f t="shared" si="16"/>
        <v>95.733333333333334</v>
      </c>
      <c r="K77" s="148">
        <v>117</v>
      </c>
      <c r="L77" s="195">
        <f t="shared" si="17"/>
        <v>5.5444845880708664</v>
      </c>
      <c r="M77" s="196">
        <f t="shared" si="18"/>
        <v>13</v>
      </c>
      <c r="N77" s="148">
        <v>383</v>
      </c>
      <c r="O77" s="195">
        <f t="shared" si="19"/>
        <v>76.599999999999994</v>
      </c>
      <c r="P77" s="148">
        <v>88.2</v>
      </c>
      <c r="Q77" s="195">
        <f t="shared" si="20"/>
        <v>4.0494714879262954</v>
      </c>
      <c r="R77" s="148">
        <f t="shared" si="21"/>
        <v>8</v>
      </c>
      <c r="S77" s="196"/>
      <c r="T77" s="148"/>
    </row>
    <row r="78" spans="1:20" x14ac:dyDescent="0.25">
      <c r="A78" s="194" t="str">
        <f t="shared" si="11"/>
        <v>RECF  150*100*6</v>
      </c>
      <c r="B78" s="195">
        <f t="shared" si="12"/>
        <v>21.691842251713432</v>
      </c>
      <c r="C78" s="148">
        <v>150</v>
      </c>
      <c r="D78" s="148">
        <v>100</v>
      </c>
      <c r="E78" s="148">
        <v>6</v>
      </c>
      <c r="F78" s="148">
        <f t="shared" si="13"/>
        <v>6</v>
      </c>
      <c r="G78" s="148">
        <f t="shared" si="14"/>
        <v>12</v>
      </c>
      <c r="H78" s="195">
        <f t="shared" si="15"/>
        <v>27.632920065876981</v>
      </c>
      <c r="I78" s="148">
        <v>832</v>
      </c>
      <c r="J78" s="195">
        <f t="shared" si="16"/>
        <v>110.93333333333334</v>
      </c>
      <c r="K78" s="148">
        <v>137</v>
      </c>
      <c r="L78" s="195">
        <f t="shared" si="17"/>
        <v>5.4871681975167963</v>
      </c>
      <c r="M78" s="196">
        <f t="shared" si="18"/>
        <v>15.120000000000001</v>
      </c>
      <c r="N78" s="148">
        <v>443</v>
      </c>
      <c r="O78" s="195">
        <f t="shared" si="19"/>
        <v>88.6</v>
      </c>
      <c r="P78" s="148">
        <v>103</v>
      </c>
      <c r="Q78" s="195">
        <f t="shared" si="20"/>
        <v>4.0039484071394895</v>
      </c>
      <c r="R78" s="148">
        <f t="shared" si="21"/>
        <v>9.120000000000001</v>
      </c>
      <c r="S78" s="196"/>
      <c r="T78" s="148"/>
    </row>
    <row r="79" spans="1:20" x14ac:dyDescent="0.25">
      <c r="A79" s="194" t="str">
        <f t="shared" si="11"/>
        <v>RECF  150*100*6.3</v>
      </c>
      <c r="B79" s="195">
        <f t="shared" si="12"/>
        <v>22.411430110018735</v>
      </c>
      <c r="C79" s="148">
        <v>150</v>
      </c>
      <c r="D79" s="148">
        <v>100</v>
      </c>
      <c r="E79" s="148">
        <v>6.3</v>
      </c>
      <c r="F79" s="148">
        <f t="shared" si="13"/>
        <v>9.4499999999999993</v>
      </c>
      <c r="G79" s="148">
        <f t="shared" si="14"/>
        <v>15.75</v>
      </c>
      <c r="H79" s="195">
        <f t="shared" si="15"/>
        <v>28.549592496839153</v>
      </c>
      <c r="I79" s="148">
        <v>844</v>
      </c>
      <c r="J79" s="195">
        <f t="shared" si="16"/>
        <v>112.53333333333333</v>
      </c>
      <c r="K79" s="148">
        <v>140</v>
      </c>
      <c r="L79" s="195">
        <f t="shared" si="17"/>
        <v>5.4371493988072661</v>
      </c>
      <c r="M79" s="196">
        <f t="shared" si="18"/>
        <v>14.930999999999999</v>
      </c>
      <c r="N79" s="148">
        <v>450</v>
      </c>
      <c r="O79" s="195">
        <f t="shared" si="19"/>
        <v>90</v>
      </c>
      <c r="P79" s="148">
        <v>106</v>
      </c>
      <c r="Q79" s="195">
        <f t="shared" si="20"/>
        <v>3.9701443730281052</v>
      </c>
      <c r="R79" s="148">
        <f t="shared" si="21"/>
        <v>8.6310000000000002</v>
      </c>
      <c r="S79" s="196"/>
      <c r="T79" s="148"/>
    </row>
    <row r="80" spans="1:20" x14ac:dyDescent="0.25">
      <c r="A80" s="194" t="str">
        <f t="shared" si="11"/>
        <v>RECF  150*100*8</v>
      </c>
      <c r="B80" s="195">
        <f t="shared" si="12"/>
        <v>27.665344596654048</v>
      </c>
      <c r="C80" s="148">
        <v>150</v>
      </c>
      <c r="D80" s="148">
        <v>100</v>
      </c>
      <c r="E80" s="148">
        <v>8</v>
      </c>
      <c r="F80" s="148">
        <f t="shared" si="13"/>
        <v>12</v>
      </c>
      <c r="G80" s="148">
        <f t="shared" si="14"/>
        <v>20</v>
      </c>
      <c r="H80" s="195">
        <f t="shared" si="15"/>
        <v>35.24247719318987</v>
      </c>
      <c r="I80" s="148">
        <v>999</v>
      </c>
      <c r="J80" s="195">
        <f t="shared" si="16"/>
        <v>133.19999999999999</v>
      </c>
      <c r="K80" s="148">
        <v>169</v>
      </c>
      <c r="L80" s="195">
        <f t="shared" si="17"/>
        <v>5.3241407792275828</v>
      </c>
      <c r="M80" s="196">
        <f t="shared" si="18"/>
        <v>17.600000000000001</v>
      </c>
      <c r="N80" s="148">
        <v>530</v>
      </c>
      <c r="O80" s="195">
        <f t="shared" si="19"/>
        <v>106</v>
      </c>
      <c r="P80" s="148">
        <v>127</v>
      </c>
      <c r="Q80" s="195">
        <f t="shared" si="20"/>
        <v>3.877972465099274</v>
      </c>
      <c r="R80" s="148">
        <f t="shared" si="21"/>
        <v>9.6</v>
      </c>
      <c r="S80" s="196"/>
      <c r="T80" s="148"/>
    </row>
    <row r="81" spans="1:20" x14ac:dyDescent="0.25">
      <c r="A81" s="194" t="str">
        <f t="shared" si="11"/>
        <v>RECF  150*100*10</v>
      </c>
      <c r="B81" s="195">
        <f t="shared" si="12"/>
        <v>33.414600932271959</v>
      </c>
      <c r="C81" s="148">
        <v>150</v>
      </c>
      <c r="D81" s="148">
        <v>100</v>
      </c>
      <c r="E81" s="148">
        <v>10</v>
      </c>
      <c r="F81" s="148">
        <f t="shared" si="13"/>
        <v>15</v>
      </c>
      <c r="G81" s="148">
        <f t="shared" si="14"/>
        <v>25</v>
      </c>
      <c r="H81" s="195">
        <f t="shared" si="15"/>
        <v>42.56637061435918</v>
      </c>
      <c r="I81" s="148">
        <v>1145</v>
      </c>
      <c r="J81" s="195">
        <f t="shared" si="16"/>
        <v>152.66666666666666</v>
      </c>
      <c r="K81" s="148">
        <v>198</v>
      </c>
      <c r="L81" s="195">
        <f t="shared" si="17"/>
        <v>5.1864408869164444</v>
      </c>
      <c r="M81" s="196">
        <f t="shared" si="18"/>
        <v>20</v>
      </c>
      <c r="N81" s="148">
        <v>603</v>
      </c>
      <c r="O81" s="195">
        <f t="shared" si="19"/>
        <v>120.6</v>
      </c>
      <c r="P81" s="148">
        <v>149</v>
      </c>
      <c r="Q81" s="195">
        <f t="shared" si="20"/>
        <v>3.7637896621927953</v>
      </c>
      <c r="R81" s="148">
        <f t="shared" si="21"/>
        <v>10</v>
      </c>
      <c r="S81" s="196"/>
      <c r="T81" s="148"/>
    </row>
    <row r="82" spans="1:20" x14ac:dyDescent="0.25">
      <c r="A82" s="194" t="str">
        <f t="shared" si="11"/>
        <v>RECF  150*100*12</v>
      </c>
      <c r="B82" s="195">
        <f t="shared" si="12"/>
        <v>37.726681678089513</v>
      </c>
      <c r="C82" s="148">
        <v>150</v>
      </c>
      <c r="D82" s="148">
        <v>100</v>
      </c>
      <c r="E82" s="148">
        <v>12</v>
      </c>
      <c r="F82" s="148">
        <f t="shared" si="13"/>
        <v>24</v>
      </c>
      <c r="G82" s="148">
        <f t="shared" si="14"/>
        <v>36</v>
      </c>
      <c r="H82" s="195">
        <f t="shared" si="15"/>
        <v>48.059467105846508</v>
      </c>
      <c r="I82" s="148">
        <v>1166</v>
      </c>
      <c r="J82" s="195">
        <f t="shared" si="16"/>
        <v>155.46666666666667</v>
      </c>
      <c r="K82" s="148">
        <v>212</v>
      </c>
      <c r="L82" s="195">
        <f t="shared" si="17"/>
        <v>4.9256074759219262</v>
      </c>
      <c r="M82" s="196">
        <f t="shared" si="18"/>
        <v>18.72</v>
      </c>
      <c r="N82" s="148">
        <v>616</v>
      </c>
      <c r="O82" s="195">
        <f t="shared" si="19"/>
        <v>123.2</v>
      </c>
      <c r="P82" s="148">
        <v>160</v>
      </c>
      <c r="Q82" s="195">
        <f t="shared" si="20"/>
        <v>3.580147177832754</v>
      </c>
      <c r="R82" s="148">
        <f t="shared" si="21"/>
        <v>6.72</v>
      </c>
      <c r="S82" s="196"/>
      <c r="T82" s="148"/>
    </row>
    <row r="83" spans="1:20" x14ac:dyDescent="0.25">
      <c r="A83" s="194" t="str">
        <f t="shared" si="11"/>
        <v>RECF  150*100*12.5</v>
      </c>
      <c r="B83" s="195">
        <f t="shared" si="12"/>
        <v>38.891798695843654</v>
      </c>
      <c r="C83" s="148">
        <v>150</v>
      </c>
      <c r="D83" s="148">
        <v>100</v>
      </c>
      <c r="E83" s="148">
        <v>12.5</v>
      </c>
      <c r="F83" s="148">
        <f t="shared" si="13"/>
        <v>25</v>
      </c>
      <c r="G83" s="148">
        <f t="shared" si="14"/>
        <v>37.5</v>
      </c>
      <c r="H83" s="195">
        <f t="shared" si="15"/>
        <v>49.543692606170261</v>
      </c>
      <c r="I83" s="148">
        <v>1179</v>
      </c>
      <c r="J83" s="195">
        <f t="shared" si="16"/>
        <v>157.19999999999999</v>
      </c>
      <c r="K83" s="148">
        <v>216</v>
      </c>
      <c r="L83" s="195">
        <f t="shared" si="17"/>
        <v>4.8782349832968661</v>
      </c>
      <c r="M83" s="196">
        <f t="shared" si="18"/>
        <v>18.75</v>
      </c>
      <c r="N83" s="148">
        <v>622</v>
      </c>
      <c r="O83" s="195">
        <f t="shared" si="19"/>
        <v>124.4</v>
      </c>
      <c r="P83" s="148">
        <v>163</v>
      </c>
      <c r="Q83" s="195">
        <f t="shared" si="20"/>
        <v>3.5432435574103933</v>
      </c>
      <c r="R83" s="148">
        <f t="shared" si="21"/>
        <v>6.25</v>
      </c>
      <c r="S83" s="196"/>
      <c r="T83" s="148"/>
    </row>
    <row r="84" spans="1:20" x14ac:dyDescent="0.25">
      <c r="A84" s="197" t="str">
        <f t="shared" si="11"/>
        <v>RECF  160*80*4</v>
      </c>
      <c r="B84" s="198">
        <f t="shared" si="12"/>
        <v>14.246152111872634</v>
      </c>
      <c r="C84" s="199">
        <v>160</v>
      </c>
      <c r="D84" s="199">
        <v>80</v>
      </c>
      <c r="E84" s="199">
        <v>4</v>
      </c>
      <c r="F84" s="199">
        <f t="shared" si="13"/>
        <v>4</v>
      </c>
      <c r="G84" s="199">
        <f t="shared" si="14"/>
        <v>8</v>
      </c>
      <c r="H84" s="198">
        <f t="shared" si="15"/>
        <v>18.1479644737231</v>
      </c>
      <c r="I84" s="199">
        <v>597</v>
      </c>
      <c r="J84" s="198">
        <f t="shared" si="16"/>
        <v>74.625</v>
      </c>
      <c r="K84" s="199">
        <v>92.8</v>
      </c>
      <c r="L84" s="198">
        <f t="shared" si="17"/>
        <v>5.7355253730500069</v>
      </c>
      <c r="M84" s="200">
        <f t="shared" si="18"/>
        <v>11.52</v>
      </c>
      <c r="N84" s="199">
        <v>203</v>
      </c>
      <c r="O84" s="198">
        <f t="shared" si="19"/>
        <v>50.75</v>
      </c>
      <c r="P84" s="199">
        <v>57.3</v>
      </c>
      <c r="Q84" s="198">
        <f t="shared" si="20"/>
        <v>3.3445220130290898</v>
      </c>
      <c r="R84" s="199">
        <f t="shared" si="21"/>
        <v>5.12</v>
      </c>
      <c r="S84" s="200"/>
      <c r="T84" s="201"/>
    </row>
    <row r="85" spans="1:20" x14ac:dyDescent="0.25">
      <c r="A85" s="202" t="str">
        <f t="shared" si="11"/>
        <v>RECF  160*80*5</v>
      </c>
      <c r="B85" s="203">
        <f t="shared" si="12"/>
        <v>17.549612674800994</v>
      </c>
      <c r="C85" s="204">
        <v>160</v>
      </c>
      <c r="D85" s="204">
        <v>80</v>
      </c>
      <c r="E85" s="204">
        <v>5</v>
      </c>
      <c r="F85" s="204">
        <f t="shared" si="13"/>
        <v>5</v>
      </c>
      <c r="G85" s="204">
        <f t="shared" si="14"/>
        <v>10</v>
      </c>
      <c r="H85" s="203">
        <f t="shared" si="15"/>
        <v>22.356194490192348</v>
      </c>
      <c r="I85" s="204">
        <v>720</v>
      </c>
      <c r="J85" s="203">
        <f t="shared" si="16"/>
        <v>90</v>
      </c>
      <c r="K85" s="204">
        <v>113</v>
      </c>
      <c r="L85" s="203">
        <f t="shared" si="17"/>
        <v>5.675018853002773</v>
      </c>
      <c r="M85" s="205">
        <f t="shared" si="18"/>
        <v>14</v>
      </c>
      <c r="N85" s="204">
        <v>243</v>
      </c>
      <c r="O85" s="203">
        <f t="shared" si="19"/>
        <v>60.75</v>
      </c>
      <c r="P85" s="204">
        <v>69.599999999999994</v>
      </c>
      <c r="Q85" s="203">
        <f t="shared" si="20"/>
        <v>3.2968880260639288</v>
      </c>
      <c r="R85" s="204">
        <f t="shared" si="21"/>
        <v>6</v>
      </c>
      <c r="S85" s="205"/>
      <c r="T85" s="206"/>
    </row>
    <row r="86" spans="1:20" x14ac:dyDescent="0.25">
      <c r="A86" s="202" t="str">
        <f t="shared" si="11"/>
        <v>RECF  160*80*6</v>
      </c>
      <c r="B86" s="203">
        <f t="shared" si="12"/>
        <v>20.749842251713428</v>
      </c>
      <c r="C86" s="204">
        <v>160</v>
      </c>
      <c r="D86" s="204">
        <v>80</v>
      </c>
      <c r="E86" s="204">
        <v>6</v>
      </c>
      <c r="F86" s="204">
        <f t="shared" si="13"/>
        <v>6</v>
      </c>
      <c r="G86" s="204">
        <f t="shared" si="14"/>
        <v>12</v>
      </c>
      <c r="H86" s="203">
        <f t="shared" si="15"/>
        <v>26.432920065876978</v>
      </c>
      <c r="I86" s="204">
        <v>833</v>
      </c>
      <c r="J86" s="203">
        <f t="shared" si="16"/>
        <v>104.125</v>
      </c>
      <c r="K86" s="204">
        <v>132</v>
      </c>
      <c r="L86" s="203">
        <f t="shared" si="17"/>
        <v>5.6137094290329177</v>
      </c>
      <c r="M86" s="205">
        <f t="shared" si="18"/>
        <v>16.32</v>
      </c>
      <c r="N86" s="204">
        <v>280</v>
      </c>
      <c r="O86" s="203">
        <f t="shared" si="19"/>
        <v>70</v>
      </c>
      <c r="P86" s="204">
        <v>81.099999999999994</v>
      </c>
      <c r="Q86" s="203">
        <f t="shared" si="20"/>
        <v>3.2546661295223296</v>
      </c>
      <c r="R86" s="204">
        <f t="shared" si="21"/>
        <v>6.72</v>
      </c>
      <c r="S86" s="205"/>
      <c r="T86" s="206"/>
    </row>
    <row r="87" spans="1:20" x14ac:dyDescent="0.25">
      <c r="A87" s="202" t="str">
        <f t="shared" si="11"/>
        <v>RECF  160*80*6.3</v>
      </c>
      <c r="B87" s="203">
        <f t="shared" si="12"/>
        <v>21.422330110018738</v>
      </c>
      <c r="C87" s="204">
        <v>160</v>
      </c>
      <c r="D87" s="204">
        <v>80</v>
      </c>
      <c r="E87" s="204">
        <v>6.3</v>
      </c>
      <c r="F87" s="204">
        <f t="shared" si="13"/>
        <v>9.4499999999999993</v>
      </c>
      <c r="G87" s="204">
        <f t="shared" si="14"/>
        <v>15.75</v>
      </c>
      <c r="H87" s="203">
        <f t="shared" si="15"/>
        <v>27.289592496839155</v>
      </c>
      <c r="I87" s="204">
        <v>842</v>
      </c>
      <c r="J87" s="203">
        <f t="shared" si="16"/>
        <v>105.25</v>
      </c>
      <c r="K87" s="204">
        <v>135</v>
      </c>
      <c r="L87" s="203">
        <f t="shared" si="17"/>
        <v>5.5546605048168898</v>
      </c>
      <c r="M87" s="205">
        <f t="shared" si="18"/>
        <v>16.190999999999999</v>
      </c>
      <c r="N87" s="204">
        <v>283</v>
      </c>
      <c r="O87" s="203">
        <f t="shared" si="19"/>
        <v>70.75</v>
      </c>
      <c r="P87" s="204">
        <v>83</v>
      </c>
      <c r="Q87" s="203">
        <f t="shared" si="20"/>
        <v>3.2202878426227688</v>
      </c>
      <c r="R87" s="204">
        <f t="shared" si="21"/>
        <v>6.1110000000000007</v>
      </c>
      <c r="S87" s="205"/>
      <c r="T87" s="206"/>
    </row>
    <row r="88" spans="1:20" x14ac:dyDescent="0.25">
      <c r="A88" s="202" t="str">
        <f t="shared" si="11"/>
        <v>RECF  160*80*8</v>
      </c>
      <c r="B88" s="203">
        <f t="shared" si="12"/>
        <v>26.409344596654048</v>
      </c>
      <c r="C88" s="204">
        <v>160</v>
      </c>
      <c r="D88" s="204">
        <v>80</v>
      </c>
      <c r="E88" s="204">
        <v>8</v>
      </c>
      <c r="F88" s="204">
        <f t="shared" si="13"/>
        <v>12</v>
      </c>
      <c r="G88" s="204">
        <f t="shared" si="14"/>
        <v>20</v>
      </c>
      <c r="H88" s="203">
        <f t="shared" si="15"/>
        <v>33.642477193189869</v>
      </c>
      <c r="I88" s="204">
        <v>992</v>
      </c>
      <c r="J88" s="203">
        <f t="shared" si="16"/>
        <v>124</v>
      </c>
      <c r="K88" s="204">
        <v>162</v>
      </c>
      <c r="L88" s="203">
        <f t="shared" si="17"/>
        <v>5.4301503280375059</v>
      </c>
      <c r="M88" s="205">
        <f t="shared" si="18"/>
        <v>19.2</v>
      </c>
      <c r="N88" s="204">
        <v>330</v>
      </c>
      <c r="O88" s="203">
        <f t="shared" si="19"/>
        <v>82.5</v>
      </c>
      <c r="P88" s="204">
        <v>99.4</v>
      </c>
      <c r="Q88" s="203">
        <f t="shared" si="20"/>
        <v>3.1319367772823052</v>
      </c>
      <c r="R88" s="204">
        <f t="shared" si="21"/>
        <v>6.4</v>
      </c>
      <c r="S88" s="205"/>
      <c r="T88" s="206"/>
    </row>
    <row r="89" spans="1:20" x14ac:dyDescent="0.25">
      <c r="A89" s="202" t="str">
        <f t="shared" si="11"/>
        <v>RECF  160*80*10</v>
      </c>
      <c r="B89" s="203">
        <f t="shared" si="12"/>
        <v>31.844600932271959</v>
      </c>
      <c r="C89" s="204">
        <v>160</v>
      </c>
      <c r="D89" s="204">
        <v>80</v>
      </c>
      <c r="E89" s="204">
        <v>10</v>
      </c>
      <c r="F89" s="204">
        <f t="shared" si="13"/>
        <v>15</v>
      </c>
      <c r="G89" s="204">
        <f t="shared" si="14"/>
        <v>25</v>
      </c>
      <c r="H89" s="203">
        <f t="shared" si="15"/>
        <v>40.56637061435918</v>
      </c>
      <c r="I89" s="204">
        <v>1128</v>
      </c>
      <c r="J89" s="203">
        <f t="shared" si="16"/>
        <v>141</v>
      </c>
      <c r="K89" s="204">
        <v>190</v>
      </c>
      <c r="L89" s="203">
        <f t="shared" si="17"/>
        <v>5.273166359401988</v>
      </c>
      <c r="M89" s="205">
        <f t="shared" si="18"/>
        <v>22</v>
      </c>
      <c r="N89" s="204">
        <v>371</v>
      </c>
      <c r="O89" s="203">
        <f t="shared" si="19"/>
        <v>92.75</v>
      </c>
      <c r="P89" s="204">
        <v>115</v>
      </c>
      <c r="Q89" s="203">
        <f t="shared" si="20"/>
        <v>3.0241538235952214</v>
      </c>
      <c r="R89" s="204">
        <f t="shared" si="21"/>
        <v>6</v>
      </c>
      <c r="S89" s="205"/>
      <c r="T89" s="206"/>
    </row>
    <row r="90" spans="1:20" x14ac:dyDescent="0.25">
      <c r="A90" s="202" t="str">
        <f t="shared" si="11"/>
        <v>RECF  160*80*12</v>
      </c>
      <c r="B90" s="203">
        <f t="shared" si="12"/>
        <v>35.842681678089512</v>
      </c>
      <c r="C90" s="204">
        <v>160</v>
      </c>
      <c r="D90" s="204">
        <v>80</v>
      </c>
      <c r="E90" s="204">
        <v>12</v>
      </c>
      <c r="F90" s="204">
        <f t="shared" si="13"/>
        <v>24</v>
      </c>
      <c r="G90" s="204">
        <f t="shared" si="14"/>
        <v>36</v>
      </c>
      <c r="H90" s="203">
        <f t="shared" si="15"/>
        <v>45.65946710584651</v>
      </c>
      <c r="I90" s="204">
        <v>1127</v>
      </c>
      <c r="J90" s="203">
        <f t="shared" si="16"/>
        <v>140.875</v>
      </c>
      <c r="K90" s="204">
        <v>201</v>
      </c>
      <c r="L90" s="203">
        <f t="shared" si="17"/>
        <v>4.9681710379263215</v>
      </c>
      <c r="M90" s="205">
        <f t="shared" si="18"/>
        <v>21.12</v>
      </c>
      <c r="N90" s="204">
        <v>371</v>
      </c>
      <c r="O90" s="203">
        <f t="shared" si="19"/>
        <v>92.75</v>
      </c>
      <c r="P90" s="204">
        <v>122</v>
      </c>
      <c r="Q90" s="203">
        <f t="shared" si="20"/>
        <v>2.8505032175232401</v>
      </c>
      <c r="R90" s="204">
        <f t="shared" si="21"/>
        <v>1.92</v>
      </c>
      <c r="S90" s="205"/>
      <c r="T90" s="206"/>
    </row>
    <row r="91" spans="1:20" x14ac:dyDescent="0.25">
      <c r="A91" s="207" t="str">
        <f t="shared" si="11"/>
        <v>RECF  160*80*12.5</v>
      </c>
      <c r="B91" s="208">
        <f t="shared" si="12"/>
        <v>36.929298695843656</v>
      </c>
      <c r="C91" s="209">
        <v>160</v>
      </c>
      <c r="D91" s="209">
        <v>80</v>
      </c>
      <c r="E91" s="209">
        <v>12.5</v>
      </c>
      <c r="F91" s="209">
        <f t="shared" si="13"/>
        <v>25</v>
      </c>
      <c r="G91" s="209">
        <f t="shared" si="14"/>
        <v>37.5</v>
      </c>
      <c r="H91" s="208">
        <f t="shared" si="15"/>
        <v>47.043692606170261</v>
      </c>
      <c r="I91" s="209">
        <v>1135</v>
      </c>
      <c r="J91" s="208">
        <f t="shared" si="16"/>
        <v>141.875</v>
      </c>
      <c r="K91" s="209">
        <v>205</v>
      </c>
      <c r="L91" s="208">
        <f t="shared" si="17"/>
        <v>4.9118741277704459</v>
      </c>
      <c r="M91" s="210">
        <f t="shared" si="18"/>
        <v>21.25</v>
      </c>
      <c r="N91" s="209">
        <v>373</v>
      </c>
      <c r="O91" s="208">
        <f t="shared" si="19"/>
        <v>93.25</v>
      </c>
      <c r="P91" s="209">
        <v>124</v>
      </c>
      <c r="Q91" s="208">
        <f t="shared" si="20"/>
        <v>2.8158123807632474</v>
      </c>
      <c r="R91" s="209">
        <f t="shared" si="21"/>
        <v>1.25</v>
      </c>
      <c r="S91" s="210"/>
      <c r="T91" s="211"/>
    </row>
    <row r="92" spans="1:20" x14ac:dyDescent="0.25">
      <c r="A92" s="194" t="str">
        <f t="shared" si="11"/>
        <v>RECF  180*100*4</v>
      </c>
      <c r="B92" s="195">
        <f t="shared" si="12"/>
        <v>16.758152111872633</v>
      </c>
      <c r="C92" s="148">
        <v>180</v>
      </c>
      <c r="D92" s="148">
        <v>100</v>
      </c>
      <c r="E92" s="148">
        <v>4</v>
      </c>
      <c r="F92" s="148">
        <f t="shared" si="13"/>
        <v>4</v>
      </c>
      <c r="G92" s="148">
        <f t="shared" si="14"/>
        <v>8</v>
      </c>
      <c r="H92" s="195">
        <f t="shared" si="15"/>
        <v>21.347964473723099</v>
      </c>
      <c r="I92" s="148">
        <v>925</v>
      </c>
      <c r="J92" s="195">
        <f t="shared" si="16"/>
        <v>102.77777777777777</v>
      </c>
      <c r="K92" s="148">
        <v>126</v>
      </c>
      <c r="L92" s="195">
        <f t="shared" si="17"/>
        <v>6.5825267197895183</v>
      </c>
      <c r="M92" s="196">
        <f t="shared" si="18"/>
        <v>13.120000000000001</v>
      </c>
      <c r="N92" s="148">
        <v>373</v>
      </c>
      <c r="O92" s="195">
        <f t="shared" si="19"/>
        <v>74.599999999999994</v>
      </c>
      <c r="P92" s="148">
        <v>84</v>
      </c>
      <c r="Q92" s="195">
        <f t="shared" si="20"/>
        <v>4.179999022403238</v>
      </c>
      <c r="R92" s="148">
        <f t="shared" si="21"/>
        <v>6.72</v>
      </c>
      <c r="S92" s="196"/>
      <c r="T92" s="148"/>
    </row>
    <row r="93" spans="1:20" x14ac:dyDescent="0.25">
      <c r="A93" s="194" t="str">
        <f t="shared" si="11"/>
        <v>RECF  180*100*5</v>
      </c>
      <c r="B93" s="195">
        <f t="shared" si="12"/>
        <v>20.689612674800994</v>
      </c>
      <c r="C93" s="148">
        <v>180</v>
      </c>
      <c r="D93" s="148">
        <v>100</v>
      </c>
      <c r="E93" s="148">
        <v>5</v>
      </c>
      <c r="F93" s="148">
        <f t="shared" si="13"/>
        <v>5</v>
      </c>
      <c r="G93" s="148">
        <f t="shared" si="14"/>
        <v>10</v>
      </c>
      <c r="H93" s="195">
        <f t="shared" si="15"/>
        <v>26.356194490192348</v>
      </c>
      <c r="I93" s="148">
        <v>1123</v>
      </c>
      <c r="J93" s="195">
        <f t="shared" si="16"/>
        <v>124.77777777777777</v>
      </c>
      <c r="K93" s="148">
        <v>154</v>
      </c>
      <c r="L93" s="195">
        <f t="shared" si="17"/>
        <v>6.5275247365960638</v>
      </c>
      <c r="M93" s="196">
        <f t="shared" si="18"/>
        <v>16</v>
      </c>
      <c r="N93" s="148">
        <v>451</v>
      </c>
      <c r="O93" s="195">
        <f t="shared" si="19"/>
        <v>90.2</v>
      </c>
      <c r="P93" s="148">
        <v>102</v>
      </c>
      <c r="Q93" s="195">
        <f t="shared" si="20"/>
        <v>4.1366323035811545</v>
      </c>
      <c r="R93" s="148">
        <f t="shared" si="21"/>
        <v>8</v>
      </c>
      <c r="S93" s="196"/>
      <c r="T93" s="148"/>
    </row>
    <row r="94" spans="1:20" x14ac:dyDescent="0.25">
      <c r="A94" s="194" t="str">
        <f t="shared" si="11"/>
        <v>RECF  180*100*6</v>
      </c>
      <c r="B94" s="195">
        <f t="shared" si="12"/>
        <v>24.517842251713429</v>
      </c>
      <c r="C94" s="148">
        <v>180</v>
      </c>
      <c r="D94" s="148">
        <v>100</v>
      </c>
      <c r="E94" s="148">
        <v>6</v>
      </c>
      <c r="F94" s="148">
        <f t="shared" si="13"/>
        <v>6</v>
      </c>
      <c r="G94" s="148">
        <f t="shared" si="14"/>
        <v>12</v>
      </c>
      <c r="H94" s="195">
        <f t="shared" si="15"/>
        <v>31.232920065876979</v>
      </c>
      <c r="I94" s="148">
        <v>1307</v>
      </c>
      <c r="J94" s="195">
        <f t="shared" si="16"/>
        <v>145.22222222222223</v>
      </c>
      <c r="K94" s="148">
        <v>181</v>
      </c>
      <c r="L94" s="195">
        <f t="shared" si="17"/>
        <v>6.4689158085417429</v>
      </c>
      <c r="M94" s="196">
        <f t="shared" si="18"/>
        <v>18.72</v>
      </c>
      <c r="N94" s="148">
        <v>522</v>
      </c>
      <c r="O94" s="195">
        <f t="shared" si="19"/>
        <v>104.4</v>
      </c>
      <c r="P94" s="148">
        <v>120</v>
      </c>
      <c r="Q94" s="195">
        <f t="shared" si="20"/>
        <v>4.0881700913326631</v>
      </c>
      <c r="R94" s="148">
        <f t="shared" si="21"/>
        <v>9.120000000000001</v>
      </c>
      <c r="S94" s="196"/>
      <c r="T94" s="148"/>
    </row>
    <row r="95" spans="1:20" x14ac:dyDescent="0.25">
      <c r="A95" s="194" t="str">
        <f t="shared" si="11"/>
        <v>RECF  180*100*6.3</v>
      </c>
      <c r="B95" s="195">
        <f t="shared" si="12"/>
        <v>25.378730110018736</v>
      </c>
      <c r="C95" s="148">
        <v>180</v>
      </c>
      <c r="D95" s="148">
        <v>100</v>
      </c>
      <c r="E95" s="148">
        <v>6.3</v>
      </c>
      <c r="F95" s="148">
        <f t="shared" si="13"/>
        <v>9.4499999999999993</v>
      </c>
      <c r="G95" s="148">
        <f t="shared" si="14"/>
        <v>15.75</v>
      </c>
      <c r="H95" s="195">
        <f t="shared" si="15"/>
        <v>32.329592496839155</v>
      </c>
      <c r="I95" s="148">
        <v>1330</v>
      </c>
      <c r="J95" s="195">
        <f t="shared" si="16"/>
        <v>147.77777777777777</v>
      </c>
      <c r="K95" s="148">
        <v>185</v>
      </c>
      <c r="L95" s="195">
        <f t="shared" si="17"/>
        <v>6.4139519962191924</v>
      </c>
      <c r="M95" s="196">
        <f t="shared" si="18"/>
        <v>18.710999999999999</v>
      </c>
      <c r="N95" s="148">
        <v>533</v>
      </c>
      <c r="O95" s="195">
        <f t="shared" si="19"/>
        <v>106.6</v>
      </c>
      <c r="P95" s="148">
        <v>123</v>
      </c>
      <c r="Q95" s="195">
        <f t="shared" si="20"/>
        <v>4.0603501693343214</v>
      </c>
      <c r="R95" s="148">
        <f t="shared" si="21"/>
        <v>8.6310000000000002</v>
      </c>
      <c r="S95" s="196"/>
      <c r="T95" s="148"/>
    </row>
    <row r="96" spans="1:20" x14ac:dyDescent="0.25">
      <c r="A96" s="194" t="str">
        <f t="shared" si="11"/>
        <v>RECF  180*100*8</v>
      </c>
      <c r="B96" s="195">
        <f t="shared" si="12"/>
        <v>31.433344596654052</v>
      </c>
      <c r="C96" s="148">
        <v>180</v>
      </c>
      <c r="D96" s="148">
        <v>100</v>
      </c>
      <c r="E96" s="148">
        <v>8</v>
      </c>
      <c r="F96" s="148">
        <f t="shared" si="13"/>
        <v>12</v>
      </c>
      <c r="G96" s="148">
        <f t="shared" si="14"/>
        <v>20</v>
      </c>
      <c r="H96" s="195">
        <f t="shared" si="15"/>
        <v>40.042477193189875</v>
      </c>
      <c r="I96" s="148">
        <v>1588</v>
      </c>
      <c r="J96" s="195">
        <f t="shared" si="16"/>
        <v>176.44444444444446</v>
      </c>
      <c r="K96" s="148">
        <v>225</v>
      </c>
      <c r="L96" s="195">
        <f t="shared" si="17"/>
        <v>6.2974507626306595</v>
      </c>
      <c r="M96" s="196">
        <f t="shared" si="18"/>
        <v>22.400000000000002</v>
      </c>
      <c r="N96" s="148">
        <v>632</v>
      </c>
      <c r="O96" s="195">
        <f t="shared" si="19"/>
        <v>126.4</v>
      </c>
      <c r="P96" s="148">
        <v>149</v>
      </c>
      <c r="Q96" s="195">
        <f t="shared" si="20"/>
        <v>3.972812518527582</v>
      </c>
      <c r="R96" s="148">
        <f t="shared" si="21"/>
        <v>9.6</v>
      </c>
      <c r="S96" s="196"/>
      <c r="T96" s="148"/>
    </row>
    <row r="97" spans="1:20" x14ac:dyDescent="0.25">
      <c r="A97" s="194" t="str">
        <f t="shared" si="11"/>
        <v>RECF  180*100*10</v>
      </c>
      <c r="B97" s="195">
        <f t="shared" si="12"/>
        <v>38.12460093227196</v>
      </c>
      <c r="C97" s="148">
        <v>180</v>
      </c>
      <c r="D97" s="148">
        <v>100</v>
      </c>
      <c r="E97" s="148">
        <v>10</v>
      </c>
      <c r="F97" s="148">
        <f t="shared" si="13"/>
        <v>15</v>
      </c>
      <c r="G97" s="148">
        <f t="shared" si="14"/>
        <v>25</v>
      </c>
      <c r="H97" s="195">
        <f t="shared" si="15"/>
        <v>48.56637061435918</v>
      </c>
      <c r="I97" s="148">
        <v>1839</v>
      </c>
      <c r="J97" s="195">
        <f t="shared" si="16"/>
        <v>204.33333333333334</v>
      </c>
      <c r="K97" s="148">
        <v>266</v>
      </c>
      <c r="L97" s="195">
        <f t="shared" si="17"/>
        <v>6.1535118289506778</v>
      </c>
      <c r="M97" s="196">
        <f t="shared" si="18"/>
        <v>26</v>
      </c>
      <c r="N97" s="148">
        <v>725</v>
      </c>
      <c r="O97" s="195">
        <f t="shared" si="19"/>
        <v>145</v>
      </c>
      <c r="P97" s="148">
        <v>176</v>
      </c>
      <c r="Q97" s="195">
        <f t="shared" si="20"/>
        <v>3.863680254540518</v>
      </c>
      <c r="R97" s="148">
        <f t="shared" si="21"/>
        <v>10</v>
      </c>
      <c r="S97" s="196"/>
      <c r="T97" s="148"/>
    </row>
    <row r="98" spans="1:20" x14ac:dyDescent="0.25">
      <c r="A98" s="194" t="str">
        <f t="shared" si="11"/>
        <v>RECF  180*100*12</v>
      </c>
      <c r="B98" s="195">
        <f t="shared" si="12"/>
        <v>43.378681678089514</v>
      </c>
      <c r="C98" s="148">
        <v>180</v>
      </c>
      <c r="D98" s="148">
        <v>100</v>
      </c>
      <c r="E98" s="148">
        <v>12</v>
      </c>
      <c r="F98" s="148">
        <f t="shared" si="13"/>
        <v>24</v>
      </c>
      <c r="G98" s="148">
        <f t="shared" si="14"/>
        <v>36</v>
      </c>
      <c r="H98" s="195">
        <f t="shared" si="15"/>
        <v>55.259467105846511</v>
      </c>
      <c r="I98" s="148">
        <v>1915</v>
      </c>
      <c r="J98" s="195">
        <f t="shared" si="16"/>
        <v>212.77777777777777</v>
      </c>
      <c r="K98" s="148">
        <v>289</v>
      </c>
      <c r="L98" s="195">
        <f t="shared" si="17"/>
        <v>5.8868238796994898</v>
      </c>
      <c r="M98" s="196">
        <f t="shared" si="18"/>
        <v>25.92</v>
      </c>
      <c r="N98" s="148">
        <v>756</v>
      </c>
      <c r="O98" s="195">
        <f t="shared" si="19"/>
        <v>151.19999999999999</v>
      </c>
      <c r="P98" s="148">
        <v>191</v>
      </c>
      <c r="Q98" s="195">
        <f t="shared" si="20"/>
        <v>3.6987719163863586</v>
      </c>
      <c r="R98" s="148">
        <f t="shared" si="21"/>
        <v>6.72</v>
      </c>
      <c r="S98" s="196"/>
      <c r="T98" s="148"/>
    </row>
    <row r="99" spans="1:20" x14ac:dyDescent="0.25">
      <c r="A99" s="194" t="str">
        <f t="shared" si="11"/>
        <v>RECF  180*100*12.5</v>
      </c>
      <c r="B99" s="195">
        <f t="shared" si="12"/>
        <v>44.779298695843657</v>
      </c>
      <c r="C99" s="148">
        <v>180</v>
      </c>
      <c r="D99" s="148">
        <v>100</v>
      </c>
      <c r="E99" s="148">
        <v>12.5</v>
      </c>
      <c r="F99" s="148">
        <f t="shared" si="13"/>
        <v>25</v>
      </c>
      <c r="G99" s="148">
        <f t="shared" si="14"/>
        <v>37.5</v>
      </c>
      <c r="H99" s="195">
        <f t="shared" si="15"/>
        <v>57.043692606170261</v>
      </c>
      <c r="I99" s="148">
        <v>1945</v>
      </c>
      <c r="J99" s="195">
        <f t="shared" si="16"/>
        <v>216.11111111111111</v>
      </c>
      <c r="K99" s="148">
        <v>296</v>
      </c>
      <c r="L99" s="195">
        <f t="shared" si="17"/>
        <v>5.8392354516322751</v>
      </c>
      <c r="M99" s="196">
        <f t="shared" si="18"/>
        <v>26.25</v>
      </c>
      <c r="N99" s="148">
        <v>767</v>
      </c>
      <c r="O99" s="195">
        <f t="shared" si="19"/>
        <v>153.4</v>
      </c>
      <c r="P99" s="148">
        <v>196</v>
      </c>
      <c r="Q99" s="195">
        <f t="shared" si="20"/>
        <v>3.6668560951552429</v>
      </c>
      <c r="R99" s="148">
        <f t="shared" si="21"/>
        <v>6.25</v>
      </c>
      <c r="S99" s="196"/>
      <c r="T99" s="148"/>
    </row>
    <row r="100" spans="1:20" x14ac:dyDescent="0.25">
      <c r="A100" s="197" t="str">
        <f t="shared" si="11"/>
        <v>RECF  200*100*4</v>
      </c>
      <c r="B100" s="198">
        <f t="shared" si="12"/>
        <v>18.014152111872633</v>
      </c>
      <c r="C100" s="199">
        <v>200</v>
      </c>
      <c r="D100" s="199">
        <v>100</v>
      </c>
      <c r="E100" s="199">
        <v>4</v>
      </c>
      <c r="F100" s="199">
        <f t="shared" si="13"/>
        <v>4</v>
      </c>
      <c r="G100" s="199">
        <f t="shared" si="14"/>
        <v>8</v>
      </c>
      <c r="H100" s="198">
        <f t="shared" si="15"/>
        <v>22.947964473723101</v>
      </c>
      <c r="I100" s="199">
        <v>1199</v>
      </c>
      <c r="J100" s="198">
        <f t="shared" si="16"/>
        <v>119.9</v>
      </c>
      <c r="K100" s="199">
        <v>148</v>
      </c>
      <c r="L100" s="198">
        <f t="shared" si="17"/>
        <v>7.2283222709973973</v>
      </c>
      <c r="M100" s="200">
        <f t="shared" si="18"/>
        <v>14.72</v>
      </c>
      <c r="N100" s="199">
        <v>410</v>
      </c>
      <c r="O100" s="198">
        <f t="shared" si="19"/>
        <v>82</v>
      </c>
      <c r="P100" s="199">
        <v>91.6</v>
      </c>
      <c r="Q100" s="198">
        <f t="shared" si="20"/>
        <v>4.2268792741898968</v>
      </c>
      <c r="R100" s="199">
        <f t="shared" si="21"/>
        <v>6.72</v>
      </c>
      <c r="S100" s="200"/>
      <c r="T100" s="201"/>
    </row>
    <row r="101" spans="1:20" x14ac:dyDescent="0.25">
      <c r="A101" s="202" t="str">
        <f t="shared" si="11"/>
        <v>RECF  200*100*5</v>
      </c>
      <c r="B101" s="203">
        <f t="shared" si="12"/>
        <v>22.259612674800994</v>
      </c>
      <c r="C101" s="204">
        <v>200</v>
      </c>
      <c r="D101" s="204">
        <v>100</v>
      </c>
      <c r="E101" s="204">
        <v>5</v>
      </c>
      <c r="F101" s="204">
        <f t="shared" si="13"/>
        <v>5</v>
      </c>
      <c r="G101" s="204">
        <f t="shared" si="14"/>
        <v>10</v>
      </c>
      <c r="H101" s="203">
        <f t="shared" si="15"/>
        <v>28.356194490192348</v>
      </c>
      <c r="I101" s="204">
        <v>1457</v>
      </c>
      <c r="J101" s="203">
        <f t="shared" si="16"/>
        <v>145.69999999999999</v>
      </c>
      <c r="K101" s="204">
        <v>181</v>
      </c>
      <c r="L101" s="203">
        <f t="shared" si="17"/>
        <v>7.1681288388187765</v>
      </c>
      <c r="M101" s="205">
        <f t="shared" si="18"/>
        <v>18</v>
      </c>
      <c r="N101" s="204">
        <v>496</v>
      </c>
      <c r="O101" s="203">
        <f t="shared" si="19"/>
        <v>99.2</v>
      </c>
      <c r="P101" s="204">
        <v>112</v>
      </c>
      <c r="Q101" s="203">
        <f t="shared" si="20"/>
        <v>4.1823162085204544</v>
      </c>
      <c r="R101" s="204">
        <f t="shared" si="21"/>
        <v>8</v>
      </c>
      <c r="S101" s="205"/>
      <c r="T101" s="206"/>
    </row>
    <row r="102" spans="1:20" x14ac:dyDescent="0.25">
      <c r="A102" s="202" t="str">
        <f t="shared" si="11"/>
        <v>RECF  200*100*6</v>
      </c>
      <c r="B102" s="203">
        <f t="shared" si="12"/>
        <v>26.401842251713433</v>
      </c>
      <c r="C102" s="204">
        <v>200</v>
      </c>
      <c r="D102" s="204">
        <v>100</v>
      </c>
      <c r="E102" s="204">
        <v>6</v>
      </c>
      <c r="F102" s="204">
        <f t="shared" si="13"/>
        <v>6</v>
      </c>
      <c r="G102" s="204">
        <f t="shared" si="14"/>
        <v>12</v>
      </c>
      <c r="H102" s="203">
        <f t="shared" si="15"/>
        <v>33.632920065876981</v>
      </c>
      <c r="I102" s="204">
        <v>1700</v>
      </c>
      <c r="J102" s="203">
        <f t="shared" si="16"/>
        <v>170</v>
      </c>
      <c r="K102" s="204">
        <v>213</v>
      </c>
      <c r="L102" s="203">
        <f t="shared" si="17"/>
        <v>7.1095509865184683</v>
      </c>
      <c r="M102" s="205">
        <f t="shared" si="18"/>
        <v>21.12</v>
      </c>
      <c r="N102" s="204">
        <v>575</v>
      </c>
      <c r="O102" s="203">
        <f t="shared" si="19"/>
        <v>115</v>
      </c>
      <c r="P102" s="204">
        <v>131</v>
      </c>
      <c r="Q102" s="203">
        <f t="shared" si="20"/>
        <v>4.1347726487890473</v>
      </c>
      <c r="R102" s="204">
        <f t="shared" si="21"/>
        <v>9.120000000000001</v>
      </c>
      <c r="S102" s="205"/>
      <c r="T102" s="206"/>
    </row>
    <row r="103" spans="1:20" x14ac:dyDescent="0.25">
      <c r="A103" s="202" t="str">
        <f t="shared" si="11"/>
        <v>RECF  200*100*6.3</v>
      </c>
      <c r="B103" s="203">
        <f t="shared" si="12"/>
        <v>27.356930110018741</v>
      </c>
      <c r="C103" s="204">
        <v>200</v>
      </c>
      <c r="D103" s="204">
        <v>100</v>
      </c>
      <c r="E103" s="204">
        <v>6.3</v>
      </c>
      <c r="F103" s="204">
        <f t="shared" si="13"/>
        <v>9.4499999999999993</v>
      </c>
      <c r="G103" s="204">
        <f t="shared" si="14"/>
        <v>15.75</v>
      </c>
      <c r="H103" s="203">
        <f t="shared" si="15"/>
        <v>34.849592496839158</v>
      </c>
      <c r="I103" s="204">
        <v>1733</v>
      </c>
      <c r="J103" s="203">
        <f t="shared" si="16"/>
        <v>173.3</v>
      </c>
      <c r="K103" s="204">
        <v>219</v>
      </c>
      <c r="L103" s="203">
        <f t="shared" si="17"/>
        <v>7.0518071888502991</v>
      </c>
      <c r="M103" s="205">
        <f t="shared" si="18"/>
        <v>21.230999999999998</v>
      </c>
      <c r="N103" s="204">
        <v>588</v>
      </c>
      <c r="O103" s="203">
        <f t="shared" si="19"/>
        <v>117.6</v>
      </c>
      <c r="P103" s="204">
        <v>135</v>
      </c>
      <c r="Q103" s="203">
        <f t="shared" si="20"/>
        <v>4.1076157550114303</v>
      </c>
      <c r="R103" s="204">
        <f t="shared" si="21"/>
        <v>8.6310000000000002</v>
      </c>
      <c r="S103" s="205"/>
      <c r="T103" s="206"/>
    </row>
    <row r="104" spans="1:20" x14ac:dyDescent="0.25">
      <c r="A104" s="202" t="str">
        <f t="shared" si="11"/>
        <v>RECF  200*100*8</v>
      </c>
      <c r="B104" s="203">
        <f t="shared" si="12"/>
        <v>33.945344596654053</v>
      </c>
      <c r="C104" s="204">
        <v>200</v>
      </c>
      <c r="D104" s="204">
        <v>100</v>
      </c>
      <c r="E104" s="204">
        <v>8</v>
      </c>
      <c r="F104" s="204">
        <f t="shared" si="13"/>
        <v>12</v>
      </c>
      <c r="G104" s="204">
        <f t="shared" si="14"/>
        <v>20</v>
      </c>
      <c r="H104" s="203">
        <f t="shared" si="15"/>
        <v>43.24247719318987</v>
      </c>
      <c r="I104" s="204">
        <v>2079</v>
      </c>
      <c r="J104" s="203">
        <f t="shared" si="16"/>
        <v>207.9</v>
      </c>
      <c r="K104" s="204">
        <v>267</v>
      </c>
      <c r="L104" s="203">
        <f t="shared" si="17"/>
        <v>6.933810402115161</v>
      </c>
      <c r="M104" s="205">
        <f t="shared" si="18"/>
        <v>25.6</v>
      </c>
      <c r="N104" s="204">
        <v>700</v>
      </c>
      <c r="O104" s="203">
        <f t="shared" si="19"/>
        <v>140</v>
      </c>
      <c r="P104" s="204">
        <v>164</v>
      </c>
      <c r="Q104" s="203">
        <f t="shared" si="20"/>
        <v>4.0234048721381397</v>
      </c>
      <c r="R104" s="204">
        <f t="shared" si="21"/>
        <v>9.6</v>
      </c>
      <c r="S104" s="205"/>
      <c r="T104" s="206"/>
    </row>
    <row r="105" spans="1:20" x14ac:dyDescent="0.25">
      <c r="A105" s="202" t="str">
        <f t="shared" si="11"/>
        <v>RECF  200*100*10</v>
      </c>
      <c r="B105" s="203">
        <f t="shared" si="12"/>
        <v>41.264600932271961</v>
      </c>
      <c r="C105" s="204">
        <v>200</v>
      </c>
      <c r="D105" s="204">
        <v>100</v>
      </c>
      <c r="E105" s="204">
        <v>10</v>
      </c>
      <c r="F105" s="204">
        <f t="shared" si="13"/>
        <v>15</v>
      </c>
      <c r="G105" s="204">
        <f t="shared" si="14"/>
        <v>25</v>
      </c>
      <c r="H105" s="203">
        <f t="shared" si="15"/>
        <v>52.56637061435918</v>
      </c>
      <c r="I105" s="204">
        <v>2421</v>
      </c>
      <c r="J105" s="203">
        <f t="shared" si="16"/>
        <v>242.1</v>
      </c>
      <c r="K105" s="204">
        <v>317</v>
      </c>
      <c r="L105" s="203">
        <f t="shared" si="17"/>
        <v>6.7864616362993671</v>
      </c>
      <c r="M105" s="205">
        <f t="shared" si="18"/>
        <v>30</v>
      </c>
      <c r="N105" s="204">
        <v>807</v>
      </c>
      <c r="O105" s="203">
        <f t="shared" si="19"/>
        <v>161.4</v>
      </c>
      <c r="P105" s="204">
        <v>194</v>
      </c>
      <c r="Q105" s="203">
        <f t="shared" si="20"/>
        <v>3.918165452562508</v>
      </c>
      <c r="R105" s="204">
        <f t="shared" si="21"/>
        <v>10</v>
      </c>
      <c r="S105" s="205"/>
      <c r="T105" s="206"/>
    </row>
    <row r="106" spans="1:20" x14ac:dyDescent="0.25">
      <c r="A106" s="207" t="str">
        <f t="shared" si="11"/>
        <v>RECF  200*100*12.5</v>
      </c>
      <c r="B106" s="208">
        <f t="shared" si="12"/>
        <v>48.704298695843654</v>
      </c>
      <c r="C106" s="209">
        <v>200</v>
      </c>
      <c r="D106" s="209">
        <v>100</v>
      </c>
      <c r="E106" s="209">
        <v>12.5</v>
      </c>
      <c r="F106" s="209">
        <f t="shared" si="13"/>
        <v>25</v>
      </c>
      <c r="G106" s="209">
        <f t="shared" si="14"/>
        <v>37.5</v>
      </c>
      <c r="H106" s="208">
        <f t="shared" si="15"/>
        <v>62.043692606170261</v>
      </c>
      <c r="I106" s="209">
        <v>2596</v>
      </c>
      <c r="J106" s="208">
        <f t="shared" si="16"/>
        <v>259.60000000000002</v>
      </c>
      <c r="K106" s="209">
        <v>356</v>
      </c>
      <c r="L106" s="208">
        <f t="shared" si="17"/>
        <v>6.4684991486518104</v>
      </c>
      <c r="M106" s="210">
        <f t="shared" si="18"/>
        <v>31.25</v>
      </c>
      <c r="N106" s="209">
        <v>863</v>
      </c>
      <c r="O106" s="208">
        <f t="shared" si="19"/>
        <v>172.6</v>
      </c>
      <c r="P106" s="209">
        <v>217</v>
      </c>
      <c r="Q106" s="208">
        <f t="shared" si="20"/>
        <v>3.7295512473294892</v>
      </c>
      <c r="R106" s="209">
        <f t="shared" si="21"/>
        <v>6.25</v>
      </c>
      <c r="S106" s="210"/>
      <c r="T106" s="211"/>
    </row>
    <row r="107" spans="1:20" x14ac:dyDescent="0.25">
      <c r="A107" s="194" t="str">
        <f t="shared" si="11"/>
        <v>RECF  200*120*4</v>
      </c>
      <c r="B107" s="195">
        <f t="shared" si="12"/>
        <v>19.270152111872637</v>
      </c>
      <c r="C107" s="148">
        <v>200</v>
      </c>
      <c r="D107" s="148">
        <v>120</v>
      </c>
      <c r="E107" s="148">
        <v>4</v>
      </c>
      <c r="F107" s="148">
        <f t="shared" si="13"/>
        <v>4</v>
      </c>
      <c r="G107" s="148">
        <f t="shared" si="14"/>
        <v>8</v>
      </c>
      <c r="H107" s="195">
        <f t="shared" si="15"/>
        <v>24.547964473723102</v>
      </c>
      <c r="I107" s="148">
        <v>1352</v>
      </c>
      <c r="J107" s="195">
        <f t="shared" si="16"/>
        <v>135.19999999999999</v>
      </c>
      <c r="K107" s="148">
        <v>164</v>
      </c>
      <c r="L107" s="195">
        <f t="shared" si="17"/>
        <v>7.421310506025792</v>
      </c>
      <c r="M107" s="196">
        <f t="shared" si="18"/>
        <v>14.72</v>
      </c>
      <c r="N107" s="148">
        <v>617</v>
      </c>
      <c r="O107" s="195">
        <f t="shared" si="19"/>
        <v>102.83333333333333</v>
      </c>
      <c r="P107" s="148">
        <v>115</v>
      </c>
      <c r="Q107" s="195">
        <f t="shared" si="20"/>
        <v>5.0134286549750495</v>
      </c>
      <c r="R107" s="148">
        <f t="shared" si="21"/>
        <v>8.32</v>
      </c>
      <c r="S107" s="196"/>
      <c r="T107" s="148"/>
    </row>
    <row r="108" spans="1:20" x14ac:dyDescent="0.25">
      <c r="A108" s="194" t="str">
        <f t="shared" si="11"/>
        <v>RECF  200*120*5</v>
      </c>
      <c r="B108" s="195">
        <f t="shared" si="12"/>
        <v>23.829612674800995</v>
      </c>
      <c r="C108" s="148">
        <v>200</v>
      </c>
      <c r="D108" s="148">
        <v>120</v>
      </c>
      <c r="E108" s="148">
        <v>5</v>
      </c>
      <c r="F108" s="148">
        <f t="shared" si="13"/>
        <v>5</v>
      </c>
      <c r="G108" s="148">
        <f t="shared" si="14"/>
        <v>10</v>
      </c>
      <c r="H108" s="195">
        <f t="shared" si="15"/>
        <v>30.356194490192348</v>
      </c>
      <c r="I108" s="148">
        <v>1648</v>
      </c>
      <c r="J108" s="195">
        <f t="shared" si="16"/>
        <v>164.8</v>
      </c>
      <c r="K108" s="148">
        <v>201</v>
      </c>
      <c r="L108" s="195">
        <f t="shared" si="17"/>
        <v>7.3680903103700768</v>
      </c>
      <c r="M108" s="196">
        <f t="shared" si="18"/>
        <v>18</v>
      </c>
      <c r="N108" s="148">
        <v>749</v>
      </c>
      <c r="O108" s="195">
        <f t="shared" si="19"/>
        <v>124.83333333333333</v>
      </c>
      <c r="P108" s="148">
        <v>141</v>
      </c>
      <c r="Q108" s="195">
        <f t="shared" si="20"/>
        <v>4.9672640347785695</v>
      </c>
      <c r="R108" s="148">
        <f t="shared" si="21"/>
        <v>10</v>
      </c>
      <c r="S108" s="196"/>
      <c r="T108" s="148"/>
    </row>
    <row r="109" spans="1:20" x14ac:dyDescent="0.25">
      <c r="A109" s="194" t="str">
        <f t="shared" si="11"/>
        <v>RECF  200*120*6</v>
      </c>
      <c r="B109" s="195">
        <f t="shared" si="12"/>
        <v>28.285842251713429</v>
      </c>
      <c r="C109" s="148">
        <v>200</v>
      </c>
      <c r="D109" s="148">
        <v>120</v>
      </c>
      <c r="E109" s="148">
        <v>6</v>
      </c>
      <c r="F109" s="148">
        <f t="shared" si="13"/>
        <v>6</v>
      </c>
      <c r="G109" s="148">
        <f t="shared" si="14"/>
        <v>12</v>
      </c>
      <c r="H109" s="195">
        <f t="shared" si="15"/>
        <v>36.032920065876979</v>
      </c>
      <c r="I109" s="148">
        <v>1926</v>
      </c>
      <c r="J109" s="195">
        <f t="shared" si="16"/>
        <v>192.6</v>
      </c>
      <c r="K109" s="148">
        <v>236</v>
      </c>
      <c r="L109" s="195">
        <f t="shared" si="17"/>
        <v>7.3110274121214038</v>
      </c>
      <c r="M109" s="196">
        <f t="shared" si="18"/>
        <v>21.12</v>
      </c>
      <c r="N109" s="148">
        <v>872</v>
      </c>
      <c r="O109" s="195">
        <f t="shared" si="19"/>
        <v>145.33333333333334</v>
      </c>
      <c r="P109" s="148">
        <v>166</v>
      </c>
      <c r="Q109" s="195">
        <f t="shared" si="20"/>
        <v>4.9193589559780939</v>
      </c>
      <c r="R109" s="148">
        <f t="shared" si="21"/>
        <v>11.52</v>
      </c>
      <c r="S109" s="196"/>
      <c r="T109" s="148"/>
    </row>
    <row r="110" spans="1:20" x14ac:dyDescent="0.25">
      <c r="A110" s="194" t="str">
        <f t="shared" si="11"/>
        <v>RECF  200*120*6.3</v>
      </c>
      <c r="B110" s="195">
        <f t="shared" si="12"/>
        <v>29.335130110018738</v>
      </c>
      <c r="C110" s="148">
        <v>200</v>
      </c>
      <c r="D110" s="148">
        <v>120</v>
      </c>
      <c r="E110" s="148">
        <v>6.3</v>
      </c>
      <c r="F110" s="148">
        <f t="shared" si="13"/>
        <v>9.4499999999999993</v>
      </c>
      <c r="G110" s="148">
        <f t="shared" si="14"/>
        <v>15.75</v>
      </c>
      <c r="H110" s="195">
        <f t="shared" si="15"/>
        <v>37.369592496839154</v>
      </c>
      <c r="I110" s="148">
        <v>1970</v>
      </c>
      <c r="J110" s="195">
        <f t="shared" si="16"/>
        <v>197</v>
      </c>
      <c r="K110" s="148">
        <v>243</v>
      </c>
      <c r="L110" s="195">
        <f t="shared" si="17"/>
        <v>7.2606237521756629</v>
      </c>
      <c r="M110" s="196">
        <f t="shared" si="18"/>
        <v>21.230999999999998</v>
      </c>
      <c r="N110" s="148">
        <v>894</v>
      </c>
      <c r="O110" s="195">
        <f t="shared" si="19"/>
        <v>149</v>
      </c>
      <c r="P110" s="148">
        <v>171</v>
      </c>
      <c r="Q110" s="195">
        <f t="shared" si="20"/>
        <v>4.8911341941892541</v>
      </c>
      <c r="R110" s="148">
        <f t="shared" si="21"/>
        <v>11.151</v>
      </c>
      <c r="S110" s="196"/>
      <c r="T110" s="148"/>
    </row>
    <row r="111" spans="1:20" x14ac:dyDescent="0.25">
      <c r="A111" s="194" t="str">
        <f t="shared" si="11"/>
        <v>RECF  200*120*8</v>
      </c>
      <c r="B111" s="195">
        <f t="shared" si="12"/>
        <v>36.457344596654053</v>
      </c>
      <c r="C111" s="148">
        <v>200</v>
      </c>
      <c r="D111" s="148">
        <v>120</v>
      </c>
      <c r="E111" s="148">
        <v>8</v>
      </c>
      <c r="F111" s="148">
        <f t="shared" si="13"/>
        <v>12</v>
      </c>
      <c r="G111" s="148">
        <f t="shared" si="14"/>
        <v>20</v>
      </c>
      <c r="H111" s="195">
        <f t="shared" si="15"/>
        <v>46.442477193189873</v>
      </c>
      <c r="I111" s="148">
        <v>2374</v>
      </c>
      <c r="J111" s="195">
        <f t="shared" si="16"/>
        <v>237.4</v>
      </c>
      <c r="K111" s="148">
        <v>297</v>
      </c>
      <c r="L111" s="195">
        <f t="shared" si="17"/>
        <v>7.1496152136232203</v>
      </c>
      <c r="M111" s="196">
        <f t="shared" si="18"/>
        <v>25.6</v>
      </c>
      <c r="N111" s="148">
        <v>1072</v>
      </c>
      <c r="O111" s="195">
        <f t="shared" si="19"/>
        <v>178.66666666666666</v>
      </c>
      <c r="P111" s="148">
        <v>209</v>
      </c>
      <c r="Q111" s="195">
        <f t="shared" si="20"/>
        <v>4.8044060416024488</v>
      </c>
      <c r="R111" s="148">
        <f t="shared" si="21"/>
        <v>12.8</v>
      </c>
      <c r="S111" s="196"/>
      <c r="T111" s="148"/>
    </row>
    <row r="112" spans="1:20" x14ac:dyDescent="0.25">
      <c r="A112" s="194" t="str">
        <f t="shared" si="11"/>
        <v>RECF  200*120*10</v>
      </c>
      <c r="B112" s="195">
        <f t="shared" si="12"/>
        <v>44.404600932271961</v>
      </c>
      <c r="C112" s="148">
        <v>200</v>
      </c>
      <c r="D112" s="148">
        <v>120</v>
      </c>
      <c r="E112" s="148">
        <v>10</v>
      </c>
      <c r="F112" s="148">
        <f t="shared" si="13"/>
        <v>15</v>
      </c>
      <c r="G112" s="148">
        <f t="shared" si="14"/>
        <v>25</v>
      </c>
      <c r="H112" s="195">
        <f t="shared" si="15"/>
        <v>56.56637061435918</v>
      </c>
      <c r="I112" s="148">
        <v>2783</v>
      </c>
      <c r="J112" s="195">
        <f t="shared" si="16"/>
        <v>278.3</v>
      </c>
      <c r="K112" s="148">
        <v>355</v>
      </c>
      <c r="L112" s="195">
        <f t="shared" si="17"/>
        <v>7.0141887079658582</v>
      </c>
      <c r="M112" s="196">
        <f t="shared" si="18"/>
        <v>30</v>
      </c>
      <c r="N112" s="148">
        <v>1249</v>
      </c>
      <c r="O112" s="195">
        <f t="shared" si="19"/>
        <v>208.16666666666666</v>
      </c>
      <c r="P112" s="148">
        <v>249</v>
      </c>
      <c r="Q112" s="195">
        <f t="shared" si="20"/>
        <v>4.698963394966059</v>
      </c>
      <c r="R112" s="148">
        <f t="shared" si="21"/>
        <v>14</v>
      </c>
      <c r="S112" s="196"/>
      <c r="T112" s="148"/>
    </row>
    <row r="113" spans="1:20" x14ac:dyDescent="0.25">
      <c r="A113" s="194" t="str">
        <f t="shared" si="11"/>
        <v>RECF  200*120*12</v>
      </c>
      <c r="B113" s="195">
        <f t="shared" si="12"/>
        <v>50.914681678089508</v>
      </c>
      <c r="C113" s="148">
        <v>200</v>
      </c>
      <c r="D113" s="148">
        <v>120</v>
      </c>
      <c r="E113" s="148">
        <v>12</v>
      </c>
      <c r="F113" s="148">
        <f t="shared" si="13"/>
        <v>24</v>
      </c>
      <c r="G113" s="148">
        <f t="shared" si="14"/>
        <v>36</v>
      </c>
      <c r="H113" s="195">
        <f t="shared" si="15"/>
        <v>64.859467105846505</v>
      </c>
      <c r="I113" s="148">
        <v>2976</v>
      </c>
      <c r="J113" s="195">
        <f t="shared" si="16"/>
        <v>297.60000000000002</v>
      </c>
      <c r="K113" s="148">
        <v>392</v>
      </c>
      <c r="L113" s="195">
        <f t="shared" si="17"/>
        <v>6.7737595353432143</v>
      </c>
      <c r="M113" s="196">
        <f t="shared" si="18"/>
        <v>30.72</v>
      </c>
      <c r="N113" s="148">
        <v>1336</v>
      </c>
      <c r="O113" s="195">
        <f t="shared" si="19"/>
        <v>222.66666666666666</v>
      </c>
      <c r="P113" s="148">
        <v>275</v>
      </c>
      <c r="Q113" s="195">
        <f t="shared" si="20"/>
        <v>4.5385439041859348</v>
      </c>
      <c r="R113" s="148">
        <f t="shared" si="21"/>
        <v>11.52</v>
      </c>
      <c r="S113" s="196"/>
      <c r="T113" s="148"/>
    </row>
    <row r="114" spans="1:20" x14ac:dyDescent="0.25">
      <c r="A114" s="194" t="str">
        <f t="shared" si="11"/>
        <v>RECF  200*120*12.5</v>
      </c>
      <c r="B114" s="195">
        <f t="shared" si="12"/>
        <v>52.629298695843666</v>
      </c>
      <c r="C114" s="148">
        <v>200</v>
      </c>
      <c r="D114" s="148">
        <v>120</v>
      </c>
      <c r="E114" s="148">
        <v>12.5</v>
      </c>
      <c r="F114" s="148">
        <f t="shared" si="13"/>
        <v>25</v>
      </c>
      <c r="G114" s="148">
        <f t="shared" si="14"/>
        <v>37.5</v>
      </c>
      <c r="H114" s="195">
        <f t="shared" si="15"/>
        <v>67.043692606170268</v>
      </c>
      <c r="I114" s="148">
        <v>3036</v>
      </c>
      <c r="J114" s="195">
        <f t="shared" si="16"/>
        <v>303.60000000000002</v>
      </c>
      <c r="K114" s="148">
        <v>403</v>
      </c>
      <c r="L114" s="195">
        <f t="shared" si="17"/>
        <v>6.7293314612256534</v>
      </c>
      <c r="M114" s="196">
        <f t="shared" si="18"/>
        <v>31.25</v>
      </c>
      <c r="N114" s="148">
        <v>1362</v>
      </c>
      <c r="O114" s="195">
        <f t="shared" si="19"/>
        <v>227</v>
      </c>
      <c r="P114" s="148">
        <v>282</v>
      </c>
      <c r="Q114" s="195">
        <f t="shared" si="20"/>
        <v>4.5072286549116747</v>
      </c>
      <c r="R114" s="148">
        <f t="shared" si="21"/>
        <v>11.25</v>
      </c>
      <c r="S114" s="196"/>
      <c r="T114" s="148"/>
    </row>
    <row r="115" spans="1:20" x14ac:dyDescent="0.25">
      <c r="A115" s="197" t="str">
        <f t="shared" si="11"/>
        <v>RECF  250*150*5</v>
      </c>
      <c r="B115" s="198">
        <f t="shared" si="12"/>
        <v>30.109612674800996</v>
      </c>
      <c r="C115" s="199">
        <v>250</v>
      </c>
      <c r="D115" s="199">
        <v>150</v>
      </c>
      <c r="E115" s="199">
        <v>5</v>
      </c>
      <c r="F115" s="199">
        <f t="shared" si="13"/>
        <v>5</v>
      </c>
      <c r="G115" s="199">
        <f t="shared" si="14"/>
        <v>10</v>
      </c>
      <c r="H115" s="198">
        <f t="shared" si="15"/>
        <v>38.356194490192351</v>
      </c>
      <c r="I115" s="199">
        <v>3302</v>
      </c>
      <c r="J115" s="198">
        <f t="shared" si="16"/>
        <v>264.16000000000003</v>
      </c>
      <c r="K115" s="199">
        <v>320</v>
      </c>
      <c r="L115" s="198">
        <f t="shared" si="17"/>
        <v>9.2783505845911058</v>
      </c>
      <c r="M115" s="200">
        <f t="shared" si="18"/>
        <v>23</v>
      </c>
      <c r="N115" s="199">
        <v>1507</v>
      </c>
      <c r="O115" s="198">
        <f t="shared" si="19"/>
        <v>200.93333333333334</v>
      </c>
      <c r="P115" s="199">
        <v>225</v>
      </c>
      <c r="Q115" s="198">
        <f t="shared" si="20"/>
        <v>6.2681426290271789</v>
      </c>
      <c r="R115" s="199">
        <f t="shared" si="21"/>
        <v>13</v>
      </c>
      <c r="S115" s="200"/>
      <c r="T115" s="201"/>
    </row>
    <row r="116" spans="1:20" x14ac:dyDescent="0.25">
      <c r="A116" s="202" t="str">
        <f t="shared" si="11"/>
        <v>RECF  250*150*6</v>
      </c>
      <c r="B116" s="203">
        <f t="shared" si="12"/>
        <v>35.821842251713434</v>
      </c>
      <c r="C116" s="204">
        <v>250</v>
      </c>
      <c r="D116" s="204">
        <v>150</v>
      </c>
      <c r="E116" s="204">
        <v>6</v>
      </c>
      <c r="F116" s="204">
        <f t="shared" si="13"/>
        <v>6</v>
      </c>
      <c r="G116" s="204">
        <f t="shared" si="14"/>
        <v>12</v>
      </c>
      <c r="H116" s="203">
        <f t="shared" si="15"/>
        <v>45.632920065876981</v>
      </c>
      <c r="I116" s="204">
        <v>3881</v>
      </c>
      <c r="J116" s="203">
        <f t="shared" si="16"/>
        <v>310.48</v>
      </c>
      <c r="K116" s="204">
        <v>378</v>
      </c>
      <c r="L116" s="203">
        <f t="shared" si="17"/>
        <v>9.2221608168391587</v>
      </c>
      <c r="M116" s="205">
        <f t="shared" si="18"/>
        <v>27.12</v>
      </c>
      <c r="N116" s="204">
        <v>1766</v>
      </c>
      <c r="O116" s="203">
        <f t="shared" si="19"/>
        <v>235.46666666666667</v>
      </c>
      <c r="P116" s="204">
        <v>266</v>
      </c>
      <c r="Q116" s="203">
        <f t="shared" si="20"/>
        <v>6.2209429623249646</v>
      </c>
      <c r="R116" s="204">
        <f t="shared" si="21"/>
        <v>15.120000000000001</v>
      </c>
      <c r="S116" s="205"/>
      <c r="T116" s="206"/>
    </row>
    <row r="117" spans="1:20" x14ac:dyDescent="0.25">
      <c r="A117" s="202" t="str">
        <f t="shared" si="11"/>
        <v>RECF  250*150*6.3</v>
      </c>
      <c r="B117" s="203">
        <f t="shared" si="12"/>
        <v>37.247930110018743</v>
      </c>
      <c r="C117" s="204">
        <v>250</v>
      </c>
      <c r="D117" s="204">
        <v>150</v>
      </c>
      <c r="E117" s="204">
        <v>6.3</v>
      </c>
      <c r="F117" s="204">
        <f t="shared" si="13"/>
        <v>9.4499999999999993</v>
      </c>
      <c r="G117" s="204">
        <f t="shared" si="14"/>
        <v>15.75</v>
      </c>
      <c r="H117" s="203">
        <f t="shared" si="15"/>
        <v>47.449592496839159</v>
      </c>
      <c r="I117" s="204">
        <v>3994</v>
      </c>
      <c r="J117" s="203">
        <f t="shared" si="16"/>
        <v>319.52</v>
      </c>
      <c r="K117" s="204">
        <v>391</v>
      </c>
      <c r="L117" s="203">
        <f t="shared" si="17"/>
        <v>9.1746136907640494</v>
      </c>
      <c r="M117" s="205">
        <f t="shared" si="18"/>
        <v>27.530999999999999</v>
      </c>
      <c r="N117" s="204">
        <v>1820</v>
      </c>
      <c r="O117" s="203">
        <f t="shared" si="19"/>
        <v>242.66666666666666</v>
      </c>
      <c r="P117" s="204">
        <v>275</v>
      </c>
      <c r="Q117" s="203">
        <f t="shared" si="20"/>
        <v>6.19326196694443</v>
      </c>
      <c r="R117" s="204">
        <f t="shared" si="21"/>
        <v>14.930999999999999</v>
      </c>
      <c r="S117" s="205"/>
      <c r="T117" s="206"/>
    </row>
    <row r="118" spans="1:20" x14ac:dyDescent="0.25">
      <c r="A118" s="202" t="str">
        <f t="shared" si="11"/>
        <v>RECF  250*150*8</v>
      </c>
      <c r="B118" s="203">
        <f t="shared" si="12"/>
        <v>46.505344596654048</v>
      </c>
      <c r="C118" s="204">
        <v>250</v>
      </c>
      <c r="D118" s="204">
        <v>150</v>
      </c>
      <c r="E118" s="204">
        <v>8</v>
      </c>
      <c r="F118" s="204">
        <f t="shared" si="13"/>
        <v>12</v>
      </c>
      <c r="G118" s="204">
        <f t="shared" si="14"/>
        <v>20</v>
      </c>
      <c r="H118" s="203">
        <f t="shared" si="15"/>
        <v>59.24247719318987</v>
      </c>
      <c r="I118" s="204">
        <v>4871</v>
      </c>
      <c r="J118" s="203">
        <f t="shared" si="16"/>
        <v>389.68</v>
      </c>
      <c r="K118" s="204">
        <v>482</v>
      </c>
      <c r="L118" s="203">
        <f t="shared" si="17"/>
        <v>9.0676022126370306</v>
      </c>
      <c r="M118" s="205">
        <f t="shared" si="18"/>
        <v>33.6</v>
      </c>
      <c r="N118" s="204">
        <v>2210</v>
      </c>
      <c r="O118" s="203">
        <f t="shared" si="19"/>
        <v>294.66666666666669</v>
      </c>
      <c r="P118" s="204">
        <v>339</v>
      </c>
      <c r="Q118" s="203">
        <f t="shared" si="20"/>
        <v>6.1077258029124</v>
      </c>
      <c r="R118" s="204">
        <f t="shared" si="21"/>
        <v>17.600000000000001</v>
      </c>
      <c r="S118" s="205"/>
      <c r="T118" s="206"/>
    </row>
    <row r="119" spans="1:20" x14ac:dyDescent="0.25">
      <c r="A119" s="202" t="str">
        <f t="shared" si="11"/>
        <v>RECF  250*150*10</v>
      </c>
      <c r="B119" s="203">
        <f t="shared" si="12"/>
        <v>56.964600932271949</v>
      </c>
      <c r="C119" s="204">
        <v>250</v>
      </c>
      <c r="D119" s="204">
        <v>150</v>
      </c>
      <c r="E119" s="204">
        <v>10</v>
      </c>
      <c r="F119" s="204">
        <f t="shared" si="13"/>
        <v>15</v>
      </c>
      <c r="G119" s="204">
        <f t="shared" si="14"/>
        <v>25</v>
      </c>
      <c r="H119" s="203">
        <f t="shared" si="15"/>
        <v>72.566370614359172</v>
      </c>
      <c r="I119" s="204">
        <v>5796</v>
      </c>
      <c r="J119" s="203">
        <f t="shared" si="16"/>
        <v>463.68</v>
      </c>
      <c r="K119" s="204">
        <v>581</v>
      </c>
      <c r="L119" s="203">
        <f t="shared" si="17"/>
        <v>8.9370973191272629</v>
      </c>
      <c r="M119" s="205">
        <f t="shared" si="18"/>
        <v>40</v>
      </c>
      <c r="N119" s="204">
        <v>22617</v>
      </c>
      <c r="O119" s="203">
        <f t="shared" si="19"/>
        <v>3015.6</v>
      </c>
      <c r="P119" s="204">
        <v>408</v>
      </c>
      <c r="Q119" s="203">
        <f t="shared" si="20"/>
        <v>17.654271360380363</v>
      </c>
      <c r="R119" s="204">
        <f t="shared" si="21"/>
        <v>20</v>
      </c>
      <c r="S119" s="205"/>
      <c r="T119" s="206"/>
    </row>
    <row r="120" spans="1:20" x14ac:dyDescent="0.25">
      <c r="A120" s="202" t="str">
        <f t="shared" si="11"/>
        <v>RECF  250*150*12</v>
      </c>
      <c r="B120" s="203">
        <f t="shared" si="12"/>
        <v>65.986681678089511</v>
      </c>
      <c r="C120" s="204">
        <v>250</v>
      </c>
      <c r="D120" s="204">
        <v>150</v>
      </c>
      <c r="E120" s="204">
        <v>12</v>
      </c>
      <c r="F120" s="204">
        <f t="shared" si="13"/>
        <v>24</v>
      </c>
      <c r="G120" s="204">
        <f t="shared" si="14"/>
        <v>36</v>
      </c>
      <c r="H120" s="203">
        <f t="shared" si="15"/>
        <v>84.059467105846508</v>
      </c>
      <c r="I120" s="204">
        <v>6387</v>
      </c>
      <c r="J120" s="203">
        <f t="shared" si="16"/>
        <v>510.96</v>
      </c>
      <c r="K120" s="204">
        <v>655</v>
      </c>
      <c r="L120" s="203">
        <f t="shared" si="17"/>
        <v>8.7167610676706655</v>
      </c>
      <c r="M120" s="205">
        <f t="shared" si="18"/>
        <v>42.72</v>
      </c>
      <c r="N120" s="204">
        <v>2885</v>
      </c>
      <c r="O120" s="203">
        <f t="shared" si="19"/>
        <v>384.66666666666669</v>
      </c>
      <c r="P120" s="204">
        <v>460</v>
      </c>
      <c r="Q120" s="203">
        <f t="shared" si="20"/>
        <v>5.8584077076257763</v>
      </c>
      <c r="R120" s="204">
        <f t="shared" si="21"/>
        <v>18.72</v>
      </c>
      <c r="S120" s="205"/>
      <c r="T120" s="206"/>
    </row>
    <row r="121" spans="1:20" x14ac:dyDescent="0.25">
      <c r="A121" s="202" t="str">
        <f t="shared" si="11"/>
        <v>RECF  250*150*12.5</v>
      </c>
      <c r="B121" s="203">
        <f t="shared" si="12"/>
        <v>68.329298695843661</v>
      </c>
      <c r="C121" s="204">
        <v>250</v>
      </c>
      <c r="D121" s="204">
        <v>150</v>
      </c>
      <c r="E121" s="204">
        <v>12.5</v>
      </c>
      <c r="F121" s="204">
        <f t="shared" si="13"/>
        <v>25</v>
      </c>
      <c r="G121" s="204">
        <f t="shared" si="14"/>
        <v>37.5</v>
      </c>
      <c r="H121" s="203">
        <f t="shared" si="15"/>
        <v>87.043692606170268</v>
      </c>
      <c r="I121" s="204">
        <v>6553</v>
      </c>
      <c r="J121" s="203">
        <f t="shared" si="16"/>
        <v>524.24</v>
      </c>
      <c r="K121" s="204">
        <v>675</v>
      </c>
      <c r="L121" s="203">
        <f t="shared" si="17"/>
        <v>8.6766370441925726</v>
      </c>
      <c r="M121" s="205">
        <f t="shared" si="18"/>
        <v>43.75</v>
      </c>
      <c r="N121" s="204">
        <v>2956</v>
      </c>
      <c r="O121" s="203">
        <f t="shared" si="19"/>
        <v>394.13333333333333</v>
      </c>
      <c r="P121" s="204">
        <v>474</v>
      </c>
      <c r="Q121" s="203">
        <f t="shared" si="20"/>
        <v>5.8275171671442152</v>
      </c>
      <c r="R121" s="204">
        <f t="shared" si="21"/>
        <v>18.75</v>
      </c>
      <c r="S121" s="205"/>
      <c r="T121" s="206"/>
    </row>
    <row r="122" spans="1:20" x14ac:dyDescent="0.25">
      <c r="A122" s="207" t="str">
        <f t="shared" si="11"/>
        <v>RECF  250*150*16</v>
      </c>
      <c r="B122" s="208">
        <f t="shared" si="12"/>
        <v>83.816322983270254</v>
      </c>
      <c r="C122" s="209">
        <v>250</v>
      </c>
      <c r="D122" s="209">
        <v>150</v>
      </c>
      <c r="E122" s="209">
        <v>16</v>
      </c>
      <c r="F122" s="209">
        <f t="shared" si="13"/>
        <v>32</v>
      </c>
      <c r="G122" s="209">
        <f t="shared" si="14"/>
        <v>48</v>
      </c>
      <c r="H122" s="208">
        <f t="shared" si="15"/>
        <v>106.77238596594937</v>
      </c>
      <c r="I122" s="209">
        <v>7496</v>
      </c>
      <c r="J122" s="208">
        <f t="shared" si="16"/>
        <v>599.67999999999995</v>
      </c>
      <c r="K122" s="209">
        <v>798</v>
      </c>
      <c r="L122" s="208">
        <f t="shared" si="17"/>
        <v>8.3788673528207127</v>
      </c>
      <c r="M122" s="210">
        <f t="shared" si="18"/>
        <v>49.28</v>
      </c>
      <c r="N122" s="209">
        <v>3359</v>
      </c>
      <c r="O122" s="208">
        <f t="shared" si="19"/>
        <v>447.86666666666667</v>
      </c>
      <c r="P122" s="209">
        <v>559</v>
      </c>
      <c r="Q122" s="208">
        <f t="shared" si="20"/>
        <v>5.6088719867968058</v>
      </c>
      <c r="R122" s="209">
        <f t="shared" si="21"/>
        <v>17.28</v>
      </c>
      <c r="S122" s="210"/>
      <c r="T122" s="211"/>
    </row>
    <row r="123" spans="1:20" x14ac:dyDescent="0.25">
      <c r="A123" s="194" t="str">
        <f t="shared" si="11"/>
        <v>RECF  260*180*5</v>
      </c>
      <c r="B123" s="195">
        <f t="shared" si="12"/>
        <v>33.249612674801</v>
      </c>
      <c r="C123" s="148">
        <v>260</v>
      </c>
      <c r="D123" s="148">
        <v>180</v>
      </c>
      <c r="E123" s="148">
        <v>5</v>
      </c>
      <c r="F123" s="148">
        <f t="shared" si="13"/>
        <v>5</v>
      </c>
      <c r="G123" s="148">
        <f t="shared" si="14"/>
        <v>10</v>
      </c>
      <c r="H123" s="195">
        <f t="shared" si="15"/>
        <v>42.356194490192351</v>
      </c>
      <c r="I123" s="148">
        <v>4119</v>
      </c>
      <c r="J123" s="195">
        <f t="shared" si="16"/>
        <v>316.84615384615387</v>
      </c>
      <c r="K123" s="148">
        <v>377</v>
      </c>
      <c r="L123" s="195">
        <f t="shared" si="17"/>
        <v>9.8613739775295297</v>
      </c>
      <c r="M123" s="196">
        <f t="shared" si="18"/>
        <v>24</v>
      </c>
      <c r="N123" s="148">
        <v>2348</v>
      </c>
      <c r="O123" s="195">
        <f t="shared" si="19"/>
        <v>260.88888888888891</v>
      </c>
      <c r="P123" s="148">
        <v>294</v>
      </c>
      <c r="Q123" s="195">
        <f t="shared" si="20"/>
        <v>7.4454436210118029</v>
      </c>
      <c r="R123" s="148">
        <f t="shared" si="21"/>
        <v>16</v>
      </c>
      <c r="S123" s="196"/>
      <c r="T123" s="148"/>
    </row>
    <row r="124" spans="1:20" x14ac:dyDescent="0.25">
      <c r="A124" s="194" t="str">
        <f t="shared" si="11"/>
        <v>RECF  260*180*6</v>
      </c>
      <c r="B124" s="195">
        <f t="shared" si="12"/>
        <v>39.589842251713428</v>
      </c>
      <c r="C124" s="148">
        <v>260</v>
      </c>
      <c r="D124" s="148">
        <v>180</v>
      </c>
      <c r="E124" s="148">
        <v>6</v>
      </c>
      <c r="F124" s="148">
        <f t="shared" si="13"/>
        <v>6</v>
      </c>
      <c r="G124" s="148">
        <f t="shared" si="14"/>
        <v>12</v>
      </c>
      <c r="H124" s="195">
        <f t="shared" si="15"/>
        <v>50.432920065876978</v>
      </c>
      <c r="I124" s="148">
        <v>4852</v>
      </c>
      <c r="J124" s="195">
        <f t="shared" si="16"/>
        <v>373.23076923076923</v>
      </c>
      <c r="K124" s="148">
        <v>447</v>
      </c>
      <c r="L124" s="195">
        <f t="shared" si="17"/>
        <v>9.8085167672934173</v>
      </c>
      <c r="M124" s="196">
        <f t="shared" si="18"/>
        <v>28.32</v>
      </c>
      <c r="N124" s="148">
        <v>2761</v>
      </c>
      <c r="O124" s="195">
        <f t="shared" si="19"/>
        <v>306.77777777777777</v>
      </c>
      <c r="P124" s="148">
        <v>348</v>
      </c>
      <c r="Q124" s="195">
        <f t="shared" si="20"/>
        <v>7.3990531334540979</v>
      </c>
      <c r="R124" s="148">
        <f t="shared" si="21"/>
        <v>18.72</v>
      </c>
      <c r="S124" s="196"/>
      <c r="T124" s="148"/>
    </row>
    <row r="125" spans="1:20" x14ac:dyDescent="0.25">
      <c r="A125" s="194" t="str">
        <f t="shared" si="11"/>
        <v>RECF  260*180*6.3</v>
      </c>
      <c r="B125" s="195">
        <f t="shared" si="12"/>
        <v>41.204330110018738</v>
      </c>
      <c r="C125" s="148">
        <v>260</v>
      </c>
      <c r="D125" s="148">
        <v>180</v>
      </c>
      <c r="E125" s="148">
        <v>6.3</v>
      </c>
      <c r="F125" s="148">
        <f t="shared" si="13"/>
        <v>9.4499999999999993</v>
      </c>
      <c r="G125" s="148">
        <f t="shared" si="14"/>
        <v>15.75</v>
      </c>
      <c r="H125" s="195">
        <f t="shared" si="15"/>
        <v>52.489592496839158</v>
      </c>
      <c r="I125" s="148">
        <v>5005</v>
      </c>
      <c r="J125" s="195">
        <f t="shared" si="16"/>
        <v>385</v>
      </c>
      <c r="K125" s="148">
        <v>463</v>
      </c>
      <c r="L125" s="195">
        <f t="shared" si="17"/>
        <v>9.7648469411800196</v>
      </c>
      <c r="M125" s="196">
        <f t="shared" si="18"/>
        <v>28.791</v>
      </c>
      <c r="N125" s="148">
        <v>2851</v>
      </c>
      <c r="O125" s="195">
        <f t="shared" si="19"/>
        <v>316.77777777777777</v>
      </c>
      <c r="P125" s="148">
        <v>360</v>
      </c>
      <c r="Q125" s="195">
        <f t="shared" si="20"/>
        <v>7.3699070085792355</v>
      </c>
      <c r="R125" s="148">
        <f t="shared" si="21"/>
        <v>18.710999999999999</v>
      </c>
      <c r="S125" s="196"/>
      <c r="T125" s="148"/>
    </row>
    <row r="126" spans="1:20" x14ac:dyDescent="0.25">
      <c r="A126" s="194" t="str">
        <f t="shared" si="11"/>
        <v>RECF  260*180*8</v>
      </c>
      <c r="B126" s="195">
        <f t="shared" si="12"/>
        <v>51.529344596654056</v>
      </c>
      <c r="C126" s="148">
        <v>260</v>
      </c>
      <c r="D126" s="148">
        <v>180</v>
      </c>
      <c r="E126" s="148">
        <v>8</v>
      </c>
      <c r="F126" s="148">
        <f t="shared" si="13"/>
        <v>12</v>
      </c>
      <c r="G126" s="148">
        <f t="shared" si="14"/>
        <v>20</v>
      </c>
      <c r="H126" s="195">
        <f t="shared" si="15"/>
        <v>65.642477193189876</v>
      </c>
      <c r="I126" s="148">
        <v>6130</v>
      </c>
      <c r="J126" s="195">
        <f t="shared" si="16"/>
        <v>471.53846153846155</v>
      </c>
      <c r="K126" s="148">
        <v>572</v>
      </c>
      <c r="L126" s="195">
        <f t="shared" si="17"/>
        <v>9.6635735465403432</v>
      </c>
      <c r="M126" s="196">
        <f t="shared" si="18"/>
        <v>35.200000000000003</v>
      </c>
      <c r="N126" s="148">
        <v>3483</v>
      </c>
      <c r="O126" s="195">
        <f t="shared" si="19"/>
        <v>387</v>
      </c>
      <c r="P126" s="148">
        <v>445</v>
      </c>
      <c r="Q126" s="195">
        <f t="shared" si="20"/>
        <v>7.2842401648900736</v>
      </c>
      <c r="R126" s="148">
        <f t="shared" si="21"/>
        <v>22.400000000000002</v>
      </c>
      <c r="S126" s="196"/>
      <c r="T126" s="148"/>
    </row>
    <row r="127" spans="1:20" x14ac:dyDescent="0.25">
      <c r="A127" s="194" t="str">
        <f t="shared" si="11"/>
        <v>RECF  260*180*10</v>
      </c>
      <c r="B127" s="195">
        <f t="shared" si="12"/>
        <v>63.24460093227195</v>
      </c>
      <c r="C127" s="148">
        <v>260</v>
      </c>
      <c r="D127" s="148">
        <v>180</v>
      </c>
      <c r="E127" s="148">
        <v>10</v>
      </c>
      <c r="F127" s="148">
        <f t="shared" si="13"/>
        <v>15</v>
      </c>
      <c r="G127" s="148">
        <f t="shared" si="14"/>
        <v>25</v>
      </c>
      <c r="H127" s="195">
        <f t="shared" si="15"/>
        <v>80.566370614359172</v>
      </c>
      <c r="I127" s="148">
        <v>7333</v>
      </c>
      <c r="J127" s="195">
        <f t="shared" si="16"/>
        <v>564.07692307692309</v>
      </c>
      <c r="K127" s="148">
        <v>693</v>
      </c>
      <c r="L127" s="195">
        <f t="shared" si="17"/>
        <v>9.5403419806140146</v>
      </c>
      <c r="M127" s="196">
        <f t="shared" si="18"/>
        <v>42</v>
      </c>
      <c r="N127" s="148">
        <v>4154</v>
      </c>
      <c r="O127" s="195">
        <f t="shared" si="19"/>
        <v>461.55555555555554</v>
      </c>
      <c r="P127" s="148">
        <v>538</v>
      </c>
      <c r="Q127" s="195">
        <f t="shared" si="20"/>
        <v>7.1805274402960473</v>
      </c>
      <c r="R127" s="148">
        <f t="shared" si="21"/>
        <v>26</v>
      </c>
      <c r="S127" s="196"/>
      <c r="T127" s="148"/>
    </row>
    <row r="128" spans="1:20" x14ac:dyDescent="0.25">
      <c r="A128" s="194" t="str">
        <f t="shared" si="11"/>
        <v>RECF  260*180*12</v>
      </c>
      <c r="B128" s="195">
        <f t="shared" si="12"/>
        <v>73.522681678089512</v>
      </c>
      <c r="C128" s="148">
        <v>260</v>
      </c>
      <c r="D128" s="148">
        <v>180</v>
      </c>
      <c r="E128" s="148">
        <v>12</v>
      </c>
      <c r="F128" s="148">
        <f t="shared" si="13"/>
        <v>24</v>
      </c>
      <c r="G128" s="148">
        <f t="shared" si="14"/>
        <v>36</v>
      </c>
      <c r="H128" s="195">
        <f t="shared" si="15"/>
        <v>93.659467105846502</v>
      </c>
      <c r="I128" s="148">
        <v>8171</v>
      </c>
      <c r="J128" s="195">
        <f t="shared" si="16"/>
        <v>628.53846153846155</v>
      </c>
      <c r="K128" s="148">
        <v>787</v>
      </c>
      <c r="L128" s="195">
        <f t="shared" si="17"/>
        <v>9.3403201845658685</v>
      </c>
      <c r="M128" s="196">
        <f t="shared" si="18"/>
        <v>45.12</v>
      </c>
      <c r="N128" s="148">
        <v>4630</v>
      </c>
      <c r="O128" s="195">
        <f t="shared" si="19"/>
        <v>514.44444444444446</v>
      </c>
      <c r="P128" s="148">
        <v>612</v>
      </c>
      <c r="Q128" s="195">
        <f t="shared" si="20"/>
        <v>7.0309604386901068</v>
      </c>
      <c r="R128" s="148">
        <f t="shared" si="21"/>
        <v>25.92</v>
      </c>
      <c r="S128" s="196"/>
      <c r="T128" s="148"/>
    </row>
    <row r="129" spans="1:20" x14ac:dyDescent="0.25">
      <c r="A129" s="194" t="str">
        <f t="shared" si="11"/>
        <v>RECF  260*180*12.5</v>
      </c>
      <c r="B129" s="195">
        <f t="shared" si="12"/>
        <v>76.17929869584367</v>
      </c>
      <c r="C129" s="148">
        <v>260</v>
      </c>
      <c r="D129" s="148">
        <v>180</v>
      </c>
      <c r="E129" s="148">
        <v>12.5</v>
      </c>
      <c r="F129" s="148">
        <f t="shared" si="13"/>
        <v>25</v>
      </c>
      <c r="G129" s="148">
        <f t="shared" si="14"/>
        <v>37.5</v>
      </c>
      <c r="H129" s="195">
        <f t="shared" si="15"/>
        <v>97.043692606170268</v>
      </c>
      <c r="I129" s="148">
        <v>8400</v>
      </c>
      <c r="J129" s="195">
        <f t="shared" si="16"/>
        <v>646.15384615384619</v>
      </c>
      <c r="K129" s="148">
        <v>812</v>
      </c>
      <c r="L129" s="195">
        <f t="shared" si="17"/>
        <v>9.3037061753586343</v>
      </c>
      <c r="M129" s="196">
        <f t="shared" si="18"/>
        <v>46.25</v>
      </c>
      <c r="N129" s="148">
        <v>4756</v>
      </c>
      <c r="O129" s="195">
        <f t="shared" si="19"/>
        <v>528.44444444444446</v>
      </c>
      <c r="P129" s="148">
        <v>631</v>
      </c>
      <c r="Q129" s="195">
        <f t="shared" si="20"/>
        <v>7.000632280366716</v>
      </c>
      <c r="R129" s="148">
        <f t="shared" si="21"/>
        <v>26.25</v>
      </c>
      <c r="S129" s="196"/>
      <c r="T129" s="148"/>
    </row>
    <row r="130" spans="1:20" x14ac:dyDescent="0.25">
      <c r="A130" s="194" t="str">
        <f t="shared" si="11"/>
        <v>RECF  260*180*16</v>
      </c>
      <c r="B130" s="195">
        <f t="shared" si="12"/>
        <v>93.864322983270256</v>
      </c>
      <c r="C130" s="148">
        <v>260</v>
      </c>
      <c r="D130" s="148">
        <v>180</v>
      </c>
      <c r="E130" s="148">
        <v>16</v>
      </c>
      <c r="F130" s="148">
        <f t="shared" si="13"/>
        <v>32</v>
      </c>
      <c r="G130" s="148">
        <f t="shared" si="14"/>
        <v>48</v>
      </c>
      <c r="H130" s="195">
        <f t="shared" si="15"/>
        <v>119.57238596594937</v>
      </c>
      <c r="I130" s="148">
        <v>9752</v>
      </c>
      <c r="J130" s="195">
        <f t="shared" si="16"/>
        <v>750.15384615384619</v>
      </c>
      <c r="K130" s="148">
        <v>970</v>
      </c>
      <c r="L130" s="195">
        <f t="shared" si="17"/>
        <v>9.0309075968069248</v>
      </c>
      <c r="M130" s="196">
        <f t="shared" si="18"/>
        <v>52.480000000000004</v>
      </c>
      <c r="N130" s="148">
        <v>5499</v>
      </c>
      <c r="O130" s="195">
        <f t="shared" si="19"/>
        <v>611</v>
      </c>
      <c r="P130" s="148">
        <v>752</v>
      </c>
      <c r="Q130" s="195">
        <f t="shared" si="20"/>
        <v>6.7815100887798039</v>
      </c>
      <c r="R130" s="148">
        <f t="shared" si="21"/>
        <v>26.88</v>
      </c>
      <c r="S130" s="196"/>
      <c r="T130" s="148"/>
    </row>
    <row r="131" spans="1:20" x14ac:dyDescent="0.25">
      <c r="A131" s="197" t="str">
        <f t="shared" si="11"/>
        <v>RECF  300*100*6</v>
      </c>
      <c r="B131" s="198">
        <f t="shared" si="12"/>
        <v>35.821842251713434</v>
      </c>
      <c r="C131" s="199">
        <v>300</v>
      </c>
      <c r="D131" s="199">
        <v>100</v>
      </c>
      <c r="E131" s="199">
        <v>6</v>
      </c>
      <c r="F131" s="199">
        <f t="shared" si="13"/>
        <v>6</v>
      </c>
      <c r="G131" s="199">
        <f t="shared" si="14"/>
        <v>12</v>
      </c>
      <c r="H131" s="198">
        <f t="shared" si="15"/>
        <v>45.632920065876981</v>
      </c>
      <c r="I131" s="199">
        <v>4772</v>
      </c>
      <c r="J131" s="198">
        <f t="shared" si="16"/>
        <v>318.13333333333333</v>
      </c>
      <c r="K131" s="199">
        <v>411</v>
      </c>
      <c r="L131" s="198">
        <f t="shared" si="17"/>
        <v>10.226124771150914</v>
      </c>
      <c r="M131" s="200">
        <f t="shared" si="18"/>
        <v>33.119999999999997</v>
      </c>
      <c r="N131" s="199">
        <v>841</v>
      </c>
      <c r="O131" s="198">
        <f t="shared" si="19"/>
        <v>168.2</v>
      </c>
      <c r="P131" s="199">
        <v>188</v>
      </c>
      <c r="Q131" s="198">
        <f t="shared" si="20"/>
        <v>4.2929800250728354</v>
      </c>
      <c r="R131" s="199">
        <f t="shared" si="21"/>
        <v>9.120000000000001</v>
      </c>
      <c r="S131" s="200"/>
      <c r="T131" s="201"/>
    </row>
    <row r="132" spans="1:20" x14ac:dyDescent="0.25">
      <c r="A132" s="202" t="str">
        <f t="shared" si="11"/>
        <v>RECF  300*100*6.3</v>
      </c>
      <c r="B132" s="203">
        <f t="shared" si="12"/>
        <v>37.247930110018743</v>
      </c>
      <c r="C132" s="204">
        <v>300</v>
      </c>
      <c r="D132" s="204">
        <v>100</v>
      </c>
      <c r="E132" s="204">
        <v>6.3</v>
      </c>
      <c r="F132" s="204">
        <f t="shared" si="13"/>
        <v>9.4499999999999993</v>
      </c>
      <c r="G132" s="204">
        <f t="shared" si="14"/>
        <v>15.75</v>
      </c>
      <c r="H132" s="203">
        <f t="shared" si="15"/>
        <v>47.449592496839159</v>
      </c>
      <c r="I132" s="204">
        <v>4898</v>
      </c>
      <c r="J132" s="203">
        <f t="shared" si="16"/>
        <v>326.53333333333336</v>
      </c>
      <c r="K132" s="204">
        <v>425</v>
      </c>
      <c r="L132" s="203">
        <f t="shared" si="17"/>
        <v>10.159986874539943</v>
      </c>
      <c r="M132" s="205">
        <f t="shared" si="18"/>
        <v>33.831000000000003</v>
      </c>
      <c r="N132" s="204">
        <v>865</v>
      </c>
      <c r="O132" s="203">
        <f t="shared" si="19"/>
        <v>173</v>
      </c>
      <c r="P132" s="204">
        <v>194</v>
      </c>
      <c r="Q132" s="203">
        <f t="shared" si="20"/>
        <v>4.2696454242846062</v>
      </c>
      <c r="R132" s="204">
        <f t="shared" si="21"/>
        <v>8.6310000000000002</v>
      </c>
      <c r="S132" s="205"/>
      <c r="T132" s="206"/>
    </row>
    <row r="133" spans="1:20" x14ac:dyDescent="0.25">
      <c r="A133" s="202" t="str">
        <f t="shared" ref="A133:A168" si="22">$B$3&amp;"  "&amp;C133&amp;"*"&amp;D133&amp;"*"&amp;E133</f>
        <v>RECF  300*100*8</v>
      </c>
      <c r="B133" s="203">
        <f t="shared" ref="B133:B196" si="23">H133*0.785</f>
        <v>46.505344596654048</v>
      </c>
      <c r="C133" s="204">
        <v>300</v>
      </c>
      <c r="D133" s="204">
        <v>100</v>
      </c>
      <c r="E133" s="204">
        <v>8</v>
      </c>
      <c r="F133" s="204">
        <f t="shared" ref="F133:F196" si="24">IF(E133&lt;=6,1*E133,IF(E133&lt;=10,1.5*E133,2*E133))</f>
        <v>12</v>
      </c>
      <c r="G133" s="204">
        <f t="shared" ref="G133:G196" si="25">IF(E133&lt;=6,2*E133,IF(E133&lt;=10,2.5*E133,3*E133))</f>
        <v>20</v>
      </c>
      <c r="H133" s="203">
        <f t="shared" ref="H133:H196" si="26">(2*(C133-2*G133)*E133+2*(D133-2*G133)*E133+PI()*(G133^2-F133^2))*0.01</f>
        <v>59.24247719318987</v>
      </c>
      <c r="I133" s="204">
        <v>5960</v>
      </c>
      <c r="J133" s="203">
        <f t="shared" ref="J133:J196" si="27">I133/(0.5*C133*0.1)</f>
        <v>397.33333333333331</v>
      </c>
      <c r="K133" s="204">
        <v>523</v>
      </c>
      <c r="L133" s="203">
        <f t="shared" ref="L133:L196" si="28">SQRT(I133/H133)</f>
        <v>10.030129143906976</v>
      </c>
      <c r="M133" s="205">
        <f t="shared" ref="M133:M196" si="29">2*(C133-2*G133)*E133*0.01</f>
        <v>41.6</v>
      </c>
      <c r="N133" s="204">
        <v>1039</v>
      </c>
      <c r="O133" s="203">
        <f t="shared" ref="O133:O196" si="30">N133/(0.5*D133*0.1)</f>
        <v>207.8</v>
      </c>
      <c r="P133" s="204">
        <v>238</v>
      </c>
      <c r="Q133" s="203">
        <f t="shared" ref="Q133:Q196" si="31">SQRT(N133/H133)</f>
        <v>4.1878504917638715</v>
      </c>
      <c r="R133" s="204">
        <f t="shared" ref="R133:R196" si="32">2*(D133-2*G133)*E133*0.01</f>
        <v>9.6</v>
      </c>
      <c r="S133" s="205"/>
      <c r="T133" s="206"/>
    </row>
    <row r="134" spans="1:20" x14ac:dyDescent="0.25">
      <c r="A134" s="202" t="str">
        <f t="shared" si="22"/>
        <v>RECF  300*100*10</v>
      </c>
      <c r="B134" s="203">
        <f t="shared" si="23"/>
        <v>56.964600932271949</v>
      </c>
      <c r="C134" s="204">
        <v>300</v>
      </c>
      <c r="D134" s="204">
        <v>100</v>
      </c>
      <c r="E134" s="204">
        <v>10</v>
      </c>
      <c r="F134" s="204">
        <f t="shared" si="24"/>
        <v>15</v>
      </c>
      <c r="G134" s="204">
        <f t="shared" si="25"/>
        <v>25</v>
      </c>
      <c r="H134" s="203">
        <f t="shared" si="26"/>
        <v>72.566370614359172</v>
      </c>
      <c r="I134" s="204">
        <v>7071</v>
      </c>
      <c r="J134" s="203">
        <f t="shared" si="27"/>
        <v>471.4</v>
      </c>
      <c r="K134" s="204">
        <v>630</v>
      </c>
      <c r="L134" s="203">
        <f t="shared" si="28"/>
        <v>9.8712628726588072</v>
      </c>
      <c r="M134" s="205">
        <f t="shared" si="29"/>
        <v>50</v>
      </c>
      <c r="N134" s="204">
        <v>1213</v>
      </c>
      <c r="O134" s="203">
        <f t="shared" si="30"/>
        <v>242.6</v>
      </c>
      <c r="P134" s="204">
        <v>284</v>
      </c>
      <c r="Q134" s="203">
        <f t="shared" si="31"/>
        <v>4.0884877342502319</v>
      </c>
      <c r="R134" s="204">
        <f t="shared" si="32"/>
        <v>10</v>
      </c>
      <c r="S134" s="205"/>
      <c r="T134" s="206"/>
    </row>
    <row r="135" spans="1:20" x14ac:dyDescent="0.25">
      <c r="A135" s="202" t="str">
        <f t="shared" si="22"/>
        <v>RECF  300*100*12</v>
      </c>
      <c r="B135" s="203">
        <f t="shared" si="23"/>
        <v>65.986681678089511</v>
      </c>
      <c r="C135" s="204">
        <v>300</v>
      </c>
      <c r="D135" s="204">
        <v>100</v>
      </c>
      <c r="E135" s="204">
        <v>12</v>
      </c>
      <c r="F135" s="204">
        <f t="shared" si="24"/>
        <v>24</v>
      </c>
      <c r="G135" s="204">
        <f t="shared" si="25"/>
        <v>36</v>
      </c>
      <c r="H135" s="203">
        <f t="shared" si="26"/>
        <v>84.059467105846508</v>
      </c>
      <c r="I135" s="204">
        <v>7723</v>
      </c>
      <c r="J135" s="203">
        <f t="shared" si="27"/>
        <v>514.86666666666667</v>
      </c>
      <c r="K135" s="204">
        <v>707</v>
      </c>
      <c r="L135" s="203">
        <f t="shared" si="28"/>
        <v>9.585167381762119</v>
      </c>
      <c r="M135" s="205">
        <f t="shared" si="29"/>
        <v>54.72</v>
      </c>
      <c r="N135" s="204">
        <v>1317</v>
      </c>
      <c r="O135" s="203">
        <f t="shared" si="30"/>
        <v>263.39999999999998</v>
      </c>
      <c r="P135" s="204">
        <v>318</v>
      </c>
      <c r="Q135" s="203">
        <f t="shared" si="31"/>
        <v>3.9582167406223632</v>
      </c>
      <c r="R135" s="204">
        <f t="shared" si="32"/>
        <v>6.72</v>
      </c>
      <c r="S135" s="205"/>
      <c r="T135" s="206"/>
    </row>
    <row r="136" spans="1:20" x14ac:dyDescent="0.25">
      <c r="A136" s="202" t="str">
        <f t="shared" si="22"/>
        <v>RECF  300*100*12.5</v>
      </c>
      <c r="B136" s="203">
        <f t="shared" si="23"/>
        <v>68.329298695843661</v>
      </c>
      <c r="C136" s="204">
        <v>300</v>
      </c>
      <c r="D136" s="204">
        <v>100</v>
      </c>
      <c r="E136" s="204">
        <v>12.5</v>
      </c>
      <c r="F136" s="204">
        <f t="shared" si="24"/>
        <v>25</v>
      </c>
      <c r="G136" s="204">
        <f t="shared" si="25"/>
        <v>37.5</v>
      </c>
      <c r="H136" s="203">
        <f t="shared" si="26"/>
        <v>87.043692606170268</v>
      </c>
      <c r="I136" s="204">
        <v>7913</v>
      </c>
      <c r="J136" s="203">
        <f t="shared" si="27"/>
        <v>527.5333333333333</v>
      </c>
      <c r="K136" s="204">
        <v>728</v>
      </c>
      <c r="L136" s="203">
        <f t="shared" si="28"/>
        <v>9.5345879588982871</v>
      </c>
      <c r="M136" s="205">
        <f t="shared" si="29"/>
        <v>56.25</v>
      </c>
      <c r="N136" s="204">
        <v>1345</v>
      </c>
      <c r="O136" s="203">
        <f t="shared" si="30"/>
        <v>269</v>
      </c>
      <c r="P136" s="204">
        <v>327</v>
      </c>
      <c r="Q136" s="203">
        <f t="shared" si="31"/>
        <v>3.9309044635227406</v>
      </c>
      <c r="R136" s="204">
        <f t="shared" si="32"/>
        <v>6.25</v>
      </c>
      <c r="S136" s="205"/>
      <c r="T136" s="206"/>
    </row>
    <row r="137" spans="1:20" x14ac:dyDescent="0.25">
      <c r="A137" s="207" t="str">
        <f t="shared" si="22"/>
        <v>RECF  300*100*16</v>
      </c>
      <c r="B137" s="208">
        <f t="shared" si="23"/>
        <v>83.816322983270254</v>
      </c>
      <c r="C137" s="209">
        <v>300</v>
      </c>
      <c r="D137" s="209">
        <v>100</v>
      </c>
      <c r="E137" s="209">
        <v>16</v>
      </c>
      <c r="F137" s="209">
        <f t="shared" si="24"/>
        <v>32</v>
      </c>
      <c r="G137" s="209">
        <f t="shared" si="25"/>
        <v>48</v>
      </c>
      <c r="H137" s="208">
        <f t="shared" si="26"/>
        <v>106.77238596594937</v>
      </c>
      <c r="I137" s="209">
        <v>8958</v>
      </c>
      <c r="J137" s="208">
        <f t="shared" si="27"/>
        <v>597.20000000000005</v>
      </c>
      <c r="K137" s="209">
        <v>858</v>
      </c>
      <c r="L137" s="208">
        <f t="shared" si="28"/>
        <v>9.1595904411554923</v>
      </c>
      <c r="M137" s="210">
        <f t="shared" si="29"/>
        <v>65.28</v>
      </c>
      <c r="N137" s="209">
        <v>1485</v>
      </c>
      <c r="O137" s="208">
        <f t="shared" si="30"/>
        <v>297</v>
      </c>
      <c r="P137" s="209">
        <v>379</v>
      </c>
      <c r="Q137" s="208">
        <f t="shared" si="31"/>
        <v>3.7293552304966537</v>
      </c>
      <c r="R137" s="209">
        <f t="shared" si="32"/>
        <v>1.28</v>
      </c>
      <c r="S137" s="210"/>
      <c r="T137" s="211"/>
    </row>
    <row r="138" spans="1:20" x14ac:dyDescent="0.25">
      <c r="A138" s="194" t="str">
        <f t="shared" si="22"/>
        <v>RECF  300*150*6</v>
      </c>
      <c r="B138" s="195">
        <f t="shared" si="23"/>
        <v>40.531842251713428</v>
      </c>
      <c r="C138" s="148">
        <v>300</v>
      </c>
      <c r="D138" s="148">
        <v>150</v>
      </c>
      <c r="E138" s="148">
        <v>6</v>
      </c>
      <c r="F138" s="148">
        <f t="shared" si="24"/>
        <v>6</v>
      </c>
      <c r="G138" s="148">
        <f t="shared" si="25"/>
        <v>12</v>
      </c>
      <c r="H138" s="195">
        <f t="shared" si="26"/>
        <v>51.632920065876981</v>
      </c>
      <c r="I138" s="148">
        <v>6069</v>
      </c>
      <c r="J138" s="195">
        <f t="shared" si="27"/>
        <v>404.6</v>
      </c>
      <c r="K138" s="148">
        <v>499</v>
      </c>
      <c r="L138" s="195">
        <f t="shared" si="28"/>
        <v>10.841646065031496</v>
      </c>
      <c r="M138" s="196">
        <f t="shared" si="29"/>
        <v>33.119999999999997</v>
      </c>
      <c r="N138" s="148">
        <v>2077</v>
      </c>
      <c r="O138" s="195">
        <f t="shared" si="30"/>
        <v>276.93333333333334</v>
      </c>
      <c r="P138" s="148">
        <v>309</v>
      </c>
      <c r="Q138" s="195">
        <f t="shared" si="31"/>
        <v>6.3424186391208277</v>
      </c>
      <c r="R138" s="148">
        <f t="shared" si="32"/>
        <v>15.120000000000001</v>
      </c>
      <c r="S138" s="196"/>
      <c r="T138" s="148"/>
    </row>
    <row r="139" spans="1:20" x14ac:dyDescent="0.25">
      <c r="A139" s="194" t="str">
        <f t="shared" si="22"/>
        <v>RECF  300*150*6.3</v>
      </c>
      <c r="B139" s="195">
        <f t="shared" si="23"/>
        <v>42.193430110018745</v>
      </c>
      <c r="C139" s="148">
        <v>300</v>
      </c>
      <c r="D139" s="148">
        <v>150</v>
      </c>
      <c r="E139" s="148">
        <v>6.3</v>
      </c>
      <c r="F139" s="148">
        <f t="shared" si="24"/>
        <v>9.4499999999999993</v>
      </c>
      <c r="G139" s="148">
        <f t="shared" si="25"/>
        <v>15.75</v>
      </c>
      <c r="H139" s="195">
        <f t="shared" si="26"/>
        <v>53.749592496839163</v>
      </c>
      <c r="I139" s="148">
        <v>6257</v>
      </c>
      <c r="J139" s="195">
        <f t="shared" si="27"/>
        <v>417.13333333333333</v>
      </c>
      <c r="K139" s="148">
        <v>517</v>
      </c>
      <c r="L139" s="195">
        <f t="shared" si="28"/>
        <v>10.789355165349841</v>
      </c>
      <c r="M139" s="196">
        <f t="shared" si="29"/>
        <v>33.831000000000003</v>
      </c>
      <c r="N139" s="148">
        <v>2146</v>
      </c>
      <c r="O139" s="195">
        <f t="shared" si="30"/>
        <v>286.13333333333333</v>
      </c>
      <c r="P139" s="148">
        <v>321</v>
      </c>
      <c r="Q139" s="195">
        <f t="shared" si="31"/>
        <v>6.3186932265784739</v>
      </c>
      <c r="R139" s="148">
        <f t="shared" si="32"/>
        <v>14.930999999999999</v>
      </c>
      <c r="S139" s="196"/>
      <c r="T139" s="148"/>
    </row>
    <row r="140" spans="1:20" x14ac:dyDescent="0.25">
      <c r="A140" s="194" t="str">
        <f t="shared" si="22"/>
        <v>RECF  300*150*8</v>
      </c>
      <c r="B140" s="195">
        <f t="shared" si="23"/>
        <v>52.785344596654049</v>
      </c>
      <c r="C140" s="148">
        <v>300</v>
      </c>
      <c r="D140" s="148">
        <v>150</v>
      </c>
      <c r="E140" s="148">
        <v>8</v>
      </c>
      <c r="F140" s="148">
        <f t="shared" si="24"/>
        <v>12</v>
      </c>
      <c r="G140" s="148">
        <f t="shared" si="25"/>
        <v>20</v>
      </c>
      <c r="H140" s="195">
        <f t="shared" si="26"/>
        <v>67.24247719318987</v>
      </c>
      <c r="I140" s="148">
        <v>7666</v>
      </c>
      <c r="J140" s="195">
        <f t="shared" si="27"/>
        <v>511.06666666666666</v>
      </c>
      <c r="K140" s="148">
        <v>640</v>
      </c>
      <c r="L140" s="195">
        <f t="shared" si="28"/>
        <v>10.677327290416073</v>
      </c>
      <c r="M140" s="196">
        <f t="shared" si="29"/>
        <v>41.6</v>
      </c>
      <c r="N140" s="148">
        <v>2614</v>
      </c>
      <c r="O140" s="195">
        <f t="shared" si="30"/>
        <v>348.53333333333336</v>
      </c>
      <c r="P140" s="148">
        <v>396</v>
      </c>
      <c r="Q140" s="195">
        <f t="shared" si="31"/>
        <v>6.2349207754561213</v>
      </c>
      <c r="R140" s="148">
        <f t="shared" si="32"/>
        <v>17.600000000000001</v>
      </c>
      <c r="S140" s="196"/>
      <c r="T140" s="148"/>
    </row>
    <row r="141" spans="1:20" x14ac:dyDescent="0.25">
      <c r="A141" s="194" t="str">
        <f t="shared" si="22"/>
        <v>RECF  300*150*10</v>
      </c>
      <c r="B141" s="195">
        <f t="shared" si="23"/>
        <v>64.814600932271958</v>
      </c>
      <c r="C141" s="148">
        <v>300</v>
      </c>
      <c r="D141" s="148">
        <v>150</v>
      </c>
      <c r="E141" s="148">
        <v>10</v>
      </c>
      <c r="F141" s="148">
        <f t="shared" si="24"/>
        <v>15</v>
      </c>
      <c r="G141" s="148">
        <f t="shared" si="25"/>
        <v>25</v>
      </c>
      <c r="H141" s="195">
        <f t="shared" si="26"/>
        <v>82.566370614359172</v>
      </c>
      <c r="I141" s="148">
        <v>9174</v>
      </c>
      <c r="J141" s="195">
        <f t="shared" si="27"/>
        <v>611.6</v>
      </c>
      <c r="K141" s="148">
        <v>775</v>
      </c>
      <c r="L141" s="195">
        <f t="shared" si="28"/>
        <v>10.540901876425361</v>
      </c>
      <c r="M141" s="196">
        <f t="shared" si="29"/>
        <v>50</v>
      </c>
      <c r="N141" s="148">
        <v>3108</v>
      </c>
      <c r="O141" s="195">
        <f t="shared" si="30"/>
        <v>414.4</v>
      </c>
      <c r="P141" s="148">
        <v>478</v>
      </c>
      <c r="Q141" s="195">
        <f t="shared" si="31"/>
        <v>6.1353438547794807</v>
      </c>
      <c r="R141" s="148">
        <f t="shared" si="32"/>
        <v>20</v>
      </c>
      <c r="S141" s="196"/>
      <c r="T141" s="148"/>
    </row>
    <row r="142" spans="1:20" x14ac:dyDescent="0.25">
      <c r="A142" s="194" t="str">
        <f t="shared" si="22"/>
        <v>RECF  300*150*12</v>
      </c>
      <c r="B142" s="195">
        <f t="shared" si="23"/>
        <v>75.406681678089512</v>
      </c>
      <c r="C142" s="148">
        <v>300</v>
      </c>
      <c r="D142" s="148">
        <v>150</v>
      </c>
      <c r="E142" s="148">
        <v>12</v>
      </c>
      <c r="F142" s="148">
        <f t="shared" si="24"/>
        <v>24</v>
      </c>
      <c r="G142" s="148">
        <f t="shared" si="25"/>
        <v>36</v>
      </c>
      <c r="H142" s="195">
        <f t="shared" si="26"/>
        <v>96.059467105846508</v>
      </c>
      <c r="I142" s="148">
        <v>10213</v>
      </c>
      <c r="J142" s="195">
        <f t="shared" si="27"/>
        <v>680.86666666666667</v>
      </c>
      <c r="K142" s="148">
        <v>880</v>
      </c>
      <c r="L142" s="195">
        <f t="shared" si="28"/>
        <v>10.311137527997696</v>
      </c>
      <c r="M142" s="196">
        <f t="shared" si="29"/>
        <v>54.72</v>
      </c>
      <c r="N142" s="148">
        <v>3457</v>
      </c>
      <c r="O142" s="195">
        <f t="shared" si="30"/>
        <v>460.93333333333334</v>
      </c>
      <c r="P142" s="148">
        <v>543</v>
      </c>
      <c r="Q142" s="195">
        <f t="shared" si="31"/>
        <v>5.9990102399177774</v>
      </c>
      <c r="R142" s="148">
        <f t="shared" si="32"/>
        <v>18.72</v>
      </c>
      <c r="S142" s="196"/>
      <c r="T142" s="148"/>
    </row>
    <row r="143" spans="1:20" x14ac:dyDescent="0.25">
      <c r="A143" s="194" t="str">
        <f t="shared" si="22"/>
        <v>RECF  300*150*12.5</v>
      </c>
      <c r="B143" s="195">
        <f t="shared" si="23"/>
        <v>78.141798695843661</v>
      </c>
      <c r="C143" s="148">
        <v>300</v>
      </c>
      <c r="D143" s="148">
        <v>150</v>
      </c>
      <c r="E143" s="148">
        <v>12.5</v>
      </c>
      <c r="F143" s="148">
        <f t="shared" si="24"/>
        <v>25</v>
      </c>
      <c r="G143" s="148">
        <f t="shared" si="25"/>
        <v>37.5</v>
      </c>
      <c r="H143" s="195">
        <f t="shared" si="26"/>
        <v>99.543692606170268</v>
      </c>
      <c r="I143" s="148">
        <v>10498</v>
      </c>
      <c r="J143" s="195">
        <f t="shared" si="27"/>
        <v>699.86666666666667</v>
      </c>
      <c r="K143" s="148">
        <v>908</v>
      </c>
      <c r="L143" s="195">
        <f t="shared" si="28"/>
        <v>10.269431696941661</v>
      </c>
      <c r="M143" s="196">
        <f t="shared" si="29"/>
        <v>56.25</v>
      </c>
      <c r="N143" s="148">
        <v>3549</v>
      </c>
      <c r="O143" s="195">
        <f t="shared" si="30"/>
        <v>473.2</v>
      </c>
      <c r="P143" s="148">
        <v>560</v>
      </c>
      <c r="Q143" s="195">
        <f t="shared" si="31"/>
        <v>5.9709870073208231</v>
      </c>
      <c r="R143" s="148">
        <f t="shared" si="32"/>
        <v>18.75</v>
      </c>
      <c r="S143" s="196"/>
      <c r="T143" s="148"/>
    </row>
    <row r="144" spans="1:20" x14ac:dyDescent="0.25">
      <c r="A144" s="194" t="str">
        <f t="shared" si="22"/>
        <v>RECF  300*150*16</v>
      </c>
      <c r="B144" s="195">
        <f t="shared" si="23"/>
        <v>96.376322983270256</v>
      </c>
      <c r="C144" s="148">
        <v>300</v>
      </c>
      <c r="D144" s="148">
        <v>150</v>
      </c>
      <c r="E144" s="148">
        <v>16</v>
      </c>
      <c r="F144" s="148">
        <f t="shared" si="24"/>
        <v>32</v>
      </c>
      <c r="G144" s="148">
        <f t="shared" si="25"/>
        <v>48</v>
      </c>
      <c r="H144" s="195">
        <f t="shared" si="26"/>
        <v>122.77238596594937</v>
      </c>
      <c r="I144" s="148">
        <v>12188</v>
      </c>
      <c r="J144" s="195">
        <f t="shared" si="27"/>
        <v>812.5333333333333</v>
      </c>
      <c r="K144" s="148">
        <v>1085</v>
      </c>
      <c r="L144" s="195">
        <f t="shared" si="28"/>
        <v>9.9635906118821946</v>
      </c>
      <c r="M144" s="196">
        <f t="shared" si="29"/>
        <v>65.28</v>
      </c>
      <c r="N144" s="148">
        <v>4081</v>
      </c>
      <c r="O144" s="195">
        <f t="shared" si="30"/>
        <v>544.13333333333333</v>
      </c>
      <c r="P144" s="148">
        <v>666</v>
      </c>
      <c r="Q144" s="195">
        <f t="shared" si="31"/>
        <v>5.7654465382246576</v>
      </c>
      <c r="R144" s="148">
        <f t="shared" si="32"/>
        <v>17.28</v>
      </c>
      <c r="S144" s="196"/>
      <c r="T144" s="148"/>
    </row>
    <row r="145" spans="1:20" x14ac:dyDescent="0.25">
      <c r="A145" s="197" t="str">
        <f t="shared" si="22"/>
        <v>RECF  300*200*6</v>
      </c>
      <c r="B145" s="198">
        <f t="shared" si="23"/>
        <v>45.241842251713429</v>
      </c>
      <c r="C145" s="199">
        <v>300</v>
      </c>
      <c r="D145" s="199">
        <v>200</v>
      </c>
      <c r="E145" s="199">
        <v>6</v>
      </c>
      <c r="F145" s="199">
        <f t="shared" si="24"/>
        <v>6</v>
      </c>
      <c r="G145" s="199">
        <f t="shared" si="25"/>
        <v>12</v>
      </c>
      <c r="H145" s="198">
        <f t="shared" si="26"/>
        <v>57.632920065876981</v>
      </c>
      <c r="I145" s="199">
        <v>7365</v>
      </c>
      <c r="J145" s="198">
        <f t="shared" si="27"/>
        <v>491</v>
      </c>
      <c r="K145" s="199">
        <v>588</v>
      </c>
      <c r="L145" s="198">
        <f t="shared" si="28"/>
        <v>11.304492326877625</v>
      </c>
      <c r="M145" s="200">
        <f t="shared" si="29"/>
        <v>33.119999999999997</v>
      </c>
      <c r="N145" s="199">
        <v>3959</v>
      </c>
      <c r="O145" s="198">
        <f t="shared" si="30"/>
        <v>395.9</v>
      </c>
      <c r="P145" s="199">
        <v>446</v>
      </c>
      <c r="Q145" s="198">
        <f t="shared" si="31"/>
        <v>8.2881468758875396</v>
      </c>
      <c r="R145" s="199">
        <f t="shared" si="32"/>
        <v>21.12</v>
      </c>
      <c r="S145" s="200"/>
      <c r="T145" s="201"/>
    </row>
    <row r="146" spans="1:20" x14ac:dyDescent="0.25">
      <c r="A146" s="202" t="str">
        <f t="shared" si="22"/>
        <v>RECF  300*200*6.3</v>
      </c>
      <c r="B146" s="203">
        <f t="shared" si="23"/>
        <v>47.138930110018741</v>
      </c>
      <c r="C146" s="204">
        <v>300</v>
      </c>
      <c r="D146" s="204">
        <v>200</v>
      </c>
      <c r="E146" s="204">
        <v>6.3</v>
      </c>
      <c r="F146" s="204">
        <f t="shared" si="24"/>
        <v>9.4499999999999993</v>
      </c>
      <c r="G146" s="204">
        <f t="shared" si="25"/>
        <v>15.75</v>
      </c>
      <c r="H146" s="203">
        <f t="shared" si="26"/>
        <v>60.049592496839161</v>
      </c>
      <c r="I146" s="204">
        <v>7616</v>
      </c>
      <c r="J146" s="203">
        <f t="shared" si="27"/>
        <v>507.73333333333335</v>
      </c>
      <c r="K146" s="204">
        <v>610</v>
      </c>
      <c r="L146" s="203">
        <f t="shared" si="28"/>
        <v>11.261816207730106</v>
      </c>
      <c r="M146" s="205">
        <f t="shared" si="29"/>
        <v>33.831000000000003</v>
      </c>
      <c r="N146" s="204">
        <v>4098</v>
      </c>
      <c r="O146" s="203">
        <f t="shared" si="30"/>
        <v>409.8</v>
      </c>
      <c r="P146" s="204">
        <v>463</v>
      </c>
      <c r="Q146" s="203">
        <f t="shared" si="31"/>
        <v>8.2609680927728864</v>
      </c>
      <c r="R146" s="204">
        <f t="shared" si="32"/>
        <v>21.230999999999998</v>
      </c>
      <c r="S146" s="205"/>
      <c r="T146" s="206"/>
    </row>
    <row r="147" spans="1:20" x14ac:dyDescent="0.25">
      <c r="A147" s="202" t="str">
        <f t="shared" si="22"/>
        <v>RECF  300*200*8</v>
      </c>
      <c r="B147" s="203">
        <f t="shared" si="23"/>
        <v>59.06534459665405</v>
      </c>
      <c r="C147" s="204">
        <v>300</v>
      </c>
      <c r="D147" s="204">
        <v>200</v>
      </c>
      <c r="E147" s="204">
        <v>8</v>
      </c>
      <c r="F147" s="204">
        <f t="shared" si="24"/>
        <v>12</v>
      </c>
      <c r="G147" s="204">
        <f t="shared" si="25"/>
        <v>20</v>
      </c>
      <c r="H147" s="203">
        <f t="shared" si="26"/>
        <v>75.24247719318987</v>
      </c>
      <c r="I147" s="204">
        <v>9371</v>
      </c>
      <c r="J147" s="203">
        <f t="shared" si="27"/>
        <v>624.73333333333335</v>
      </c>
      <c r="K147" s="204">
        <v>756</v>
      </c>
      <c r="L147" s="203">
        <f t="shared" si="28"/>
        <v>11.159928863264977</v>
      </c>
      <c r="M147" s="205">
        <f t="shared" si="29"/>
        <v>41.6</v>
      </c>
      <c r="N147" s="204">
        <v>5030</v>
      </c>
      <c r="O147" s="203">
        <f t="shared" si="30"/>
        <v>503</v>
      </c>
      <c r="P147" s="204">
        <v>574</v>
      </c>
      <c r="Q147" s="203">
        <f t="shared" si="31"/>
        <v>8.1762177640952221</v>
      </c>
      <c r="R147" s="204">
        <f t="shared" si="32"/>
        <v>25.6</v>
      </c>
      <c r="S147" s="205"/>
      <c r="T147" s="206"/>
    </row>
    <row r="148" spans="1:20" x14ac:dyDescent="0.25">
      <c r="A148" s="202" t="str">
        <f t="shared" si="22"/>
        <v>RECF  300*200*10</v>
      </c>
      <c r="B148" s="203">
        <f t="shared" si="23"/>
        <v>72.664600932271952</v>
      </c>
      <c r="C148" s="204">
        <v>300</v>
      </c>
      <c r="D148" s="204">
        <v>200</v>
      </c>
      <c r="E148" s="204">
        <v>10</v>
      </c>
      <c r="F148" s="204">
        <f t="shared" si="24"/>
        <v>15</v>
      </c>
      <c r="G148" s="204">
        <f t="shared" si="25"/>
        <v>25</v>
      </c>
      <c r="H148" s="203">
        <f t="shared" si="26"/>
        <v>92.566370614359172</v>
      </c>
      <c r="I148" s="204">
        <v>11278</v>
      </c>
      <c r="J148" s="203">
        <f t="shared" si="27"/>
        <v>751.86666666666667</v>
      </c>
      <c r="K148" s="204">
        <v>920</v>
      </c>
      <c r="L148" s="203">
        <f t="shared" si="28"/>
        <v>11.037975534042998</v>
      </c>
      <c r="M148" s="205">
        <f t="shared" si="29"/>
        <v>50</v>
      </c>
      <c r="N148" s="204">
        <v>6035</v>
      </c>
      <c r="O148" s="203">
        <f t="shared" si="30"/>
        <v>603.5</v>
      </c>
      <c r="P148" s="204">
        <v>697</v>
      </c>
      <c r="Q148" s="203">
        <f t="shared" si="31"/>
        <v>8.0744327024662184</v>
      </c>
      <c r="R148" s="204">
        <f t="shared" si="32"/>
        <v>30</v>
      </c>
      <c r="S148" s="205"/>
      <c r="T148" s="206"/>
    </row>
    <row r="149" spans="1:20" x14ac:dyDescent="0.25">
      <c r="A149" s="202" t="str">
        <f t="shared" si="22"/>
        <v>RECF  300*200*12</v>
      </c>
      <c r="B149" s="203">
        <f t="shared" si="23"/>
        <v>84.826681678089514</v>
      </c>
      <c r="C149" s="204">
        <v>300</v>
      </c>
      <c r="D149" s="204">
        <v>200</v>
      </c>
      <c r="E149" s="204">
        <v>12</v>
      </c>
      <c r="F149" s="204">
        <f t="shared" si="24"/>
        <v>24</v>
      </c>
      <c r="G149" s="204">
        <f t="shared" si="25"/>
        <v>36</v>
      </c>
      <c r="H149" s="203">
        <f t="shared" si="26"/>
        <v>108.05946710584651</v>
      </c>
      <c r="I149" s="204">
        <v>12702</v>
      </c>
      <c r="J149" s="203">
        <f t="shared" si="27"/>
        <v>846.8</v>
      </c>
      <c r="K149" s="204">
        <v>1053</v>
      </c>
      <c r="L149" s="203">
        <f t="shared" si="28"/>
        <v>10.841881181808549</v>
      </c>
      <c r="M149" s="205">
        <f t="shared" si="29"/>
        <v>54.72</v>
      </c>
      <c r="N149" s="204">
        <v>6798</v>
      </c>
      <c r="O149" s="203">
        <f t="shared" si="30"/>
        <v>679.8</v>
      </c>
      <c r="P149" s="204">
        <v>798</v>
      </c>
      <c r="Q149" s="203">
        <f t="shared" si="31"/>
        <v>7.9315701448502978</v>
      </c>
      <c r="R149" s="204">
        <f t="shared" si="32"/>
        <v>30.72</v>
      </c>
      <c r="S149" s="205"/>
      <c r="T149" s="206"/>
    </row>
    <row r="150" spans="1:20" x14ac:dyDescent="0.25">
      <c r="A150" s="202" t="str">
        <f t="shared" si="22"/>
        <v>RECF  300*200*12.5</v>
      </c>
      <c r="B150" s="203">
        <f t="shared" si="23"/>
        <v>87.954298695843661</v>
      </c>
      <c r="C150" s="204">
        <v>300</v>
      </c>
      <c r="D150" s="204">
        <v>200</v>
      </c>
      <c r="E150" s="204">
        <v>12.5</v>
      </c>
      <c r="F150" s="204">
        <f t="shared" si="24"/>
        <v>25</v>
      </c>
      <c r="G150" s="204">
        <f t="shared" si="25"/>
        <v>37.5</v>
      </c>
      <c r="H150" s="203">
        <f t="shared" si="26"/>
        <v>112.04369260617027</v>
      </c>
      <c r="I150" s="204">
        <v>13082</v>
      </c>
      <c r="J150" s="203">
        <f t="shared" si="27"/>
        <v>872.13333333333333</v>
      </c>
      <c r="K150" s="204">
        <v>1088</v>
      </c>
      <c r="L150" s="203">
        <f t="shared" si="28"/>
        <v>10.805462630448771</v>
      </c>
      <c r="M150" s="205">
        <f t="shared" si="29"/>
        <v>56.25</v>
      </c>
      <c r="N150" s="204">
        <v>6997</v>
      </c>
      <c r="O150" s="203">
        <f t="shared" si="30"/>
        <v>699.7</v>
      </c>
      <c r="P150" s="204">
        <v>825</v>
      </c>
      <c r="Q150" s="203">
        <f t="shared" si="31"/>
        <v>7.9024586176972971</v>
      </c>
      <c r="R150" s="204">
        <f t="shared" si="32"/>
        <v>31.25</v>
      </c>
      <c r="S150" s="205"/>
      <c r="T150" s="206"/>
    </row>
    <row r="151" spans="1:20" x14ac:dyDescent="0.25">
      <c r="A151" s="207" t="str">
        <f t="shared" si="22"/>
        <v>RECF  300*200*16</v>
      </c>
      <c r="B151" s="208">
        <f t="shared" si="23"/>
        <v>108.93632298327024</v>
      </c>
      <c r="C151" s="209">
        <v>300</v>
      </c>
      <c r="D151" s="209">
        <v>200</v>
      </c>
      <c r="E151" s="209">
        <v>16</v>
      </c>
      <c r="F151" s="209">
        <f t="shared" si="24"/>
        <v>32</v>
      </c>
      <c r="G151" s="209">
        <f t="shared" si="25"/>
        <v>48</v>
      </c>
      <c r="H151" s="208">
        <f t="shared" si="26"/>
        <v>138.77238596594935</v>
      </c>
      <c r="I151" s="209">
        <v>15417</v>
      </c>
      <c r="J151" s="208">
        <f t="shared" si="27"/>
        <v>1027.8</v>
      </c>
      <c r="K151" s="209">
        <v>1312</v>
      </c>
      <c r="L151" s="208">
        <f t="shared" si="28"/>
        <v>10.540189244901876</v>
      </c>
      <c r="M151" s="210">
        <f t="shared" si="29"/>
        <v>65.28</v>
      </c>
      <c r="N151" s="209">
        <v>8212</v>
      </c>
      <c r="O151" s="208">
        <f t="shared" si="30"/>
        <v>821.2</v>
      </c>
      <c r="P151" s="209">
        <v>993</v>
      </c>
      <c r="Q151" s="208">
        <f t="shared" si="31"/>
        <v>7.6925963176376868</v>
      </c>
      <c r="R151" s="209">
        <f t="shared" si="32"/>
        <v>33.28</v>
      </c>
      <c r="S151" s="210"/>
      <c r="T151" s="211"/>
    </row>
    <row r="152" spans="1:20" x14ac:dyDescent="0.25">
      <c r="A152" s="194" t="str">
        <f t="shared" si="22"/>
        <v>RECF  350*250*6</v>
      </c>
      <c r="B152" s="195">
        <f t="shared" si="23"/>
        <v>54.661842251713423</v>
      </c>
      <c r="C152" s="148">
        <v>350</v>
      </c>
      <c r="D152" s="148">
        <v>250</v>
      </c>
      <c r="E152" s="148">
        <v>6</v>
      </c>
      <c r="F152" s="148">
        <f t="shared" si="24"/>
        <v>6</v>
      </c>
      <c r="G152" s="148">
        <f t="shared" si="25"/>
        <v>12</v>
      </c>
      <c r="H152" s="195">
        <f t="shared" si="26"/>
        <v>69.632920065876974</v>
      </c>
      <c r="I152" s="148">
        <v>12452</v>
      </c>
      <c r="J152" s="195">
        <f t="shared" si="27"/>
        <v>711.54285714285709</v>
      </c>
      <c r="K152" s="148">
        <v>842</v>
      </c>
      <c r="L152" s="195">
        <f t="shared" si="28"/>
        <v>13.372489086350054</v>
      </c>
      <c r="M152" s="196">
        <f t="shared" si="29"/>
        <v>39.119999999999997</v>
      </c>
      <c r="N152" s="148">
        <v>7454</v>
      </c>
      <c r="O152" s="195">
        <f t="shared" si="30"/>
        <v>596.32000000000005</v>
      </c>
      <c r="P152" s="148">
        <v>671</v>
      </c>
      <c r="Q152" s="195">
        <f t="shared" si="31"/>
        <v>10.34635534934338</v>
      </c>
      <c r="R152" s="148">
        <f t="shared" si="32"/>
        <v>27.12</v>
      </c>
      <c r="S152" s="196"/>
      <c r="T152" s="148"/>
    </row>
    <row r="153" spans="1:20" x14ac:dyDescent="0.25">
      <c r="A153" s="194" t="str">
        <f t="shared" si="22"/>
        <v>RECF  350*250*6.3</v>
      </c>
      <c r="B153" s="195">
        <f t="shared" si="23"/>
        <v>57.029930110018746</v>
      </c>
      <c r="C153" s="148">
        <v>350</v>
      </c>
      <c r="D153" s="148">
        <v>250</v>
      </c>
      <c r="E153" s="148">
        <v>6.3</v>
      </c>
      <c r="F153" s="148">
        <f t="shared" si="24"/>
        <v>9.4499999999999993</v>
      </c>
      <c r="G153" s="148">
        <f t="shared" si="25"/>
        <v>15.75</v>
      </c>
      <c r="H153" s="195">
        <f t="shared" si="26"/>
        <v>72.649592496839162</v>
      </c>
      <c r="I153" s="148">
        <v>13913</v>
      </c>
      <c r="J153" s="195">
        <f t="shared" si="27"/>
        <v>795.02857142857147</v>
      </c>
      <c r="K153" s="148">
        <v>876</v>
      </c>
      <c r="L153" s="195">
        <f t="shared" si="28"/>
        <v>13.838652413536579</v>
      </c>
      <c r="M153" s="196">
        <f t="shared" si="29"/>
        <v>40.131</v>
      </c>
      <c r="N153" s="148">
        <v>7736</v>
      </c>
      <c r="O153" s="195">
        <f t="shared" si="30"/>
        <v>618.88</v>
      </c>
      <c r="P153" s="148">
        <v>698</v>
      </c>
      <c r="Q153" s="195">
        <f t="shared" si="31"/>
        <v>10.319095678178414</v>
      </c>
      <c r="R153" s="148">
        <f t="shared" si="32"/>
        <v>27.530999999999999</v>
      </c>
      <c r="S153" s="196"/>
      <c r="T153" s="148"/>
    </row>
    <row r="154" spans="1:20" x14ac:dyDescent="0.25">
      <c r="A154" s="194" t="str">
        <f t="shared" si="22"/>
        <v>RECF  350*250*8</v>
      </c>
      <c r="B154" s="195">
        <f t="shared" si="23"/>
        <v>71.62534459665406</v>
      </c>
      <c r="C154" s="148">
        <v>350</v>
      </c>
      <c r="D154" s="148">
        <v>250</v>
      </c>
      <c r="E154" s="148">
        <v>8</v>
      </c>
      <c r="F154" s="148">
        <f t="shared" si="24"/>
        <v>12</v>
      </c>
      <c r="G154" s="148">
        <f t="shared" si="25"/>
        <v>20</v>
      </c>
      <c r="H154" s="195">
        <f t="shared" si="26"/>
        <v>91.242477193189885</v>
      </c>
      <c r="I154" s="148">
        <v>15980</v>
      </c>
      <c r="J154" s="195">
        <f t="shared" si="27"/>
        <v>913.14285714285711</v>
      </c>
      <c r="K154" s="148">
        <v>1091</v>
      </c>
      <c r="L154" s="195">
        <f t="shared" si="28"/>
        <v>13.233961097357042</v>
      </c>
      <c r="M154" s="196">
        <f t="shared" si="29"/>
        <v>49.6</v>
      </c>
      <c r="N154" s="148">
        <v>9558</v>
      </c>
      <c r="O154" s="195">
        <f t="shared" si="30"/>
        <v>764.64</v>
      </c>
      <c r="P154" s="148">
        <v>869</v>
      </c>
      <c r="Q154" s="195">
        <f t="shared" si="31"/>
        <v>10.234932416296983</v>
      </c>
      <c r="R154" s="148">
        <f t="shared" si="32"/>
        <v>33.6</v>
      </c>
      <c r="S154" s="196"/>
      <c r="T154" s="148"/>
    </row>
    <row r="155" spans="1:20" x14ac:dyDescent="0.25">
      <c r="A155" s="194" t="str">
        <f t="shared" si="22"/>
        <v>RECF  350*250*10</v>
      </c>
      <c r="B155" s="195">
        <f t="shared" si="23"/>
        <v>88.364600932271955</v>
      </c>
      <c r="C155" s="148">
        <v>350</v>
      </c>
      <c r="D155" s="148">
        <v>250</v>
      </c>
      <c r="E155" s="148">
        <v>10</v>
      </c>
      <c r="F155" s="148">
        <f t="shared" si="24"/>
        <v>15</v>
      </c>
      <c r="G155" s="148">
        <f t="shared" si="25"/>
        <v>25</v>
      </c>
      <c r="H155" s="195">
        <f t="shared" si="26"/>
        <v>112.56637061435917</v>
      </c>
      <c r="I155" s="148">
        <v>19367</v>
      </c>
      <c r="J155" s="195">
        <f t="shared" si="27"/>
        <v>1106.6857142857143</v>
      </c>
      <c r="K155" s="148">
        <v>1334</v>
      </c>
      <c r="L155" s="195">
        <f t="shared" si="28"/>
        <v>13.116768220455775</v>
      </c>
      <c r="M155" s="196">
        <f t="shared" si="29"/>
        <v>60</v>
      </c>
      <c r="N155" s="148">
        <v>11559</v>
      </c>
      <c r="O155" s="195">
        <f t="shared" si="30"/>
        <v>924.72</v>
      </c>
      <c r="P155" s="148">
        <v>1061</v>
      </c>
      <c r="Q155" s="195">
        <f t="shared" si="31"/>
        <v>10.133414324849172</v>
      </c>
      <c r="R155" s="148">
        <f t="shared" si="32"/>
        <v>40</v>
      </c>
      <c r="S155" s="196"/>
      <c r="T155" s="148"/>
    </row>
    <row r="156" spans="1:20" x14ac:dyDescent="0.25">
      <c r="A156" s="194" t="str">
        <f t="shared" si="22"/>
        <v>RECF  350*250*12</v>
      </c>
      <c r="B156" s="195">
        <f t="shared" si="23"/>
        <v>103.66668167808952</v>
      </c>
      <c r="C156" s="148">
        <v>350</v>
      </c>
      <c r="D156" s="148">
        <v>250</v>
      </c>
      <c r="E156" s="148">
        <v>12</v>
      </c>
      <c r="F156" s="148">
        <f t="shared" si="24"/>
        <v>24</v>
      </c>
      <c r="G156" s="148">
        <f t="shared" si="25"/>
        <v>36</v>
      </c>
      <c r="H156" s="195">
        <f t="shared" si="26"/>
        <v>132.05946710584652</v>
      </c>
      <c r="I156" s="148">
        <v>22096</v>
      </c>
      <c r="J156" s="195">
        <f t="shared" si="27"/>
        <v>1262.6285714285714</v>
      </c>
      <c r="K156" s="148">
        <v>1541</v>
      </c>
      <c r="L156" s="195">
        <f t="shared" si="28"/>
        <v>12.935167605426901</v>
      </c>
      <c r="M156" s="196">
        <f t="shared" si="29"/>
        <v>66.72</v>
      </c>
      <c r="N156" s="148">
        <v>13190</v>
      </c>
      <c r="O156" s="195">
        <f t="shared" si="30"/>
        <v>1055.2</v>
      </c>
      <c r="P156" s="148">
        <v>1226</v>
      </c>
      <c r="Q156" s="195">
        <f t="shared" si="31"/>
        <v>9.993960475565947</v>
      </c>
      <c r="R156" s="148">
        <f t="shared" si="32"/>
        <v>42.72</v>
      </c>
      <c r="S156" s="196"/>
      <c r="T156" s="148"/>
    </row>
    <row r="157" spans="1:20" x14ac:dyDescent="0.25">
      <c r="A157" s="194" t="str">
        <f t="shared" si="22"/>
        <v>RECF  350*250*12.5</v>
      </c>
      <c r="B157" s="195">
        <f t="shared" si="23"/>
        <v>107.57929869584365</v>
      </c>
      <c r="C157" s="148">
        <v>350</v>
      </c>
      <c r="D157" s="148">
        <v>250</v>
      </c>
      <c r="E157" s="148">
        <v>12.5</v>
      </c>
      <c r="F157" s="148">
        <f t="shared" si="24"/>
        <v>25</v>
      </c>
      <c r="G157" s="148">
        <f t="shared" si="25"/>
        <v>37.5</v>
      </c>
      <c r="H157" s="195">
        <f t="shared" si="26"/>
        <v>137.04369260617025</v>
      </c>
      <c r="I157" s="148">
        <v>22809</v>
      </c>
      <c r="J157" s="195">
        <f t="shared" si="27"/>
        <v>1303.3714285714286</v>
      </c>
      <c r="K157" s="148">
        <v>1595</v>
      </c>
      <c r="L157" s="195">
        <f t="shared" si="28"/>
        <v>12.901006574965903</v>
      </c>
      <c r="M157" s="196">
        <f t="shared" si="29"/>
        <v>68.75</v>
      </c>
      <c r="N157" s="148">
        <v>13610</v>
      </c>
      <c r="O157" s="195">
        <f t="shared" si="30"/>
        <v>1088.8</v>
      </c>
      <c r="P157" s="148">
        <v>1269</v>
      </c>
      <c r="Q157" s="195">
        <f t="shared" si="31"/>
        <v>9.9655101672514395</v>
      </c>
      <c r="R157" s="148">
        <f t="shared" si="32"/>
        <v>43.75</v>
      </c>
      <c r="S157" s="196"/>
      <c r="T157" s="148"/>
    </row>
    <row r="158" spans="1:20" x14ac:dyDescent="0.25">
      <c r="A158" s="194" t="str">
        <f t="shared" si="22"/>
        <v>RECF  350*250*16</v>
      </c>
      <c r="B158" s="195">
        <f t="shared" si="23"/>
        <v>134.05632298327023</v>
      </c>
      <c r="C158" s="148">
        <v>350</v>
      </c>
      <c r="D158" s="148">
        <v>250</v>
      </c>
      <c r="E158" s="148">
        <v>16</v>
      </c>
      <c r="F158" s="148">
        <f t="shared" si="24"/>
        <v>32</v>
      </c>
      <c r="G158" s="148">
        <f t="shared" si="25"/>
        <v>48</v>
      </c>
      <c r="H158" s="195">
        <f t="shared" si="26"/>
        <v>170.77238596594935</v>
      </c>
      <c r="I158" s="148">
        <v>27345</v>
      </c>
      <c r="J158" s="195">
        <f t="shared" si="27"/>
        <v>1562.5714285714287</v>
      </c>
      <c r="K158" s="148">
        <v>1946</v>
      </c>
      <c r="L158" s="195">
        <f t="shared" si="28"/>
        <v>12.654067324015831</v>
      </c>
      <c r="M158" s="196">
        <f t="shared" si="29"/>
        <v>81.28</v>
      </c>
      <c r="N158" s="148">
        <v>16270</v>
      </c>
      <c r="O158" s="195">
        <f t="shared" si="30"/>
        <v>1301.5999999999999</v>
      </c>
      <c r="P158" s="148">
        <v>1547</v>
      </c>
      <c r="Q158" s="195">
        <f t="shared" si="31"/>
        <v>9.760789644010579</v>
      </c>
      <c r="R158" s="148">
        <f t="shared" si="32"/>
        <v>49.28</v>
      </c>
      <c r="S158" s="196"/>
      <c r="T158" s="148"/>
    </row>
    <row r="159" spans="1:20" x14ac:dyDescent="0.25">
      <c r="A159" s="197" t="str">
        <f t="shared" si="22"/>
        <v>RECF  400*200*8</v>
      </c>
      <c r="B159" s="198">
        <f t="shared" si="23"/>
        <v>71.62534459665406</v>
      </c>
      <c r="C159" s="199">
        <v>400</v>
      </c>
      <c r="D159" s="199">
        <v>200</v>
      </c>
      <c r="E159" s="199">
        <v>8</v>
      </c>
      <c r="F159" s="199">
        <f t="shared" si="24"/>
        <v>12</v>
      </c>
      <c r="G159" s="199">
        <f t="shared" si="25"/>
        <v>20</v>
      </c>
      <c r="H159" s="198">
        <f t="shared" si="26"/>
        <v>91.242477193189885</v>
      </c>
      <c r="I159" s="199">
        <v>18950</v>
      </c>
      <c r="J159" s="198">
        <f t="shared" si="27"/>
        <v>947.5</v>
      </c>
      <c r="K159" s="199">
        <v>1173</v>
      </c>
      <c r="L159" s="198">
        <f t="shared" si="28"/>
        <v>14.411396707523155</v>
      </c>
      <c r="M159" s="200">
        <f t="shared" si="29"/>
        <v>57.6</v>
      </c>
      <c r="N159" s="199">
        <v>6505</v>
      </c>
      <c r="O159" s="198">
        <f t="shared" si="30"/>
        <v>650.5</v>
      </c>
      <c r="P159" s="199">
        <v>727</v>
      </c>
      <c r="Q159" s="198">
        <f t="shared" si="31"/>
        <v>8.4435507220336525</v>
      </c>
      <c r="R159" s="199">
        <f t="shared" si="32"/>
        <v>25.6</v>
      </c>
      <c r="S159" s="200"/>
      <c r="T159" s="201"/>
    </row>
    <row r="160" spans="1:20" x14ac:dyDescent="0.25">
      <c r="A160" s="202" t="str">
        <f t="shared" si="22"/>
        <v>RECF  400*200*10</v>
      </c>
      <c r="B160" s="203">
        <f t="shared" si="23"/>
        <v>88.364600932271955</v>
      </c>
      <c r="C160" s="204">
        <v>400</v>
      </c>
      <c r="D160" s="204">
        <v>200</v>
      </c>
      <c r="E160" s="204">
        <v>10</v>
      </c>
      <c r="F160" s="204">
        <f t="shared" si="24"/>
        <v>15</v>
      </c>
      <c r="G160" s="204">
        <f t="shared" si="25"/>
        <v>25</v>
      </c>
      <c r="H160" s="203">
        <f t="shared" si="26"/>
        <v>112.56637061435917</v>
      </c>
      <c r="I160" s="204">
        <v>22956</v>
      </c>
      <c r="J160" s="203">
        <f t="shared" si="27"/>
        <v>1147.8</v>
      </c>
      <c r="K160" s="204">
        <v>1433</v>
      </c>
      <c r="L160" s="203">
        <f t="shared" si="28"/>
        <v>14.280511923634892</v>
      </c>
      <c r="M160" s="205">
        <f t="shared" si="29"/>
        <v>70</v>
      </c>
      <c r="N160" s="204">
        <v>7841</v>
      </c>
      <c r="O160" s="203">
        <f t="shared" si="30"/>
        <v>784.1</v>
      </c>
      <c r="P160" s="204">
        <v>887</v>
      </c>
      <c r="Q160" s="203">
        <f t="shared" si="31"/>
        <v>8.3460579347520483</v>
      </c>
      <c r="R160" s="204">
        <f t="shared" si="32"/>
        <v>30</v>
      </c>
      <c r="S160" s="205"/>
      <c r="T160" s="206"/>
    </row>
    <row r="161" spans="1:20" x14ac:dyDescent="0.25">
      <c r="A161" s="202" t="str">
        <f t="shared" si="22"/>
        <v>RECF  400*200*12</v>
      </c>
      <c r="B161" s="203">
        <f t="shared" si="23"/>
        <v>103.66668167808952</v>
      </c>
      <c r="C161" s="204">
        <v>400</v>
      </c>
      <c r="D161" s="204">
        <v>200</v>
      </c>
      <c r="E161" s="204">
        <v>12</v>
      </c>
      <c r="F161" s="204">
        <f t="shared" si="24"/>
        <v>24</v>
      </c>
      <c r="G161" s="204">
        <f t="shared" si="25"/>
        <v>36</v>
      </c>
      <c r="H161" s="203">
        <f t="shared" si="26"/>
        <v>132.05946710584652</v>
      </c>
      <c r="I161" s="204">
        <v>26133</v>
      </c>
      <c r="J161" s="203">
        <f t="shared" si="27"/>
        <v>1306.6500000000001</v>
      </c>
      <c r="K161" s="204">
        <v>1653</v>
      </c>
      <c r="L161" s="203">
        <f t="shared" si="28"/>
        <v>14.067271322835404</v>
      </c>
      <c r="M161" s="205">
        <f t="shared" si="29"/>
        <v>78.72</v>
      </c>
      <c r="N161" s="204">
        <v>8922</v>
      </c>
      <c r="O161" s="203">
        <f t="shared" si="30"/>
        <v>892.2</v>
      </c>
      <c r="P161" s="204">
        <v>1024</v>
      </c>
      <c r="Q161" s="203">
        <f t="shared" si="31"/>
        <v>8.2195177797749857</v>
      </c>
      <c r="R161" s="204">
        <f t="shared" si="32"/>
        <v>30.72</v>
      </c>
      <c r="S161" s="205"/>
      <c r="T161" s="206"/>
    </row>
    <row r="162" spans="1:20" x14ac:dyDescent="0.25">
      <c r="A162" s="202" t="str">
        <f t="shared" si="22"/>
        <v>RECF  400*200*12.5</v>
      </c>
      <c r="B162" s="203">
        <f t="shared" si="23"/>
        <v>107.57929869584365</v>
      </c>
      <c r="C162" s="204">
        <v>400</v>
      </c>
      <c r="D162" s="204">
        <v>200</v>
      </c>
      <c r="E162" s="204">
        <v>12.5</v>
      </c>
      <c r="F162" s="204">
        <f t="shared" si="24"/>
        <v>25</v>
      </c>
      <c r="G162" s="204">
        <f t="shared" si="25"/>
        <v>37.5</v>
      </c>
      <c r="H162" s="203">
        <f t="shared" si="26"/>
        <v>137.04369260617025</v>
      </c>
      <c r="I162" s="204">
        <v>26970</v>
      </c>
      <c r="J162" s="203">
        <f t="shared" si="27"/>
        <v>1348.5</v>
      </c>
      <c r="K162" s="204">
        <v>1711</v>
      </c>
      <c r="L162" s="203">
        <f t="shared" si="28"/>
        <v>14.028490655153602</v>
      </c>
      <c r="M162" s="205">
        <f t="shared" si="29"/>
        <v>81.25</v>
      </c>
      <c r="N162" s="204">
        <v>9198</v>
      </c>
      <c r="O162" s="203">
        <f t="shared" si="30"/>
        <v>919.8</v>
      </c>
      <c r="P162" s="204">
        <v>1059</v>
      </c>
      <c r="Q162" s="203">
        <f t="shared" si="31"/>
        <v>8.1925137052567578</v>
      </c>
      <c r="R162" s="204">
        <f t="shared" si="32"/>
        <v>31.25</v>
      </c>
      <c r="S162" s="205"/>
      <c r="T162" s="206"/>
    </row>
    <row r="163" spans="1:20" x14ac:dyDescent="0.25">
      <c r="A163" s="207" t="str">
        <f t="shared" si="22"/>
        <v>RECF  400*200*16</v>
      </c>
      <c r="B163" s="208">
        <f t="shared" si="23"/>
        <v>134.05632298327023</v>
      </c>
      <c r="C163" s="209">
        <v>400</v>
      </c>
      <c r="D163" s="209">
        <v>200</v>
      </c>
      <c r="E163" s="209">
        <v>16</v>
      </c>
      <c r="F163" s="209">
        <f t="shared" si="24"/>
        <v>32</v>
      </c>
      <c r="G163" s="209">
        <f t="shared" si="25"/>
        <v>48</v>
      </c>
      <c r="H163" s="208">
        <f t="shared" si="26"/>
        <v>170.77238596594935</v>
      </c>
      <c r="I163" s="209">
        <v>32277</v>
      </c>
      <c r="J163" s="208">
        <f t="shared" si="27"/>
        <v>1613.85</v>
      </c>
      <c r="K163" s="209">
        <v>2086</v>
      </c>
      <c r="L163" s="208">
        <f t="shared" si="28"/>
        <v>13.747944112263401</v>
      </c>
      <c r="M163" s="210">
        <f t="shared" si="29"/>
        <v>97.28</v>
      </c>
      <c r="N163" s="209">
        <v>10927</v>
      </c>
      <c r="O163" s="208">
        <f t="shared" si="30"/>
        <v>1092.7</v>
      </c>
      <c r="P163" s="209">
        <v>1287</v>
      </c>
      <c r="Q163" s="208">
        <f t="shared" si="31"/>
        <v>7.999109619951378</v>
      </c>
      <c r="R163" s="209">
        <f t="shared" si="32"/>
        <v>33.28</v>
      </c>
      <c r="S163" s="210"/>
      <c r="T163" s="211"/>
    </row>
    <row r="164" spans="1:20" x14ac:dyDescent="0.25">
      <c r="A164" s="194" t="str">
        <f t="shared" si="22"/>
        <v>RECF  400*300*8</v>
      </c>
      <c r="B164" s="195">
        <f t="shared" si="23"/>
        <v>84.185344596654062</v>
      </c>
      <c r="C164" s="148">
        <v>400</v>
      </c>
      <c r="D164" s="148">
        <v>300</v>
      </c>
      <c r="E164" s="148">
        <v>8</v>
      </c>
      <c r="F164" s="148">
        <f t="shared" si="24"/>
        <v>12</v>
      </c>
      <c r="G164" s="148">
        <f t="shared" si="25"/>
        <v>20</v>
      </c>
      <c r="H164" s="195">
        <f t="shared" si="26"/>
        <v>107.24247719318988</v>
      </c>
      <c r="I164" s="148">
        <v>25098</v>
      </c>
      <c r="J164" s="195">
        <f t="shared" si="27"/>
        <v>1254.9000000000001</v>
      </c>
      <c r="K164" s="148">
        <v>1486</v>
      </c>
      <c r="L164" s="195">
        <f t="shared" si="28"/>
        <v>15.298052214027431</v>
      </c>
      <c r="M164" s="196">
        <f t="shared" si="29"/>
        <v>57.6</v>
      </c>
      <c r="N164" s="148">
        <v>16194</v>
      </c>
      <c r="O164" s="195">
        <f t="shared" si="30"/>
        <v>1079.5999999999999</v>
      </c>
      <c r="P164" s="148">
        <v>1224</v>
      </c>
      <c r="Q164" s="195">
        <f t="shared" si="31"/>
        <v>12.288352159516069</v>
      </c>
      <c r="R164" s="148">
        <f t="shared" si="32"/>
        <v>41.6</v>
      </c>
      <c r="S164" s="196"/>
      <c r="T164" s="148"/>
    </row>
    <row r="165" spans="1:20" x14ac:dyDescent="0.25">
      <c r="A165" s="194" t="str">
        <f t="shared" si="22"/>
        <v>RECF  400*300*10</v>
      </c>
      <c r="B165" s="195">
        <f t="shared" si="23"/>
        <v>104.06460093227194</v>
      </c>
      <c r="C165" s="148">
        <v>400</v>
      </c>
      <c r="D165" s="148">
        <v>300</v>
      </c>
      <c r="E165" s="148">
        <v>10</v>
      </c>
      <c r="F165" s="148">
        <f t="shared" si="24"/>
        <v>15</v>
      </c>
      <c r="G165" s="148">
        <f t="shared" si="25"/>
        <v>25</v>
      </c>
      <c r="H165" s="195">
        <f t="shared" si="26"/>
        <v>132.56637061435916</v>
      </c>
      <c r="I165" s="148">
        <v>30562</v>
      </c>
      <c r="J165" s="195">
        <f t="shared" si="27"/>
        <v>1528.1</v>
      </c>
      <c r="K165" s="148">
        <v>1823</v>
      </c>
      <c r="L165" s="195">
        <f t="shared" si="28"/>
        <v>15.183580715727263</v>
      </c>
      <c r="M165" s="196">
        <f t="shared" si="29"/>
        <v>70</v>
      </c>
      <c r="N165" s="148">
        <v>19691</v>
      </c>
      <c r="O165" s="195">
        <f t="shared" si="30"/>
        <v>1312.7333333333333</v>
      </c>
      <c r="P165" s="148">
        <v>1500</v>
      </c>
      <c r="Q165" s="195">
        <f t="shared" si="31"/>
        <v>12.187572239107253</v>
      </c>
      <c r="R165" s="148">
        <f t="shared" si="32"/>
        <v>50</v>
      </c>
      <c r="S165" s="196"/>
      <c r="T165" s="148"/>
    </row>
    <row r="166" spans="1:20" x14ac:dyDescent="0.25">
      <c r="A166" s="194" t="str">
        <f t="shared" si="22"/>
        <v>RECF  400*300*12</v>
      </c>
      <c r="B166" s="195">
        <f t="shared" si="23"/>
        <v>122.50668167808952</v>
      </c>
      <c r="C166" s="148">
        <v>400</v>
      </c>
      <c r="D166" s="148">
        <v>300</v>
      </c>
      <c r="E166" s="148">
        <v>12</v>
      </c>
      <c r="F166" s="148">
        <f t="shared" si="24"/>
        <v>24</v>
      </c>
      <c r="G166" s="148">
        <f t="shared" si="25"/>
        <v>36</v>
      </c>
      <c r="H166" s="195">
        <f t="shared" si="26"/>
        <v>156.05946710584652</v>
      </c>
      <c r="I166" s="148">
        <v>35169</v>
      </c>
      <c r="J166" s="195">
        <f t="shared" si="27"/>
        <v>1758.45</v>
      </c>
      <c r="K166" s="148">
        <v>2119</v>
      </c>
      <c r="L166" s="195">
        <f t="shared" si="28"/>
        <v>15.011875364786736</v>
      </c>
      <c r="M166" s="196">
        <f t="shared" si="29"/>
        <v>78.72</v>
      </c>
      <c r="N166" s="148">
        <v>22661</v>
      </c>
      <c r="O166" s="195">
        <f t="shared" si="30"/>
        <v>1510.7333333333333</v>
      </c>
      <c r="P166" s="148">
        <v>1744</v>
      </c>
      <c r="Q166" s="195">
        <f t="shared" si="31"/>
        <v>12.050206119143519</v>
      </c>
      <c r="R166" s="148">
        <f t="shared" si="32"/>
        <v>54.72</v>
      </c>
      <c r="S166" s="196"/>
      <c r="T166" s="148"/>
    </row>
    <row r="167" spans="1:20" x14ac:dyDescent="0.25">
      <c r="A167" s="194" t="str">
        <f t="shared" si="22"/>
        <v>RECF  400*300*12.5</v>
      </c>
      <c r="B167" s="195">
        <f t="shared" si="23"/>
        <v>127.20429869584365</v>
      </c>
      <c r="C167" s="148">
        <v>400</v>
      </c>
      <c r="D167" s="148">
        <v>300</v>
      </c>
      <c r="E167" s="148">
        <v>12.5</v>
      </c>
      <c r="F167" s="148">
        <f t="shared" si="24"/>
        <v>25</v>
      </c>
      <c r="G167" s="148">
        <f t="shared" si="25"/>
        <v>37.5</v>
      </c>
      <c r="H167" s="195">
        <f t="shared" si="26"/>
        <v>162.04369260617025</v>
      </c>
      <c r="I167" s="148">
        <v>36358</v>
      </c>
      <c r="J167" s="195">
        <f t="shared" si="27"/>
        <v>1817.9</v>
      </c>
      <c r="K167" s="148">
        <v>2195</v>
      </c>
      <c r="L167" s="195">
        <f t="shared" si="28"/>
        <v>14.979038155991475</v>
      </c>
      <c r="M167" s="196">
        <f t="shared" si="29"/>
        <v>81.25</v>
      </c>
      <c r="N167" s="148">
        <v>23421</v>
      </c>
      <c r="O167" s="195">
        <f t="shared" si="30"/>
        <v>1561.4</v>
      </c>
      <c r="P167" s="148">
        <v>1807</v>
      </c>
      <c r="Q167" s="195">
        <f t="shared" si="31"/>
        <v>12.022274821499369</v>
      </c>
      <c r="R167" s="148">
        <f t="shared" si="32"/>
        <v>56.25</v>
      </c>
      <c r="S167" s="196"/>
      <c r="T167" s="148"/>
    </row>
    <row r="168" spans="1:20" ht="15.75" thickBot="1" x14ac:dyDescent="0.3">
      <c r="A168" s="194" t="str">
        <f t="shared" si="22"/>
        <v>RECF  400*300*16</v>
      </c>
      <c r="B168" s="195">
        <f t="shared" si="23"/>
        <v>159.17632298327024</v>
      </c>
      <c r="C168" s="148">
        <v>400</v>
      </c>
      <c r="D168" s="148">
        <v>300</v>
      </c>
      <c r="E168" s="148">
        <v>16</v>
      </c>
      <c r="F168" s="148">
        <f t="shared" si="24"/>
        <v>32</v>
      </c>
      <c r="G168" s="148">
        <f t="shared" si="25"/>
        <v>48</v>
      </c>
      <c r="H168" s="195">
        <f t="shared" si="26"/>
        <v>202.77238596594935</v>
      </c>
      <c r="I168" s="148">
        <v>44080</v>
      </c>
      <c r="J168" s="195">
        <f t="shared" si="27"/>
        <v>2204</v>
      </c>
      <c r="K168" s="148">
        <v>2701</v>
      </c>
      <c r="L168" s="195">
        <f t="shared" si="28"/>
        <v>14.744036156179449</v>
      </c>
      <c r="M168" s="196">
        <f t="shared" si="29"/>
        <v>97.28</v>
      </c>
      <c r="N168" s="148">
        <v>28336</v>
      </c>
      <c r="O168" s="195">
        <f t="shared" si="30"/>
        <v>1889.0666666666666</v>
      </c>
      <c r="P168" s="148">
        <v>2221</v>
      </c>
      <c r="Q168" s="195">
        <f t="shared" si="31"/>
        <v>11.821289853978517</v>
      </c>
      <c r="R168" s="148">
        <f t="shared" si="32"/>
        <v>65.28</v>
      </c>
      <c r="S168" s="196"/>
      <c r="T168" s="148"/>
    </row>
    <row r="169" spans="1:20" ht="16.5" thickBot="1" x14ac:dyDescent="0.3">
      <c r="A169" s="157"/>
      <c r="B169" s="212" t="s">
        <v>419</v>
      </c>
      <c r="C169" s="213"/>
      <c r="D169" s="213"/>
      <c r="E169" s="213"/>
      <c r="F169" s="213"/>
      <c r="G169" s="213"/>
      <c r="H169" s="213"/>
      <c r="I169" s="213"/>
      <c r="J169" s="213"/>
      <c r="K169" s="213"/>
      <c r="L169" s="213"/>
      <c r="M169" s="213"/>
      <c r="N169" s="213"/>
      <c r="O169" s="213"/>
      <c r="P169" s="213"/>
      <c r="Q169" s="213"/>
      <c r="R169" s="213"/>
      <c r="S169" s="213"/>
      <c r="T169" s="214"/>
    </row>
    <row r="170" spans="1:20" x14ac:dyDescent="0.25">
      <c r="A170" s="172" t="str">
        <f>$B$169&amp;"  "&amp;C170&amp;"*"&amp;D170&amp;"*"&amp;E170</f>
        <v>RECC  50*30*2.6</v>
      </c>
      <c r="B170" s="174">
        <f t="shared" si="23"/>
        <v>2.9166792672661885</v>
      </c>
      <c r="C170" s="173">
        <v>50</v>
      </c>
      <c r="D170" s="173">
        <v>30</v>
      </c>
      <c r="E170" s="173">
        <v>2.6</v>
      </c>
      <c r="F170" s="173">
        <f t="shared" si="24"/>
        <v>2.6</v>
      </c>
      <c r="G170" s="173">
        <f t="shared" si="25"/>
        <v>5.2</v>
      </c>
      <c r="H170" s="174">
        <f t="shared" si="26"/>
        <v>3.7155149901480105</v>
      </c>
      <c r="I170" s="173">
        <v>12.2</v>
      </c>
      <c r="J170" s="174">
        <f t="shared" si="27"/>
        <v>4.88</v>
      </c>
      <c r="K170" s="173">
        <v>6.12</v>
      </c>
      <c r="L170" s="175">
        <f t="shared" si="28"/>
        <v>1.8120509572371482</v>
      </c>
      <c r="M170" s="176">
        <f t="shared" si="29"/>
        <v>2.0592000000000001</v>
      </c>
      <c r="N170" s="173">
        <v>5.38</v>
      </c>
      <c r="O170" s="174">
        <f t="shared" si="30"/>
        <v>3.5866666666666664</v>
      </c>
      <c r="P170" s="173">
        <v>4.25</v>
      </c>
      <c r="Q170" s="174">
        <f t="shared" si="31"/>
        <v>1.2033213684828064</v>
      </c>
      <c r="R170" s="190">
        <f t="shared" si="32"/>
        <v>1.0192000000000001</v>
      </c>
      <c r="S170" s="176">
        <v>12.1</v>
      </c>
      <c r="T170" s="177">
        <v>5.9</v>
      </c>
    </row>
    <row r="171" spans="1:20" x14ac:dyDescent="0.25">
      <c r="A171" s="172" t="str">
        <f t="shared" ref="A171:A234" si="33">$B$169&amp;"  "&amp;C171&amp;"*"&amp;D171&amp;"*"&amp;E171</f>
        <v>RECC  50*30*3.2</v>
      </c>
      <c r="B171" s="174">
        <f t="shared" si="23"/>
        <v>3.4906573515984864</v>
      </c>
      <c r="C171" s="173">
        <v>50</v>
      </c>
      <c r="D171" s="173">
        <v>30</v>
      </c>
      <c r="E171" s="173">
        <v>3.2</v>
      </c>
      <c r="F171" s="173">
        <f t="shared" si="24"/>
        <v>3.2</v>
      </c>
      <c r="G171" s="173">
        <f t="shared" si="25"/>
        <v>6.4</v>
      </c>
      <c r="H171" s="174">
        <f t="shared" si="26"/>
        <v>4.4466972631827852</v>
      </c>
      <c r="I171" s="173">
        <v>14.2</v>
      </c>
      <c r="J171" s="174">
        <f t="shared" si="27"/>
        <v>5.68</v>
      </c>
      <c r="K171" s="173">
        <v>7.25</v>
      </c>
      <c r="L171" s="175">
        <f t="shared" si="28"/>
        <v>1.7870034486284787</v>
      </c>
      <c r="M171" s="176">
        <f t="shared" si="29"/>
        <v>2.3808000000000002</v>
      </c>
      <c r="N171" s="173">
        <v>6.2</v>
      </c>
      <c r="O171" s="174">
        <f t="shared" si="30"/>
        <v>4.1333333333333337</v>
      </c>
      <c r="P171" s="173">
        <v>5</v>
      </c>
      <c r="Q171" s="174">
        <f t="shared" si="31"/>
        <v>1.1808019540788846</v>
      </c>
      <c r="R171" s="190">
        <f t="shared" si="32"/>
        <v>1.1008</v>
      </c>
      <c r="S171" s="176">
        <v>14.2</v>
      </c>
      <c r="T171" s="177">
        <v>6.8</v>
      </c>
    </row>
    <row r="172" spans="1:20" x14ac:dyDescent="0.25">
      <c r="A172" s="172" t="str">
        <f t="shared" si="33"/>
        <v>RECC  50*30*4</v>
      </c>
      <c r="B172" s="174">
        <f t="shared" si="23"/>
        <v>4.1981521118726333</v>
      </c>
      <c r="C172" s="173">
        <v>50</v>
      </c>
      <c r="D172" s="173">
        <v>30</v>
      </c>
      <c r="E172" s="173">
        <v>4</v>
      </c>
      <c r="F172" s="173">
        <f t="shared" si="24"/>
        <v>4</v>
      </c>
      <c r="G172" s="173">
        <f t="shared" si="25"/>
        <v>8</v>
      </c>
      <c r="H172" s="174">
        <f t="shared" si="26"/>
        <v>5.3479644737231</v>
      </c>
      <c r="I172" s="173">
        <v>16.5</v>
      </c>
      <c r="J172" s="174">
        <f t="shared" si="27"/>
        <v>6.6</v>
      </c>
      <c r="K172" s="173">
        <v>8.59</v>
      </c>
      <c r="L172" s="175">
        <f t="shared" si="28"/>
        <v>1.7564982251896759</v>
      </c>
      <c r="M172" s="176">
        <f t="shared" si="29"/>
        <v>2.72</v>
      </c>
      <c r="N172" s="173">
        <v>7.08</v>
      </c>
      <c r="O172" s="174">
        <f t="shared" si="30"/>
        <v>4.72</v>
      </c>
      <c r="P172" s="173">
        <v>5.88</v>
      </c>
      <c r="Q172" s="174">
        <f t="shared" si="31"/>
        <v>1.1505947075414347</v>
      </c>
      <c r="R172" s="190">
        <f t="shared" si="32"/>
        <v>1.1200000000000001</v>
      </c>
      <c r="S172" s="176">
        <v>16.600000000000001</v>
      </c>
      <c r="T172" s="177">
        <v>7.77</v>
      </c>
    </row>
    <row r="173" spans="1:20" x14ac:dyDescent="0.25">
      <c r="A173" s="178" t="str">
        <f t="shared" si="33"/>
        <v>RECC  50*30*5</v>
      </c>
      <c r="B173" s="180">
        <f t="shared" si="23"/>
        <v>4.9896126748009912</v>
      </c>
      <c r="C173" s="179">
        <v>50</v>
      </c>
      <c r="D173" s="179">
        <v>30</v>
      </c>
      <c r="E173" s="179">
        <v>5</v>
      </c>
      <c r="F173" s="179">
        <f t="shared" si="24"/>
        <v>5</v>
      </c>
      <c r="G173" s="179">
        <f t="shared" si="25"/>
        <v>10</v>
      </c>
      <c r="H173" s="180">
        <f t="shared" si="26"/>
        <v>6.3561944901923448</v>
      </c>
      <c r="I173" s="179">
        <v>18.7</v>
      </c>
      <c r="J173" s="180">
        <f t="shared" si="27"/>
        <v>7.4799999999999995</v>
      </c>
      <c r="K173" s="179">
        <v>10</v>
      </c>
      <c r="L173" s="181">
        <f t="shared" si="28"/>
        <v>1.7152294094157978</v>
      </c>
      <c r="M173" s="182">
        <f t="shared" si="29"/>
        <v>3</v>
      </c>
      <c r="N173" s="179">
        <v>7.89</v>
      </c>
      <c r="O173" s="180">
        <f t="shared" si="30"/>
        <v>5.26</v>
      </c>
      <c r="P173" s="179">
        <v>6.8</v>
      </c>
      <c r="Q173" s="180">
        <f t="shared" si="31"/>
        <v>1.1141403751704166</v>
      </c>
      <c r="R173" s="191">
        <f t="shared" si="32"/>
        <v>1</v>
      </c>
      <c r="S173" s="182">
        <v>19</v>
      </c>
      <c r="T173" s="183">
        <v>8.67</v>
      </c>
    </row>
    <row r="174" spans="1:20" x14ac:dyDescent="0.25">
      <c r="A174" s="162" t="str">
        <f t="shared" si="33"/>
        <v>RECC  60*40*2.6</v>
      </c>
      <c r="B174" s="163">
        <f t="shared" si="23"/>
        <v>3.7330792672661883</v>
      </c>
      <c r="C174" s="64">
        <v>60</v>
      </c>
      <c r="D174" s="64">
        <v>40</v>
      </c>
      <c r="E174" s="64">
        <v>2.6</v>
      </c>
      <c r="F174" s="64">
        <f t="shared" si="24"/>
        <v>2.6</v>
      </c>
      <c r="G174" s="64">
        <f t="shared" si="25"/>
        <v>5.2</v>
      </c>
      <c r="H174" s="163">
        <f t="shared" si="26"/>
        <v>4.7555149901480105</v>
      </c>
      <c r="I174" s="64">
        <v>23.6</v>
      </c>
      <c r="J174" s="163">
        <f t="shared" si="27"/>
        <v>7.8666666666666671</v>
      </c>
      <c r="K174" s="64">
        <v>9.65</v>
      </c>
      <c r="L174" s="164">
        <f t="shared" si="28"/>
        <v>2.2277026629363577</v>
      </c>
      <c r="M174" s="165">
        <f t="shared" si="29"/>
        <v>2.5792000000000002</v>
      </c>
      <c r="N174" s="64">
        <v>12.4</v>
      </c>
      <c r="O174" s="163">
        <f t="shared" si="30"/>
        <v>6.2</v>
      </c>
      <c r="P174" s="64">
        <v>7.26</v>
      </c>
      <c r="Q174" s="163">
        <f t="shared" si="31"/>
        <v>1.614775178705639</v>
      </c>
      <c r="R174" s="188">
        <f t="shared" si="32"/>
        <v>1.5392000000000001</v>
      </c>
      <c r="S174" s="165">
        <v>25.9</v>
      </c>
      <c r="T174" s="64">
        <v>10</v>
      </c>
    </row>
    <row r="175" spans="1:20" x14ac:dyDescent="0.25">
      <c r="A175" s="162" t="str">
        <f t="shared" si="33"/>
        <v>RECC  60*40*3.2</v>
      </c>
      <c r="B175" s="163">
        <f t="shared" si="23"/>
        <v>4.4954573515984864</v>
      </c>
      <c r="C175" s="64">
        <v>60</v>
      </c>
      <c r="D175" s="64">
        <v>40</v>
      </c>
      <c r="E175" s="64">
        <v>3.2</v>
      </c>
      <c r="F175" s="64">
        <f t="shared" si="24"/>
        <v>3.2</v>
      </c>
      <c r="G175" s="64">
        <f t="shared" si="25"/>
        <v>6.4</v>
      </c>
      <c r="H175" s="163">
        <f t="shared" si="26"/>
        <v>5.7266972631827855</v>
      </c>
      <c r="I175" s="64">
        <v>27.8</v>
      </c>
      <c r="J175" s="163">
        <f t="shared" si="27"/>
        <v>9.2666666666666675</v>
      </c>
      <c r="K175" s="64">
        <v>11.5</v>
      </c>
      <c r="L175" s="164">
        <f t="shared" si="28"/>
        <v>2.2032830093535076</v>
      </c>
      <c r="M175" s="165">
        <f t="shared" si="29"/>
        <v>3.0208000000000004</v>
      </c>
      <c r="N175" s="64">
        <v>14.6</v>
      </c>
      <c r="O175" s="163">
        <f t="shared" si="30"/>
        <v>7.3</v>
      </c>
      <c r="P175" s="64">
        <v>8.64</v>
      </c>
      <c r="Q175" s="163">
        <f t="shared" si="31"/>
        <v>1.5967036399207477</v>
      </c>
      <c r="R175" s="188">
        <f t="shared" si="32"/>
        <v>1.7408000000000001</v>
      </c>
      <c r="S175" s="165">
        <v>30.8</v>
      </c>
      <c r="T175" s="64">
        <v>11.7</v>
      </c>
    </row>
    <row r="176" spans="1:20" x14ac:dyDescent="0.25">
      <c r="A176" s="162" t="str">
        <f t="shared" si="33"/>
        <v>RECC  60*40*4</v>
      </c>
      <c r="B176" s="163">
        <f t="shared" si="23"/>
        <v>5.4541521118726344</v>
      </c>
      <c r="C176" s="64">
        <v>60</v>
      </c>
      <c r="D176" s="64">
        <v>40</v>
      </c>
      <c r="E176" s="64">
        <v>4</v>
      </c>
      <c r="F176" s="64">
        <f t="shared" si="24"/>
        <v>4</v>
      </c>
      <c r="G176" s="64">
        <f t="shared" si="25"/>
        <v>8</v>
      </c>
      <c r="H176" s="163">
        <f t="shared" si="26"/>
        <v>6.9479644737231006</v>
      </c>
      <c r="I176" s="64">
        <v>32.799999999999997</v>
      </c>
      <c r="J176" s="163">
        <f t="shared" si="27"/>
        <v>10.933333333333332</v>
      </c>
      <c r="K176" s="64">
        <v>13.8</v>
      </c>
      <c r="L176" s="164">
        <f t="shared" si="28"/>
        <v>2.1727418386441939</v>
      </c>
      <c r="M176" s="165">
        <f t="shared" si="29"/>
        <v>3.52</v>
      </c>
      <c r="N176" s="64">
        <v>17</v>
      </c>
      <c r="O176" s="163">
        <f t="shared" si="30"/>
        <v>8.5</v>
      </c>
      <c r="P176" s="64">
        <v>10.3</v>
      </c>
      <c r="Q176" s="163">
        <f t="shared" si="31"/>
        <v>1.5642121902378998</v>
      </c>
      <c r="R176" s="188">
        <f t="shared" si="32"/>
        <v>1.92</v>
      </c>
      <c r="S176" s="165">
        <v>36.700000000000003</v>
      </c>
      <c r="T176" s="64">
        <v>13.7</v>
      </c>
    </row>
    <row r="177" spans="1:20" x14ac:dyDescent="0.25">
      <c r="A177" s="162" t="str">
        <f t="shared" si="33"/>
        <v>RECC  60*40*5</v>
      </c>
      <c r="B177" s="163">
        <f t="shared" si="23"/>
        <v>6.5596126748009915</v>
      </c>
      <c r="C177" s="64">
        <v>60</v>
      </c>
      <c r="D177" s="64">
        <v>40</v>
      </c>
      <c r="E177" s="64">
        <v>5</v>
      </c>
      <c r="F177" s="64">
        <f t="shared" si="24"/>
        <v>5</v>
      </c>
      <c r="G177" s="64">
        <f t="shared" si="25"/>
        <v>10</v>
      </c>
      <c r="H177" s="163">
        <f t="shared" si="26"/>
        <v>8.3561944901923457</v>
      </c>
      <c r="I177" s="64">
        <v>38.1</v>
      </c>
      <c r="J177" s="163">
        <f t="shared" si="27"/>
        <v>12.700000000000001</v>
      </c>
      <c r="K177" s="64">
        <v>16.399999999999999</v>
      </c>
      <c r="L177" s="164">
        <f t="shared" si="28"/>
        <v>2.135296646654977</v>
      </c>
      <c r="M177" s="165">
        <f t="shared" si="29"/>
        <v>4</v>
      </c>
      <c r="N177" s="64">
        <v>19.5</v>
      </c>
      <c r="O177" s="163">
        <f t="shared" si="30"/>
        <v>9.75</v>
      </c>
      <c r="P177" s="64">
        <v>12.2</v>
      </c>
      <c r="Q177" s="163">
        <f t="shared" si="31"/>
        <v>1.5276119106627621</v>
      </c>
      <c r="R177" s="188">
        <f t="shared" si="32"/>
        <v>2</v>
      </c>
      <c r="S177" s="165">
        <v>43</v>
      </c>
      <c r="T177" s="64">
        <v>15.7</v>
      </c>
    </row>
    <row r="178" spans="1:20" x14ac:dyDescent="0.25">
      <c r="A178" s="162" t="str">
        <f t="shared" si="33"/>
        <v>RECC  60*40*6.3</v>
      </c>
      <c r="B178" s="163">
        <f t="shared" si="23"/>
        <v>7.5749301100187383</v>
      </c>
      <c r="C178" s="64">
        <v>60</v>
      </c>
      <c r="D178" s="64">
        <v>40</v>
      </c>
      <c r="E178" s="64">
        <v>6.3</v>
      </c>
      <c r="F178" s="64">
        <f t="shared" si="24"/>
        <v>9.4499999999999993</v>
      </c>
      <c r="G178" s="64">
        <f t="shared" si="25"/>
        <v>15.75</v>
      </c>
      <c r="H178" s="163">
        <f t="shared" si="26"/>
        <v>9.6495924968391567</v>
      </c>
      <c r="I178" s="64">
        <v>43.4</v>
      </c>
      <c r="J178" s="163">
        <f t="shared" si="27"/>
        <v>14.466666666666667</v>
      </c>
      <c r="K178" s="64">
        <v>19.2</v>
      </c>
      <c r="L178" s="164">
        <f t="shared" si="28"/>
        <v>2.1207544064379706</v>
      </c>
      <c r="M178" s="165">
        <f t="shared" si="29"/>
        <v>3.5909999999999997</v>
      </c>
      <c r="N178" s="64">
        <v>21.9</v>
      </c>
      <c r="O178" s="163">
        <f t="shared" si="30"/>
        <v>10.95</v>
      </c>
      <c r="P178" s="64">
        <v>14.2</v>
      </c>
      <c r="Q178" s="163">
        <f t="shared" si="31"/>
        <v>1.5064945702023289</v>
      </c>
      <c r="R178" s="188">
        <f t="shared" si="32"/>
        <v>1.071</v>
      </c>
      <c r="S178" s="165">
        <v>49.5</v>
      </c>
      <c r="T178" s="64">
        <v>17.600000000000001</v>
      </c>
    </row>
    <row r="179" spans="1:20" x14ac:dyDescent="0.25">
      <c r="A179" s="166" t="str">
        <f t="shared" si="33"/>
        <v>RECC  80*40*3.2</v>
      </c>
      <c r="B179" s="168">
        <f t="shared" si="23"/>
        <v>5.5002573515984867</v>
      </c>
      <c r="C179" s="167">
        <v>80</v>
      </c>
      <c r="D179" s="167">
        <v>40</v>
      </c>
      <c r="E179" s="167">
        <v>3.2</v>
      </c>
      <c r="F179" s="167">
        <f t="shared" si="24"/>
        <v>3.2</v>
      </c>
      <c r="G179" s="167">
        <f t="shared" si="25"/>
        <v>6.4</v>
      </c>
      <c r="H179" s="168">
        <f t="shared" si="26"/>
        <v>7.0066972631827857</v>
      </c>
      <c r="I179" s="167">
        <v>57.2</v>
      </c>
      <c r="J179" s="168">
        <f t="shared" si="27"/>
        <v>14.3</v>
      </c>
      <c r="K179" s="167">
        <v>18</v>
      </c>
      <c r="L179" s="169">
        <f t="shared" si="28"/>
        <v>2.8572045804455457</v>
      </c>
      <c r="M179" s="170">
        <f t="shared" si="29"/>
        <v>4.3008000000000006</v>
      </c>
      <c r="N179" s="167">
        <v>18.899999999999999</v>
      </c>
      <c r="O179" s="168">
        <f t="shared" si="30"/>
        <v>9.4499999999999993</v>
      </c>
      <c r="P179" s="167">
        <v>11</v>
      </c>
      <c r="Q179" s="168">
        <f t="shared" si="31"/>
        <v>1.64238218422604</v>
      </c>
      <c r="R179" s="189">
        <f t="shared" si="32"/>
        <v>1.7408000000000001</v>
      </c>
      <c r="S179" s="170">
        <v>46.2</v>
      </c>
      <c r="T179" s="171">
        <v>16.100000000000001</v>
      </c>
    </row>
    <row r="180" spans="1:20" x14ac:dyDescent="0.25">
      <c r="A180" s="172" t="str">
        <f t="shared" si="33"/>
        <v>RECC  80*40*4</v>
      </c>
      <c r="B180" s="174">
        <f t="shared" si="23"/>
        <v>6.7101521118726337</v>
      </c>
      <c r="C180" s="173">
        <v>80</v>
      </c>
      <c r="D180" s="173">
        <v>40</v>
      </c>
      <c r="E180" s="173">
        <v>4</v>
      </c>
      <c r="F180" s="173">
        <f t="shared" si="24"/>
        <v>4</v>
      </c>
      <c r="G180" s="173">
        <f t="shared" si="25"/>
        <v>8</v>
      </c>
      <c r="H180" s="174">
        <f t="shared" si="26"/>
        <v>8.5479644737231002</v>
      </c>
      <c r="I180" s="173">
        <v>68.2</v>
      </c>
      <c r="J180" s="174">
        <f t="shared" si="27"/>
        <v>17.05</v>
      </c>
      <c r="K180" s="173">
        <v>21.8</v>
      </c>
      <c r="L180" s="175">
        <f t="shared" si="28"/>
        <v>2.8246252240558416</v>
      </c>
      <c r="M180" s="176">
        <f t="shared" si="29"/>
        <v>5.12</v>
      </c>
      <c r="N180" s="173">
        <v>22.2</v>
      </c>
      <c r="O180" s="174">
        <f t="shared" si="30"/>
        <v>11.1</v>
      </c>
      <c r="P180" s="173">
        <v>13.2</v>
      </c>
      <c r="Q180" s="174">
        <f t="shared" si="31"/>
        <v>1.6115550038312243</v>
      </c>
      <c r="R180" s="190">
        <f t="shared" si="32"/>
        <v>1.92</v>
      </c>
      <c r="S180" s="176">
        <v>55.2</v>
      </c>
      <c r="T180" s="177">
        <v>18.899999999999999</v>
      </c>
    </row>
    <row r="181" spans="1:20" x14ac:dyDescent="0.25">
      <c r="A181" s="172" t="str">
        <f t="shared" si="33"/>
        <v>RECC  80*40*5</v>
      </c>
      <c r="B181" s="174">
        <f t="shared" si="23"/>
        <v>8.1296126748009918</v>
      </c>
      <c r="C181" s="173">
        <v>80</v>
      </c>
      <c r="D181" s="173">
        <v>40</v>
      </c>
      <c r="E181" s="173">
        <v>5</v>
      </c>
      <c r="F181" s="173">
        <f t="shared" si="24"/>
        <v>5</v>
      </c>
      <c r="G181" s="173">
        <f t="shared" si="25"/>
        <v>10</v>
      </c>
      <c r="H181" s="174">
        <f t="shared" si="26"/>
        <v>10.356194490192346</v>
      </c>
      <c r="I181" s="173">
        <v>80.3</v>
      </c>
      <c r="J181" s="174">
        <f t="shared" si="27"/>
        <v>20.074999999999999</v>
      </c>
      <c r="K181" s="173">
        <v>26.1</v>
      </c>
      <c r="L181" s="175">
        <f t="shared" si="28"/>
        <v>2.7845670107857536</v>
      </c>
      <c r="M181" s="176">
        <f t="shared" si="29"/>
        <v>6</v>
      </c>
      <c r="N181" s="173">
        <v>25.7</v>
      </c>
      <c r="O181" s="174">
        <f t="shared" si="30"/>
        <v>12.85</v>
      </c>
      <c r="P181" s="173">
        <v>15.7</v>
      </c>
      <c r="Q181" s="174">
        <f t="shared" si="31"/>
        <v>1.5753115699065403</v>
      </c>
      <c r="R181" s="190">
        <f t="shared" si="32"/>
        <v>2</v>
      </c>
      <c r="S181" s="173">
        <v>65.099999999999994</v>
      </c>
      <c r="T181" s="177">
        <v>21.9</v>
      </c>
    </row>
    <row r="182" spans="1:20" x14ac:dyDescent="0.25">
      <c r="A182" s="172" t="str">
        <f t="shared" si="33"/>
        <v>RECC  80*40*6.3</v>
      </c>
      <c r="B182" s="174">
        <f t="shared" si="23"/>
        <v>9.5531301100187402</v>
      </c>
      <c r="C182" s="173">
        <v>80</v>
      </c>
      <c r="D182" s="173">
        <v>40</v>
      </c>
      <c r="E182" s="173">
        <v>6.3</v>
      </c>
      <c r="F182" s="173">
        <f t="shared" si="24"/>
        <v>9.4499999999999993</v>
      </c>
      <c r="G182" s="173">
        <f t="shared" si="25"/>
        <v>15.75</v>
      </c>
      <c r="H182" s="174">
        <f t="shared" si="26"/>
        <v>12.169592496839158</v>
      </c>
      <c r="I182" s="173">
        <v>93.3</v>
      </c>
      <c r="J182" s="174">
        <f t="shared" si="27"/>
        <v>23.324999999999999</v>
      </c>
      <c r="K182" s="173">
        <v>31.1</v>
      </c>
      <c r="L182" s="175">
        <f t="shared" si="28"/>
        <v>2.7688715176061169</v>
      </c>
      <c r="M182" s="176">
        <f t="shared" si="29"/>
        <v>6.1110000000000007</v>
      </c>
      <c r="N182" s="173">
        <v>29.2</v>
      </c>
      <c r="O182" s="174">
        <f t="shared" si="30"/>
        <v>14.6</v>
      </c>
      <c r="P182" s="173">
        <v>18.399999999999999</v>
      </c>
      <c r="Q182" s="174">
        <f t="shared" si="31"/>
        <v>1.549007097691224</v>
      </c>
      <c r="R182" s="190">
        <f t="shared" si="32"/>
        <v>1.071</v>
      </c>
      <c r="S182" s="173">
        <v>75.599999999999994</v>
      </c>
      <c r="T182" s="177">
        <v>24.8</v>
      </c>
    </row>
    <row r="183" spans="1:20" x14ac:dyDescent="0.25">
      <c r="A183" s="178" t="str">
        <f t="shared" si="33"/>
        <v>RECC  80*40*8</v>
      </c>
      <c r="B183" s="180">
        <f t="shared" si="23"/>
        <v>11.337344596654049</v>
      </c>
      <c r="C183" s="179">
        <v>80</v>
      </c>
      <c r="D183" s="179">
        <v>40</v>
      </c>
      <c r="E183" s="179">
        <v>8</v>
      </c>
      <c r="F183" s="179">
        <f t="shared" si="24"/>
        <v>12</v>
      </c>
      <c r="G183" s="179">
        <f t="shared" si="25"/>
        <v>20</v>
      </c>
      <c r="H183" s="180">
        <f t="shared" si="26"/>
        <v>14.442477193189871</v>
      </c>
      <c r="I183" s="179">
        <v>106</v>
      </c>
      <c r="J183" s="180">
        <f t="shared" si="27"/>
        <v>26.5</v>
      </c>
      <c r="K183" s="179">
        <v>36.5</v>
      </c>
      <c r="L183" s="181">
        <f t="shared" si="28"/>
        <v>2.7091439849816132</v>
      </c>
      <c r="M183" s="182">
        <f t="shared" si="29"/>
        <v>6.4</v>
      </c>
      <c r="N183" s="179">
        <v>32.1</v>
      </c>
      <c r="O183" s="180">
        <f t="shared" si="30"/>
        <v>16.05</v>
      </c>
      <c r="P183" s="179">
        <v>21.2</v>
      </c>
      <c r="Q183" s="180">
        <f t="shared" si="31"/>
        <v>1.490842177835856</v>
      </c>
      <c r="R183" s="191">
        <f t="shared" si="32"/>
        <v>0</v>
      </c>
      <c r="S183" s="179">
        <v>85.5</v>
      </c>
      <c r="T183" s="183">
        <v>27.4</v>
      </c>
    </row>
    <row r="184" spans="1:20" x14ac:dyDescent="0.25">
      <c r="A184" s="162" t="str">
        <f t="shared" si="33"/>
        <v>RECC  90*50*3.2</v>
      </c>
      <c r="B184" s="163">
        <f t="shared" si="23"/>
        <v>6.5050573515984871</v>
      </c>
      <c r="C184" s="64">
        <v>90</v>
      </c>
      <c r="D184" s="64">
        <v>50</v>
      </c>
      <c r="E184" s="64">
        <v>3.2</v>
      </c>
      <c r="F184" s="64">
        <f t="shared" si="24"/>
        <v>3.2</v>
      </c>
      <c r="G184" s="64">
        <f t="shared" si="25"/>
        <v>6.4</v>
      </c>
      <c r="H184" s="163">
        <f t="shared" si="26"/>
        <v>8.286697263182786</v>
      </c>
      <c r="I184" s="64">
        <v>89.1</v>
      </c>
      <c r="J184" s="163">
        <f t="shared" si="27"/>
        <v>19.799999999999997</v>
      </c>
      <c r="K184" s="64">
        <v>24.6</v>
      </c>
      <c r="L184" s="164">
        <f t="shared" si="28"/>
        <v>3.2790505774657759</v>
      </c>
      <c r="M184" s="165">
        <f t="shared" si="29"/>
        <v>4.9408000000000003</v>
      </c>
      <c r="N184" s="64">
        <v>35.299999999999997</v>
      </c>
      <c r="O184" s="163">
        <f t="shared" si="30"/>
        <v>14.12</v>
      </c>
      <c r="P184" s="64">
        <v>16.2</v>
      </c>
      <c r="Q184" s="163">
        <f t="shared" si="31"/>
        <v>2.0639378528991421</v>
      </c>
      <c r="R184" s="188">
        <f t="shared" si="32"/>
        <v>2.3808000000000002</v>
      </c>
      <c r="S184" s="64">
        <v>80.900000000000006</v>
      </c>
      <c r="T184" s="64">
        <v>23.6</v>
      </c>
    </row>
    <row r="185" spans="1:20" x14ac:dyDescent="0.25">
      <c r="A185" s="162" t="str">
        <f t="shared" si="33"/>
        <v>RECC  90*50*4</v>
      </c>
      <c r="B185" s="163">
        <f t="shared" si="23"/>
        <v>7.9661521118726339</v>
      </c>
      <c r="C185" s="64">
        <v>90</v>
      </c>
      <c r="D185" s="64">
        <v>50</v>
      </c>
      <c r="E185" s="64">
        <v>4</v>
      </c>
      <c r="F185" s="64">
        <f t="shared" si="24"/>
        <v>4</v>
      </c>
      <c r="G185" s="64">
        <f t="shared" si="25"/>
        <v>8</v>
      </c>
      <c r="H185" s="163">
        <f t="shared" si="26"/>
        <v>10.1479644737231</v>
      </c>
      <c r="I185" s="64">
        <v>107</v>
      </c>
      <c r="J185" s="163">
        <f t="shared" si="27"/>
        <v>23.777777777777779</v>
      </c>
      <c r="K185" s="64">
        <v>29.8</v>
      </c>
      <c r="L185" s="164">
        <f t="shared" si="28"/>
        <v>3.2471505137983967</v>
      </c>
      <c r="M185" s="165">
        <f t="shared" si="29"/>
        <v>5.92</v>
      </c>
      <c r="N185" s="64">
        <v>41.9</v>
      </c>
      <c r="O185" s="163">
        <f t="shared" si="30"/>
        <v>16.759999999999998</v>
      </c>
      <c r="P185" s="64">
        <v>19.600000000000001</v>
      </c>
      <c r="Q185" s="163">
        <f t="shared" si="31"/>
        <v>2.0319711728100995</v>
      </c>
      <c r="R185" s="188">
        <f t="shared" si="32"/>
        <v>2.72</v>
      </c>
      <c r="S185" s="64">
        <v>97.5</v>
      </c>
      <c r="T185" s="64">
        <v>28</v>
      </c>
    </row>
    <row r="186" spans="1:20" x14ac:dyDescent="0.25">
      <c r="A186" s="162" t="str">
        <f t="shared" si="33"/>
        <v>RECC  90*50*5</v>
      </c>
      <c r="B186" s="163">
        <f t="shared" si="23"/>
        <v>9.6996126748009921</v>
      </c>
      <c r="C186" s="64">
        <v>90</v>
      </c>
      <c r="D186" s="64">
        <v>50</v>
      </c>
      <c r="E186" s="64">
        <v>5</v>
      </c>
      <c r="F186" s="64">
        <f t="shared" si="24"/>
        <v>5</v>
      </c>
      <c r="G186" s="64">
        <f t="shared" si="25"/>
        <v>10</v>
      </c>
      <c r="H186" s="163">
        <f t="shared" si="26"/>
        <v>12.356194490192346</v>
      </c>
      <c r="I186" s="64">
        <v>127</v>
      </c>
      <c r="J186" s="163">
        <f t="shared" si="27"/>
        <v>28.222222222222221</v>
      </c>
      <c r="K186" s="64">
        <v>36</v>
      </c>
      <c r="L186" s="164">
        <f t="shared" si="28"/>
        <v>3.2059702846934166</v>
      </c>
      <c r="M186" s="165">
        <f t="shared" si="29"/>
        <v>7</v>
      </c>
      <c r="N186" s="64">
        <v>49.2</v>
      </c>
      <c r="O186" s="163">
        <f t="shared" si="30"/>
        <v>19.68</v>
      </c>
      <c r="P186" s="64">
        <v>23.5</v>
      </c>
      <c r="Q186" s="163">
        <f t="shared" si="31"/>
        <v>1.9954469373732691</v>
      </c>
      <c r="R186" s="188">
        <f t="shared" si="32"/>
        <v>3</v>
      </c>
      <c r="S186" s="64">
        <v>116</v>
      </c>
      <c r="T186" s="64">
        <v>32.9</v>
      </c>
    </row>
    <row r="187" spans="1:20" x14ac:dyDescent="0.25">
      <c r="A187" s="162" t="str">
        <f t="shared" si="33"/>
        <v>RECC  90*50*6.3</v>
      </c>
      <c r="B187" s="163">
        <f t="shared" si="23"/>
        <v>11.53133011001874</v>
      </c>
      <c r="C187" s="64">
        <v>90</v>
      </c>
      <c r="D187" s="64">
        <v>50</v>
      </c>
      <c r="E187" s="64">
        <v>6.3</v>
      </c>
      <c r="F187" s="64">
        <f t="shared" si="24"/>
        <v>9.4499999999999993</v>
      </c>
      <c r="G187" s="64">
        <f t="shared" si="25"/>
        <v>15.75</v>
      </c>
      <c r="H187" s="163">
        <f t="shared" si="26"/>
        <v>14.689592496839158</v>
      </c>
      <c r="I187" s="64">
        <v>150</v>
      </c>
      <c r="J187" s="163">
        <f t="shared" si="27"/>
        <v>33.333333333333336</v>
      </c>
      <c r="K187" s="64">
        <v>43.2</v>
      </c>
      <c r="L187" s="164">
        <f t="shared" si="28"/>
        <v>3.1955142268021599</v>
      </c>
      <c r="M187" s="165">
        <f t="shared" si="29"/>
        <v>7.3710000000000004</v>
      </c>
      <c r="N187" s="64">
        <v>57</v>
      </c>
      <c r="O187" s="163">
        <f t="shared" si="30"/>
        <v>22.8</v>
      </c>
      <c r="P187" s="64">
        <v>28</v>
      </c>
      <c r="Q187" s="163">
        <f t="shared" si="31"/>
        <v>1.9698472646385816</v>
      </c>
      <c r="R187" s="188">
        <f t="shared" si="32"/>
        <v>2.331</v>
      </c>
      <c r="S187" s="64">
        <v>138</v>
      </c>
      <c r="T187" s="64">
        <v>38.1</v>
      </c>
    </row>
    <row r="188" spans="1:20" x14ac:dyDescent="0.25">
      <c r="A188" s="162" t="str">
        <f t="shared" si="33"/>
        <v>RECC  90*50*8</v>
      </c>
      <c r="B188" s="163">
        <f t="shared" si="23"/>
        <v>13.849344596654051</v>
      </c>
      <c r="C188" s="64">
        <v>90</v>
      </c>
      <c r="D188" s="64">
        <v>50</v>
      </c>
      <c r="E188" s="64">
        <v>8</v>
      </c>
      <c r="F188" s="64">
        <f t="shared" si="24"/>
        <v>12</v>
      </c>
      <c r="G188" s="64">
        <f t="shared" si="25"/>
        <v>20</v>
      </c>
      <c r="H188" s="163">
        <f t="shared" si="26"/>
        <v>17.642477193189873</v>
      </c>
      <c r="I188" s="64">
        <v>174</v>
      </c>
      <c r="J188" s="163">
        <f t="shared" si="27"/>
        <v>38.666666666666664</v>
      </c>
      <c r="K188" s="64">
        <v>51.4</v>
      </c>
      <c r="L188" s="164">
        <f t="shared" si="28"/>
        <v>3.1404713936577546</v>
      </c>
      <c r="M188" s="165">
        <f t="shared" si="29"/>
        <v>8</v>
      </c>
      <c r="N188" s="64">
        <v>64.599999999999994</v>
      </c>
      <c r="O188" s="163">
        <f t="shared" si="30"/>
        <v>25.839999999999996</v>
      </c>
      <c r="P188" s="64">
        <v>32.9</v>
      </c>
      <c r="Q188" s="163">
        <f t="shared" si="31"/>
        <v>1.9135352927751548</v>
      </c>
      <c r="R188" s="188">
        <f t="shared" si="32"/>
        <v>1.6</v>
      </c>
      <c r="S188" s="64">
        <v>160</v>
      </c>
      <c r="T188" s="64">
        <v>43.2</v>
      </c>
    </row>
    <row r="189" spans="1:20" x14ac:dyDescent="0.25">
      <c r="A189" s="166" t="str">
        <f t="shared" si="33"/>
        <v>RECC  100*50*3.2</v>
      </c>
      <c r="B189" s="168">
        <f t="shared" si="23"/>
        <v>7.0074573515984877</v>
      </c>
      <c r="C189" s="167">
        <v>100</v>
      </c>
      <c r="D189" s="167">
        <v>50</v>
      </c>
      <c r="E189" s="167">
        <v>3.2</v>
      </c>
      <c r="F189" s="167">
        <f t="shared" si="24"/>
        <v>3.2</v>
      </c>
      <c r="G189" s="167">
        <f t="shared" si="25"/>
        <v>6.4</v>
      </c>
      <c r="H189" s="168">
        <f t="shared" si="26"/>
        <v>8.9266972631827866</v>
      </c>
      <c r="I189" s="167">
        <v>116</v>
      </c>
      <c r="J189" s="168">
        <f t="shared" si="27"/>
        <v>23.2</v>
      </c>
      <c r="K189" s="167">
        <v>28.9</v>
      </c>
      <c r="L189" s="169">
        <f t="shared" si="28"/>
        <v>3.6048200618215471</v>
      </c>
      <c r="M189" s="170">
        <f t="shared" si="29"/>
        <v>5.5808000000000009</v>
      </c>
      <c r="N189" s="167">
        <v>38.799999999999997</v>
      </c>
      <c r="O189" s="168">
        <f t="shared" si="30"/>
        <v>15.52</v>
      </c>
      <c r="P189" s="167">
        <v>17.7</v>
      </c>
      <c r="Q189" s="168">
        <f t="shared" si="31"/>
        <v>2.0848290964247478</v>
      </c>
      <c r="R189" s="189">
        <f t="shared" si="32"/>
        <v>2.3808000000000002</v>
      </c>
      <c r="S189" s="167">
        <v>93.4</v>
      </c>
      <c r="T189" s="171">
        <v>26.4</v>
      </c>
    </row>
    <row r="190" spans="1:20" x14ac:dyDescent="0.25">
      <c r="A190" s="172" t="str">
        <f t="shared" si="33"/>
        <v>RECC  100*50*4</v>
      </c>
      <c r="B190" s="174">
        <f t="shared" si="23"/>
        <v>8.5941521118726349</v>
      </c>
      <c r="C190" s="173">
        <v>100</v>
      </c>
      <c r="D190" s="173">
        <v>50</v>
      </c>
      <c r="E190" s="173">
        <v>4</v>
      </c>
      <c r="F190" s="173">
        <f t="shared" si="24"/>
        <v>4</v>
      </c>
      <c r="G190" s="173">
        <f t="shared" si="25"/>
        <v>8</v>
      </c>
      <c r="H190" s="174">
        <f t="shared" si="26"/>
        <v>10.947964473723101</v>
      </c>
      <c r="I190" s="173">
        <v>140</v>
      </c>
      <c r="J190" s="174">
        <f t="shared" si="27"/>
        <v>28</v>
      </c>
      <c r="K190" s="173">
        <v>35.200000000000003</v>
      </c>
      <c r="L190" s="175">
        <f t="shared" si="28"/>
        <v>3.5759985013257931</v>
      </c>
      <c r="M190" s="176">
        <f t="shared" si="29"/>
        <v>6.72</v>
      </c>
      <c r="N190" s="173">
        <v>46.2</v>
      </c>
      <c r="O190" s="174">
        <f t="shared" si="30"/>
        <v>18.48</v>
      </c>
      <c r="P190" s="173">
        <v>21.5</v>
      </c>
      <c r="Q190" s="174">
        <f t="shared" si="31"/>
        <v>2.0542547414792125</v>
      </c>
      <c r="R190" s="190">
        <f t="shared" si="32"/>
        <v>2.72</v>
      </c>
      <c r="S190" s="173">
        <v>113</v>
      </c>
      <c r="T190" s="177">
        <v>31.4</v>
      </c>
    </row>
    <row r="191" spans="1:20" x14ac:dyDescent="0.25">
      <c r="A191" s="172" t="str">
        <f t="shared" si="33"/>
        <v>RECC  100*50*5</v>
      </c>
      <c r="B191" s="174">
        <f t="shared" si="23"/>
        <v>10.484612674800992</v>
      </c>
      <c r="C191" s="173">
        <v>100</v>
      </c>
      <c r="D191" s="173">
        <v>50</v>
      </c>
      <c r="E191" s="173">
        <v>5</v>
      </c>
      <c r="F191" s="173">
        <f t="shared" si="24"/>
        <v>5</v>
      </c>
      <c r="G191" s="173">
        <f t="shared" si="25"/>
        <v>10</v>
      </c>
      <c r="H191" s="174">
        <f t="shared" si="26"/>
        <v>13.356194490192346</v>
      </c>
      <c r="I191" s="173">
        <v>167</v>
      </c>
      <c r="J191" s="174">
        <f t="shared" si="27"/>
        <v>33.4</v>
      </c>
      <c r="K191" s="173">
        <v>42.6</v>
      </c>
      <c r="L191" s="175">
        <f t="shared" si="28"/>
        <v>3.5360375505419936</v>
      </c>
      <c r="M191" s="176">
        <f t="shared" si="29"/>
        <v>8</v>
      </c>
      <c r="N191" s="173">
        <v>54.3</v>
      </c>
      <c r="O191" s="174">
        <f t="shared" si="30"/>
        <v>21.72</v>
      </c>
      <c r="P191" s="173">
        <v>25.8</v>
      </c>
      <c r="Q191" s="174">
        <f t="shared" si="31"/>
        <v>2.0163157732053043</v>
      </c>
      <c r="R191" s="190">
        <f t="shared" si="32"/>
        <v>3</v>
      </c>
      <c r="S191" s="173">
        <v>135</v>
      </c>
      <c r="T191" s="177">
        <v>36.9</v>
      </c>
    </row>
    <row r="192" spans="1:20" x14ac:dyDescent="0.25">
      <c r="A192" s="172" t="str">
        <f t="shared" si="33"/>
        <v>RECC  100*50*6.3</v>
      </c>
      <c r="B192" s="174">
        <f t="shared" si="23"/>
        <v>12.520430110018738</v>
      </c>
      <c r="C192" s="173">
        <v>100</v>
      </c>
      <c r="D192" s="173">
        <v>50</v>
      </c>
      <c r="E192" s="173">
        <v>6.3</v>
      </c>
      <c r="F192" s="173">
        <f t="shared" si="24"/>
        <v>9.4499999999999993</v>
      </c>
      <c r="G192" s="173">
        <f t="shared" si="25"/>
        <v>15.75</v>
      </c>
      <c r="H192" s="174">
        <f t="shared" si="26"/>
        <v>15.949592496839157</v>
      </c>
      <c r="I192" s="173">
        <v>197</v>
      </c>
      <c r="J192" s="174">
        <f t="shared" si="27"/>
        <v>39.4</v>
      </c>
      <c r="K192" s="173">
        <v>51.3</v>
      </c>
      <c r="L192" s="175">
        <f t="shared" si="28"/>
        <v>3.5144576739950977</v>
      </c>
      <c r="M192" s="176">
        <f t="shared" si="29"/>
        <v>8.6310000000000002</v>
      </c>
      <c r="N192" s="173">
        <v>63</v>
      </c>
      <c r="O192" s="174">
        <f t="shared" si="30"/>
        <v>25.2</v>
      </c>
      <c r="P192" s="173">
        <v>30.8</v>
      </c>
      <c r="Q192" s="174">
        <f t="shared" si="31"/>
        <v>1.9874466474530941</v>
      </c>
      <c r="R192" s="190">
        <f t="shared" si="32"/>
        <v>2.331</v>
      </c>
      <c r="S192" s="173">
        <v>160</v>
      </c>
      <c r="T192" s="177">
        <v>42.9</v>
      </c>
    </row>
    <row r="193" spans="1:20" x14ac:dyDescent="0.25">
      <c r="A193" s="178" t="str">
        <f t="shared" si="33"/>
        <v>RECC  100*50*8</v>
      </c>
      <c r="B193" s="180">
        <f t="shared" si="23"/>
        <v>15.105344596654049</v>
      </c>
      <c r="C193" s="179">
        <v>100</v>
      </c>
      <c r="D193" s="179">
        <v>50</v>
      </c>
      <c r="E193" s="179">
        <v>8</v>
      </c>
      <c r="F193" s="179">
        <f t="shared" si="24"/>
        <v>12</v>
      </c>
      <c r="G193" s="179">
        <f t="shared" si="25"/>
        <v>20</v>
      </c>
      <c r="H193" s="180">
        <f t="shared" si="26"/>
        <v>19.24247719318987</v>
      </c>
      <c r="I193" s="179">
        <v>230</v>
      </c>
      <c r="J193" s="180">
        <f t="shared" si="27"/>
        <v>46</v>
      </c>
      <c r="K193" s="179">
        <v>61.4</v>
      </c>
      <c r="L193" s="181">
        <f t="shared" si="28"/>
        <v>3.4572710357075618</v>
      </c>
      <c r="M193" s="182">
        <f t="shared" si="29"/>
        <v>9.6</v>
      </c>
      <c r="N193" s="179">
        <v>71.7</v>
      </c>
      <c r="O193" s="180">
        <f t="shared" si="30"/>
        <v>28.68</v>
      </c>
      <c r="P193" s="179">
        <v>36.299999999999997</v>
      </c>
      <c r="Q193" s="180">
        <f t="shared" si="31"/>
        <v>1.930319009598912</v>
      </c>
      <c r="R193" s="191">
        <f t="shared" si="32"/>
        <v>1.6</v>
      </c>
      <c r="S193" s="179">
        <v>186</v>
      </c>
      <c r="T193" s="183">
        <v>48.9</v>
      </c>
    </row>
    <row r="194" spans="1:20" x14ac:dyDescent="0.25">
      <c r="A194" s="162" t="str">
        <f t="shared" si="33"/>
        <v>RECC  100*60*3.2</v>
      </c>
      <c r="B194" s="163">
        <f t="shared" si="23"/>
        <v>7.5098573515984866</v>
      </c>
      <c r="C194" s="64">
        <v>100</v>
      </c>
      <c r="D194" s="64">
        <v>60</v>
      </c>
      <c r="E194" s="64">
        <v>3.2</v>
      </c>
      <c r="F194" s="64">
        <f t="shared" si="24"/>
        <v>3.2</v>
      </c>
      <c r="G194" s="64">
        <f t="shared" si="25"/>
        <v>6.4</v>
      </c>
      <c r="H194" s="163">
        <f t="shared" si="26"/>
        <v>9.5666972631827853</v>
      </c>
      <c r="I194" s="64">
        <v>131</v>
      </c>
      <c r="J194" s="163">
        <f t="shared" si="27"/>
        <v>26.2</v>
      </c>
      <c r="K194" s="64">
        <v>32</v>
      </c>
      <c r="L194" s="164">
        <f t="shared" si="28"/>
        <v>3.7004507828556581</v>
      </c>
      <c r="M194" s="165">
        <f t="shared" si="29"/>
        <v>5.5808000000000009</v>
      </c>
      <c r="N194" s="64">
        <v>58.8</v>
      </c>
      <c r="O194" s="163">
        <f t="shared" si="30"/>
        <v>19.599999999999998</v>
      </c>
      <c r="P194" s="64">
        <v>22.4</v>
      </c>
      <c r="Q194" s="163">
        <f t="shared" si="31"/>
        <v>2.4791776471220159</v>
      </c>
      <c r="R194" s="188">
        <f t="shared" si="32"/>
        <v>3.0208000000000004</v>
      </c>
      <c r="S194" s="64">
        <v>129</v>
      </c>
      <c r="T194" s="64">
        <v>32.4</v>
      </c>
    </row>
    <row r="195" spans="1:20" x14ac:dyDescent="0.25">
      <c r="A195" s="162" t="str">
        <f t="shared" si="33"/>
        <v>RECC  100*60*4</v>
      </c>
      <c r="B195" s="163">
        <f t="shared" si="23"/>
        <v>9.2221521118726333</v>
      </c>
      <c r="C195" s="64">
        <v>100</v>
      </c>
      <c r="D195" s="64">
        <v>60</v>
      </c>
      <c r="E195" s="64">
        <v>4</v>
      </c>
      <c r="F195" s="64">
        <f t="shared" si="24"/>
        <v>4</v>
      </c>
      <c r="G195" s="64">
        <f t="shared" si="25"/>
        <v>8</v>
      </c>
      <c r="H195" s="163">
        <f t="shared" si="26"/>
        <v>11.747964473723099</v>
      </c>
      <c r="I195" s="64">
        <v>158</v>
      </c>
      <c r="J195" s="163">
        <f t="shared" si="27"/>
        <v>31.6</v>
      </c>
      <c r="K195" s="64">
        <v>39.1</v>
      </c>
      <c r="L195" s="164">
        <f t="shared" si="28"/>
        <v>3.6673066942004016</v>
      </c>
      <c r="M195" s="165">
        <f t="shared" si="29"/>
        <v>6.72</v>
      </c>
      <c r="N195" s="64">
        <v>70.5</v>
      </c>
      <c r="O195" s="163">
        <f t="shared" si="30"/>
        <v>23.5</v>
      </c>
      <c r="P195" s="64">
        <v>27.3</v>
      </c>
      <c r="Q195" s="163">
        <f t="shared" si="31"/>
        <v>2.4497019405979494</v>
      </c>
      <c r="R195" s="188">
        <f t="shared" si="32"/>
        <v>3.52</v>
      </c>
      <c r="S195" s="64">
        <v>156</v>
      </c>
      <c r="T195" s="64">
        <v>38.700000000000003</v>
      </c>
    </row>
    <row r="196" spans="1:20" x14ac:dyDescent="0.25">
      <c r="A196" s="162" t="str">
        <f t="shared" si="33"/>
        <v>RECC  100*60*5</v>
      </c>
      <c r="B196" s="163">
        <f t="shared" si="23"/>
        <v>11.269612674800992</v>
      </c>
      <c r="C196" s="64">
        <v>100</v>
      </c>
      <c r="D196" s="64">
        <v>60</v>
      </c>
      <c r="E196" s="64">
        <v>5</v>
      </c>
      <c r="F196" s="64">
        <f t="shared" si="24"/>
        <v>5</v>
      </c>
      <c r="G196" s="64">
        <f t="shared" si="25"/>
        <v>10</v>
      </c>
      <c r="H196" s="163">
        <f t="shared" si="26"/>
        <v>14.356194490192346</v>
      </c>
      <c r="I196" s="64">
        <v>189</v>
      </c>
      <c r="J196" s="163">
        <f t="shared" si="27"/>
        <v>37.799999999999997</v>
      </c>
      <c r="K196" s="64">
        <v>47.4</v>
      </c>
      <c r="L196" s="164">
        <f t="shared" si="28"/>
        <v>3.6283672260621884</v>
      </c>
      <c r="M196" s="165">
        <f t="shared" si="29"/>
        <v>8</v>
      </c>
      <c r="N196" s="64">
        <v>83.6</v>
      </c>
      <c r="O196" s="163">
        <f t="shared" si="30"/>
        <v>27.866666666666664</v>
      </c>
      <c r="P196" s="64">
        <v>32.9</v>
      </c>
      <c r="Q196" s="163">
        <f t="shared" si="31"/>
        <v>2.4131452982858179</v>
      </c>
      <c r="R196" s="188">
        <f t="shared" si="32"/>
        <v>4</v>
      </c>
      <c r="S196" s="64">
        <v>188</v>
      </c>
      <c r="T196" s="64">
        <v>45.9</v>
      </c>
    </row>
    <row r="197" spans="1:20" x14ac:dyDescent="0.25">
      <c r="A197" s="162" t="str">
        <f t="shared" si="33"/>
        <v>RECC  100*60*6.3</v>
      </c>
      <c r="B197" s="163">
        <f t="shared" ref="B197:B260" si="34">H197*0.785</f>
        <v>13.509530110018739</v>
      </c>
      <c r="C197" s="64">
        <v>100</v>
      </c>
      <c r="D197" s="64">
        <v>60</v>
      </c>
      <c r="E197" s="64">
        <v>6.3</v>
      </c>
      <c r="F197" s="64">
        <f t="shared" ref="F197:F260" si="35">IF(E197&lt;=6,1*E197,IF(E197&lt;=10,1.5*E197,2*E197))</f>
        <v>9.4499999999999993</v>
      </c>
      <c r="G197" s="64">
        <f t="shared" ref="G197:G260" si="36">IF(E197&lt;=6,2*E197,IF(E197&lt;=10,2.5*E197,3*E197))</f>
        <v>15.75</v>
      </c>
      <c r="H197" s="163">
        <f t="shared" ref="H197:H260" si="37">(2*(C197-2*G197)*E197+2*(D197-2*G197)*E197+PI()*(G197^2-F197^2))*0.01</f>
        <v>17.209592496839157</v>
      </c>
      <c r="I197" s="64">
        <v>225</v>
      </c>
      <c r="J197" s="163">
        <f t="shared" ref="J197:J260" si="38">I197/(0.5*C197*0.1)</f>
        <v>45</v>
      </c>
      <c r="K197" s="64">
        <v>57.3</v>
      </c>
      <c r="L197" s="164">
        <f t="shared" ref="L197:L260" si="39">SQRT(I197/H197)</f>
        <v>3.6158130313803274</v>
      </c>
      <c r="M197" s="165">
        <f t="shared" ref="M197:M260" si="40">2*(C197-2*G197)*E197*0.01</f>
        <v>8.6310000000000002</v>
      </c>
      <c r="N197" s="64">
        <v>98.1</v>
      </c>
      <c r="O197" s="163">
        <f t="shared" ref="O197:O260" si="41">N197/(0.5*D197*0.1)</f>
        <v>32.699999999999996</v>
      </c>
      <c r="P197" s="64">
        <v>39.5</v>
      </c>
      <c r="Q197" s="163">
        <f t="shared" ref="Q197:Q260" si="42">SQRT(N197/H197)</f>
        <v>2.3875320502067212</v>
      </c>
      <c r="R197" s="188">
        <f t="shared" ref="R197:R260" si="43">2*(D197-2*G197)*E197*0.01</f>
        <v>3.5909999999999997</v>
      </c>
      <c r="S197" s="64">
        <v>224</v>
      </c>
      <c r="T197" s="64">
        <v>53.8</v>
      </c>
    </row>
    <row r="198" spans="1:20" x14ac:dyDescent="0.25">
      <c r="A198" s="162" t="str">
        <f t="shared" si="33"/>
        <v>RECC  100*60*8</v>
      </c>
      <c r="B198" s="163">
        <f t="shared" si="34"/>
        <v>16.36134459665405</v>
      </c>
      <c r="C198" s="64">
        <v>100</v>
      </c>
      <c r="D198" s="64">
        <v>60</v>
      </c>
      <c r="E198" s="64">
        <v>8</v>
      </c>
      <c r="F198" s="64">
        <f t="shared" si="35"/>
        <v>12</v>
      </c>
      <c r="G198" s="64">
        <f t="shared" si="36"/>
        <v>20</v>
      </c>
      <c r="H198" s="163">
        <f t="shared" si="37"/>
        <v>20.842477193189872</v>
      </c>
      <c r="I198" s="64">
        <v>264</v>
      </c>
      <c r="J198" s="163">
        <f t="shared" si="38"/>
        <v>52.8</v>
      </c>
      <c r="K198" s="64">
        <v>68.7</v>
      </c>
      <c r="L198" s="164">
        <f t="shared" si="39"/>
        <v>3.5589943287977923</v>
      </c>
      <c r="M198" s="165">
        <f t="shared" si="40"/>
        <v>9.6</v>
      </c>
      <c r="N198" s="64">
        <v>113</v>
      </c>
      <c r="O198" s="163">
        <f t="shared" si="41"/>
        <v>37.666666666666664</v>
      </c>
      <c r="P198" s="64">
        <v>47.1</v>
      </c>
      <c r="Q198" s="163">
        <f t="shared" si="42"/>
        <v>2.3284373348251979</v>
      </c>
      <c r="R198" s="188">
        <f t="shared" si="43"/>
        <v>3.2</v>
      </c>
      <c r="S198" s="64">
        <v>265</v>
      </c>
      <c r="T198" s="64">
        <v>62.2</v>
      </c>
    </row>
    <row r="199" spans="1:20" x14ac:dyDescent="0.25">
      <c r="A199" s="166" t="str">
        <f t="shared" si="33"/>
        <v>RECC  120*60*4</v>
      </c>
      <c r="B199" s="168">
        <f t="shared" si="34"/>
        <v>10.478152111872635</v>
      </c>
      <c r="C199" s="167">
        <v>120</v>
      </c>
      <c r="D199" s="167">
        <v>60</v>
      </c>
      <c r="E199" s="167">
        <v>4</v>
      </c>
      <c r="F199" s="167">
        <f t="shared" si="35"/>
        <v>4</v>
      </c>
      <c r="G199" s="167">
        <f t="shared" si="36"/>
        <v>8</v>
      </c>
      <c r="H199" s="168">
        <f t="shared" si="37"/>
        <v>13.347964473723101</v>
      </c>
      <c r="I199" s="167"/>
      <c r="J199" s="168">
        <f t="shared" si="38"/>
        <v>0</v>
      </c>
      <c r="K199" s="167"/>
      <c r="L199" s="169">
        <f t="shared" si="39"/>
        <v>0</v>
      </c>
      <c r="M199" s="170">
        <f t="shared" si="40"/>
        <v>8.32</v>
      </c>
      <c r="N199" s="167"/>
      <c r="O199" s="168">
        <f t="shared" si="41"/>
        <v>0</v>
      </c>
      <c r="P199" s="167"/>
      <c r="Q199" s="168">
        <f t="shared" si="42"/>
        <v>0</v>
      </c>
      <c r="R199" s="189">
        <f t="shared" si="43"/>
        <v>3.52</v>
      </c>
      <c r="S199" s="167"/>
      <c r="T199" s="171"/>
    </row>
    <row r="200" spans="1:20" x14ac:dyDescent="0.25">
      <c r="A200" s="172" t="str">
        <f t="shared" si="33"/>
        <v>RECC  120*60*5</v>
      </c>
      <c r="B200" s="174">
        <f t="shared" si="34"/>
        <v>12.839612674800991</v>
      </c>
      <c r="C200" s="173">
        <v>120</v>
      </c>
      <c r="D200" s="173">
        <v>60</v>
      </c>
      <c r="E200" s="173">
        <v>5</v>
      </c>
      <c r="F200" s="173">
        <f t="shared" si="35"/>
        <v>5</v>
      </c>
      <c r="G200" s="173">
        <f t="shared" si="36"/>
        <v>10</v>
      </c>
      <c r="H200" s="174">
        <f t="shared" si="37"/>
        <v>16.356194490192344</v>
      </c>
      <c r="I200" s="173"/>
      <c r="J200" s="174">
        <f t="shared" si="38"/>
        <v>0</v>
      </c>
      <c r="K200" s="173"/>
      <c r="L200" s="175">
        <f t="shared" si="39"/>
        <v>0</v>
      </c>
      <c r="M200" s="176">
        <f t="shared" si="40"/>
        <v>10</v>
      </c>
      <c r="N200" s="173"/>
      <c r="O200" s="174">
        <f t="shared" si="41"/>
        <v>0</v>
      </c>
      <c r="P200" s="173"/>
      <c r="Q200" s="174">
        <f t="shared" si="42"/>
        <v>0</v>
      </c>
      <c r="R200" s="190">
        <f t="shared" si="43"/>
        <v>4</v>
      </c>
      <c r="S200" s="173"/>
      <c r="T200" s="177"/>
    </row>
    <row r="201" spans="1:20" x14ac:dyDescent="0.25">
      <c r="A201" s="172" t="str">
        <f t="shared" si="33"/>
        <v>RECC  120*60*6.3</v>
      </c>
      <c r="B201" s="174">
        <f t="shared" si="34"/>
        <v>15.487730110018738</v>
      </c>
      <c r="C201" s="173">
        <v>120</v>
      </c>
      <c r="D201" s="173">
        <v>60</v>
      </c>
      <c r="E201" s="173">
        <v>6.3</v>
      </c>
      <c r="F201" s="173">
        <f t="shared" si="35"/>
        <v>9.4499999999999993</v>
      </c>
      <c r="G201" s="173">
        <f t="shared" si="36"/>
        <v>15.75</v>
      </c>
      <c r="H201" s="174">
        <f t="shared" si="37"/>
        <v>19.729592496839157</v>
      </c>
      <c r="I201" s="173"/>
      <c r="J201" s="174">
        <f t="shared" si="38"/>
        <v>0</v>
      </c>
      <c r="K201" s="173"/>
      <c r="L201" s="175">
        <f t="shared" si="39"/>
        <v>0</v>
      </c>
      <c r="M201" s="176">
        <f t="shared" si="40"/>
        <v>11.151</v>
      </c>
      <c r="N201" s="173"/>
      <c r="O201" s="174">
        <f t="shared" si="41"/>
        <v>0</v>
      </c>
      <c r="P201" s="173"/>
      <c r="Q201" s="174">
        <f t="shared" si="42"/>
        <v>0</v>
      </c>
      <c r="R201" s="190">
        <f t="shared" si="43"/>
        <v>3.5909999999999997</v>
      </c>
      <c r="S201" s="173"/>
      <c r="T201" s="177"/>
    </row>
    <row r="202" spans="1:20" x14ac:dyDescent="0.25">
      <c r="A202" s="172" t="str">
        <f t="shared" si="33"/>
        <v>RECC  120*60*8</v>
      </c>
      <c r="B202" s="174">
        <f t="shared" si="34"/>
        <v>18.87334459665405</v>
      </c>
      <c r="C202" s="173">
        <v>120</v>
      </c>
      <c r="D202" s="173">
        <v>60</v>
      </c>
      <c r="E202" s="173">
        <v>8</v>
      </c>
      <c r="F202" s="173">
        <f t="shared" si="35"/>
        <v>12</v>
      </c>
      <c r="G202" s="173">
        <f t="shared" si="36"/>
        <v>20</v>
      </c>
      <c r="H202" s="174">
        <f t="shared" si="37"/>
        <v>24.042477193189871</v>
      </c>
      <c r="I202" s="173"/>
      <c r="J202" s="174">
        <f t="shared" si="38"/>
        <v>0</v>
      </c>
      <c r="K202" s="173"/>
      <c r="L202" s="175">
        <f t="shared" si="39"/>
        <v>0</v>
      </c>
      <c r="M202" s="176">
        <f t="shared" si="40"/>
        <v>12.8</v>
      </c>
      <c r="N202" s="173"/>
      <c r="O202" s="174">
        <f t="shared" si="41"/>
        <v>0</v>
      </c>
      <c r="P202" s="173"/>
      <c r="Q202" s="174">
        <f t="shared" si="42"/>
        <v>0</v>
      </c>
      <c r="R202" s="190">
        <f t="shared" si="43"/>
        <v>3.2</v>
      </c>
      <c r="S202" s="173"/>
      <c r="T202" s="177"/>
    </row>
    <row r="203" spans="1:20" x14ac:dyDescent="0.25">
      <c r="A203" s="178" t="str">
        <f t="shared" si="33"/>
        <v>RECC  120*60*10</v>
      </c>
      <c r="B203" s="180">
        <f t="shared" si="34"/>
        <v>22.424600932271954</v>
      </c>
      <c r="C203" s="179">
        <v>120</v>
      </c>
      <c r="D203" s="179">
        <v>60</v>
      </c>
      <c r="E203" s="179">
        <v>10</v>
      </c>
      <c r="F203" s="179">
        <f t="shared" si="35"/>
        <v>15</v>
      </c>
      <c r="G203" s="179">
        <f t="shared" si="36"/>
        <v>25</v>
      </c>
      <c r="H203" s="180">
        <f t="shared" si="37"/>
        <v>28.566370614359176</v>
      </c>
      <c r="I203" s="179"/>
      <c r="J203" s="180">
        <f t="shared" si="38"/>
        <v>0</v>
      </c>
      <c r="K203" s="179"/>
      <c r="L203" s="181">
        <f t="shared" si="39"/>
        <v>0</v>
      </c>
      <c r="M203" s="182">
        <f t="shared" si="40"/>
        <v>14</v>
      </c>
      <c r="N203" s="179"/>
      <c r="O203" s="180">
        <f t="shared" si="41"/>
        <v>0</v>
      </c>
      <c r="P203" s="179"/>
      <c r="Q203" s="180">
        <f t="shared" si="42"/>
        <v>0</v>
      </c>
      <c r="R203" s="191">
        <f t="shared" si="43"/>
        <v>2</v>
      </c>
      <c r="S203" s="179"/>
      <c r="T203" s="183"/>
    </row>
    <row r="204" spans="1:20" x14ac:dyDescent="0.25">
      <c r="A204" s="162" t="str">
        <f t="shared" si="33"/>
        <v>RECC  120*80*4</v>
      </c>
      <c r="B204" s="163">
        <f t="shared" si="34"/>
        <v>11.734152111872634</v>
      </c>
      <c r="C204" s="64">
        <v>120</v>
      </c>
      <c r="D204" s="64">
        <v>80</v>
      </c>
      <c r="E204" s="64">
        <v>4</v>
      </c>
      <c r="F204" s="64">
        <f t="shared" si="35"/>
        <v>4</v>
      </c>
      <c r="G204" s="64">
        <f t="shared" si="36"/>
        <v>8</v>
      </c>
      <c r="H204" s="163">
        <f t="shared" si="37"/>
        <v>14.947964473723101</v>
      </c>
      <c r="I204" s="64"/>
      <c r="J204" s="163">
        <f t="shared" si="38"/>
        <v>0</v>
      </c>
      <c r="K204" s="64"/>
      <c r="L204" s="164">
        <f t="shared" si="39"/>
        <v>0</v>
      </c>
      <c r="M204" s="165">
        <f t="shared" si="40"/>
        <v>8.32</v>
      </c>
      <c r="N204" s="64"/>
      <c r="O204" s="163">
        <f t="shared" si="41"/>
        <v>0</v>
      </c>
      <c r="P204" s="64"/>
      <c r="Q204" s="163">
        <f t="shared" si="42"/>
        <v>0</v>
      </c>
      <c r="R204" s="188">
        <f t="shared" si="43"/>
        <v>5.12</v>
      </c>
      <c r="S204" s="64"/>
      <c r="T204" s="64"/>
    </row>
    <row r="205" spans="1:20" x14ac:dyDescent="0.25">
      <c r="A205" s="162" t="str">
        <f t="shared" si="33"/>
        <v>RECC  120*80*5</v>
      </c>
      <c r="B205" s="163">
        <f t="shared" si="34"/>
        <v>14.409612674800991</v>
      </c>
      <c r="C205" s="64">
        <v>120</v>
      </c>
      <c r="D205" s="64">
        <v>80</v>
      </c>
      <c r="E205" s="64">
        <v>5</v>
      </c>
      <c r="F205" s="64">
        <f t="shared" si="35"/>
        <v>5</v>
      </c>
      <c r="G205" s="64">
        <f t="shared" si="36"/>
        <v>10</v>
      </c>
      <c r="H205" s="163">
        <f t="shared" si="37"/>
        <v>18.356194490192344</v>
      </c>
      <c r="I205" s="64"/>
      <c r="J205" s="163">
        <f t="shared" si="38"/>
        <v>0</v>
      </c>
      <c r="K205" s="64"/>
      <c r="L205" s="164">
        <f t="shared" si="39"/>
        <v>0</v>
      </c>
      <c r="M205" s="165">
        <f t="shared" si="40"/>
        <v>10</v>
      </c>
      <c r="N205" s="64"/>
      <c r="O205" s="163">
        <f t="shared" si="41"/>
        <v>0</v>
      </c>
      <c r="P205" s="64"/>
      <c r="Q205" s="163">
        <f t="shared" si="42"/>
        <v>0</v>
      </c>
      <c r="R205" s="188">
        <f t="shared" si="43"/>
        <v>6</v>
      </c>
      <c r="S205" s="64"/>
      <c r="T205" s="64"/>
    </row>
    <row r="206" spans="1:20" x14ac:dyDescent="0.25">
      <c r="A206" s="162" t="str">
        <f t="shared" si="33"/>
        <v>RECC  120*80*6.3</v>
      </c>
      <c r="B206" s="163">
        <f t="shared" si="34"/>
        <v>17.465930110018739</v>
      </c>
      <c r="C206" s="64">
        <v>120</v>
      </c>
      <c r="D206" s="64">
        <v>80</v>
      </c>
      <c r="E206" s="64">
        <v>6.3</v>
      </c>
      <c r="F206" s="64">
        <f t="shared" si="35"/>
        <v>9.4499999999999993</v>
      </c>
      <c r="G206" s="64">
        <f t="shared" si="36"/>
        <v>15.75</v>
      </c>
      <c r="H206" s="163">
        <f t="shared" si="37"/>
        <v>22.249592496839156</v>
      </c>
      <c r="I206" s="64"/>
      <c r="J206" s="163">
        <f t="shared" si="38"/>
        <v>0</v>
      </c>
      <c r="K206" s="64"/>
      <c r="L206" s="164">
        <f t="shared" si="39"/>
        <v>0</v>
      </c>
      <c r="M206" s="165">
        <f t="shared" si="40"/>
        <v>11.151</v>
      </c>
      <c r="N206" s="64"/>
      <c r="O206" s="163">
        <f t="shared" si="41"/>
        <v>0</v>
      </c>
      <c r="P206" s="64"/>
      <c r="Q206" s="163">
        <f t="shared" si="42"/>
        <v>0</v>
      </c>
      <c r="R206" s="188">
        <f t="shared" si="43"/>
        <v>6.1110000000000007</v>
      </c>
      <c r="S206" s="64"/>
      <c r="T206" s="64"/>
    </row>
    <row r="207" spans="1:20" x14ac:dyDescent="0.25">
      <c r="A207" s="162" t="str">
        <f t="shared" si="33"/>
        <v>RECC  120*80*8</v>
      </c>
      <c r="B207" s="163">
        <f t="shared" si="34"/>
        <v>21.385344596654051</v>
      </c>
      <c r="C207" s="64">
        <v>120</v>
      </c>
      <c r="D207" s="64">
        <v>80</v>
      </c>
      <c r="E207" s="64">
        <v>8</v>
      </c>
      <c r="F207" s="64">
        <f t="shared" si="35"/>
        <v>12</v>
      </c>
      <c r="G207" s="64">
        <f t="shared" si="36"/>
        <v>20</v>
      </c>
      <c r="H207" s="163">
        <f t="shared" si="37"/>
        <v>27.24247719318987</v>
      </c>
      <c r="I207" s="64"/>
      <c r="J207" s="163">
        <f t="shared" si="38"/>
        <v>0</v>
      </c>
      <c r="K207" s="64"/>
      <c r="L207" s="164">
        <f t="shared" si="39"/>
        <v>0</v>
      </c>
      <c r="M207" s="165">
        <f t="shared" si="40"/>
        <v>12.8</v>
      </c>
      <c r="N207" s="64"/>
      <c r="O207" s="163">
        <f t="shared" si="41"/>
        <v>0</v>
      </c>
      <c r="P207" s="64"/>
      <c r="Q207" s="163">
        <f t="shared" si="42"/>
        <v>0</v>
      </c>
      <c r="R207" s="188">
        <f t="shared" si="43"/>
        <v>6.4</v>
      </c>
      <c r="S207" s="64"/>
      <c r="T207" s="64"/>
    </row>
    <row r="208" spans="1:20" x14ac:dyDescent="0.25">
      <c r="A208" s="162" t="str">
        <f t="shared" si="33"/>
        <v>RECC  120*80*10</v>
      </c>
      <c r="B208" s="163">
        <f t="shared" si="34"/>
        <v>25.564600932271951</v>
      </c>
      <c r="C208" s="64">
        <v>120</v>
      </c>
      <c r="D208" s="64">
        <v>80</v>
      </c>
      <c r="E208" s="64">
        <v>10</v>
      </c>
      <c r="F208" s="64">
        <f t="shared" si="35"/>
        <v>15</v>
      </c>
      <c r="G208" s="64">
        <f t="shared" si="36"/>
        <v>25</v>
      </c>
      <c r="H208" s="163">
        <f t="shared" si="37"/>
        <v>32.566370614359172</v>
      </c>
      <c r="I208" s="64"/>
      <c r="J208" s="163">
        <f t="shared" si="38"/>
        <v>0</v>
      </c>
      <c r="K208" s="64"/>
      <c r="L208" s="164">
        <f t="shared" si="39"/>
        <v>0</v>
      </c>
      <c r="M208" s="165">
        <f t="shared" si="40"/>
        <v>14</v>
      </c>
      <c r="N208" s="64"/>
      <c r="O208" s="163">
        <f t="shared" si="41"/>
        <v>0</v>
      </c>
      <c r="P208" s="64"/>
      <c r="Q208" s="163">
        <f t="shared" si="42"/>
        <v>0</v>
      </c>
      <c r="R208" s="188">
        <f t="shared" si="43"/>
        <v>6</v>
      </c>
      <c r="S208" s="64"/>
      <c r="T208" s="64"/>
    </row>
    <row r="209" spans="1:20" x14ac:dyDescent="0.25">
      <c r="A209" s="166" t="str">
        <f t="shared" si="33"/>
        <v>RECC  140*80*4</v>
      </c>
      <c r="B209" s="168">
        <f t="shared" si="34"/>
        <v>12.990152111872636</v>
      </c>
      <c r="C209" s="167">
        <v>140</v>
      </c>
      <c r="D209" s="167">
        <v>80</v>
      </c>
      <c r="E209" s="167">
        <v>4</v>
      </c>
      <c r="F209" s="167">
        <f t="shared" si="35"/>
        <v>4</v>
      </c>
      <c r="G209" s="167">
        <f t="shared" si="36"/>
        <v>8</v>
      </c>
      <c r="H209" s="168">
        <f t="shared" si="37"/>
        <v>16.547964473723102</v>
      </c>
      <c r="I209" s="167"/>
      <c r="J209" s="168">
        <f t="shared" si="38"/>
        <v>0</v>
      </c>
      <c r="K209" s="167"/>
      <c r="L209" s="169">
        <f t="shared" si="39"/>
        <v>0</v>
      </c>
      <c r="M209" s="170">
        <f t="shared" si="40"/>
        <v>9.92</v>
      </c>
      <c r="N209" s="167"/>
      <c r="O209" s="168">
        <f t="shared" si="41"/>
        <v>0</v>
      </c>
      <c r="P209" s="167"/>
      <c r="Q209" s="168">
        <f t="shared" si="42"/>
        <v>0</v>
      </c>
      <c r="R209" s="189">
        <f t="shared" si="43"/>
        <v>5.12</v>
      </c>
      <c r="S209" s="167"/>
      <c r="T209" s="171"/>
    </row>
    <row r="210" spans="1:20" x14ac:dyDescent="0.25">
      <c r="A210" s="172" t="str">
        <f t="shared" si="33"/>
        <v>RECC  140*80*5</v>
      </c>
      <c r="B210" s="174">
        <f t="shared" si="34"/>
        <v>15.979612674800991</v>
      </c>
      <c r="C210" s="173">
        <v>140</v>
      </c>
      <c r="D210" s="173">
        <v>80</v>
      </c>
      <c r="E210" s="173">
        <v>5</v>
      </c>
      <c r="F210" s="173">
        <f t="shared" si="35"/>
        <v>5</v>
      </c>
      <c r="G210" s="173">
        <f t="shared" si="36"/>
        <v>10</v>
      </c>
      <c r="H210" s="174">
        <f t="shared" si="37"/>
        <v>20.356194490192344</v>
      </c>
      <c r="I210" s="173"/>
      <c r="J210" s="174">
        <f t="shared" si="38"/>
        <v>0</v>
      </c>
      <c r="K210" s="173"/>
      <c r="L210" s="175">
        <f t="shared" si="39"/>
        <v>0</v>
      </c>
      <c r="M210" s="176">
        <f t="shared" si="40"/>
        <v>12</v>
      </c>
      <c r="N210" s="173"/>
      <c r="O210" s="174">
        <f t="shared" si="41"/>
        <v>0</v>
      </c>
      <c r="P210" s="173"/>
      <c r="Q210" s="174">
        <f t="shared" si="42"/>
        <v>0</v>
      </c>
      <c r="R210" s="190">
        <f t="shared" si="43"/>
        <v>6</v>
      </c>
      <c r="S210" s="173"/>
      <c r="T210" s="177"/>
    </row>
    <row r="211" spans="1:20" x14ac:dyDescent="0.25">
      <c r="A211" s="172" t="str">
        <f t="shared" si="33"/>
        <v>RECC  140*80*6.3</v>
      </c>
      <c r="B211" s="174">
        <f t="shared" si="34"/>
        <v>19.444130110018737</v>
      </c>
      <c r="C211" s="173">
        <v>140</v>
      </c>
      <c r="D211" s="173">
        <v>80</v>
      </c>
      <c r="E211" s="173">
        <v>6.3</v>
      </c>
      <c r="F211" s="173">
        <f t="shared" si="35"/>
        <v>9.4499999999999993</v>
      </c>
      <c r="G211" s="173">
        <f t="shared" si="36"/>
        <v>15.75</v>
      </c>
      <c r="H211" s="174">
        <f t="shared" si="37"/>
        <v>24.769592496839156</v>
      </c>
      <c r="I211" s="173"/>
      <c r="J211" s="174">
        <f t="shared" si="38"/>
        <v>0</v>
      </c>
      <c r="K211" s="173"/>
      <c r="L211" s="175">
        <f t="shared" si="39"/>
        <v>0</v>
      </c>
      <c r="M211" s="176">
        <f t="shared" si="40"/>
        <v>13.670999999999999</v>
      </c>
      <c r="N211" s="173"/>
      <c r="O211" s="174">
        <f t="shared" si="41"/>
        <v>0</v>
      </c>
      <c r="P211" s="173"/>
      <c r="Q211" s="174">
        <f t="shared" si="42"/>
        <v>0</v>
      </c>
      <c r="R211" s="190">
        <f t="shared" si="43"/>
        <v>6.1110000000000007</v>
      </c>
      <c r="S211" s="173"/>
      <c r="T211" s="177"/>
    </row>
    <row r="212" spans="1:20" x14ac:dyDescent="0.25">
      <c r="A212" s="172" t="str">
        <f t="shared" si="33"/>
        <v>RECC  140*80*8</v>
      </c>
      <c r="B212" s="174">
        <f t="shared" si="34"/>
        <v>23.897344596654047</v>
      </c>
      <c r="C212" s="173">
        <v>140</v>
      </c>
      <c r="D212" s="173">
        <v>80</v>
      </c>
      <c r="E212" s="173">
        <v>8</v>
      </c>
      <c r="F212" s="173">
        <f t="shared" si="35"/>
        <v>12</v>
      </c>
      <c r="G212" s="173">
        <f t="shared" si="36"/>
        <v>20</v>
      </c>
      <c r="H212" s="174">
        <f t="shared" si="37"/>
        <v>30.44247719318987</v>
      </c>
      <c r="I212" s="173"/>
      <c r="J212" s="174">
        <f t="shared" si="38"/>
        <v>0</v>
      </c>
      <c r="K212" s="173"/>
      <c r="L212" s="175">
        <f t="shared" si="39"/>
        <v>0</v>
      </c>
      <c r="M212" s="176">
        <f t="shared" si="40"/>
        <v>16</v>
      </c>
      <c r="N212" s="173"/>
      <c r="O212" s="174">
        <f t="shared" si="41"/>
        <v>0</v>
      </c>
      <c r="P212" s="173"/>
      <c r="Q212" s="174">
        <f t="shared" si="42"/>
        <v>0</v>
      </c>
      <c r="R212" s="190">
        <f t="shared" si="43"/>
        <v>6.4</v>
      </c>
      <c r="S212" s="173"/>
      <c r="T212" s="177"/>
    </row>
    <row r="213" spans="1:20" x14ac:dyDescent="0.25">
      <c r="A213" s="178" t="str">
        <f t="shared" si="33"/>
        <v>RECC  140*80*10</v>
      </c>
      <c r="B213" s="180">
        <f t="shared" si="34"/>
        <v>28.704600932271958</v>
      </c>
      <c r="C213" s="179">
        <v>140</v>
      </c>
      <c r="D213" s="179">
        <v>80</v>
      </c>
      <c r="E213" s="179">
        <v>10</v>
      </c>
      <c r="F213" s="179">
        <f t="shared" si="35"/>
        <v>15</v>
      </c>
      <c r="G213" s="179">
        <f t="shared" si="36"/>
        <v>25</v>
      </c>
      <c r="H213" s="180">
        <f t="shared" si="37"/>
        <v>36.56637061435918</v>
      </c>
      <c r="I213" s="179"/>
      <c r="J213" s="180">
        <f t="shared" si="38"/>
        <v>0</v>
      </c>
      <c r="K213" s="179"/>
      <c r="L213" s="181">
        <f t="shared" si="39"/>
        <v>0</v>
      </c>
      <c r="M213" s="182">
        <f t="shared" si="40"/>
        <v>18</v>
      </c>
      <c r="N213" s="179"/>
      <c r="O213" s="180">
        <f t="shared" si="41"/>
        <v>0</v>
      </c>
      <c r="P213" s="179"/>
      <c r="Q213" s="180">
        <f t="shared" si="42"/>
        <v>0</v>
      </c>
      <c r="R213" s="191">
        <f t="shared" si="43"/>
        <v>6</v>
      </c>
      <c r="S213" s="179"/>
      <c r="T213" s="183"/>
    </row>
    <row r="214" spans="1:20" x14ac:dyDescent="0.25">
      <c r="A214" s="162" t="str">
        <f t="shared" si="33"/>
        <v>RECC  150*100*4</v>
      </c>
      <c r="B214" s="163">
        <f t="shared" si="34"/>
        <v>14.874152111872634</v>
      </c>
      <c r="C214" s="64">
        <v>150</v>
      </c>
      <c r="D214" s="64">
        <v>100</v>
      </c>
      <c r="E214" s="64">
        <v>4</v>
      </c>
      <c r="F214" s="64">
        <f t="shared" si="35"/>
        <v>4</v>
      </c>
      <c r="G214" s="64">
        <f t="shared" si="36"/>
        <v>8</v>
      </c>
      <c r="H214" s="163">
        <f t="shared" si="37"/>
        <v>18.947964473723101</v>
      </c>
      <c r="I214" s="64"/>
      <c r="J214" s="163">
        <f t="shared" si="38"/>
        <v>0</v>
      </c>
      <c r="K214" s="64"/>
      <c r="L214" s="164">
        <f t="shared" si="39"/>
        <v>0</v>
      </c>
      <c r="M214" s="165">
        <f t="shared" si="40"/>
        <v>10.72</v>
      </c>
      <c r="N214" s="64"/>
      <c r="O214" s="163">
        <f t="shared" si="41"/>
        <v>0</v>
      </c>
      <c r="P214" s="64"/>
      <c r="Q214" s="163">
        <f t="shared" si="42"/>
        <v>0</v>
      </c>
      <c r="R214" s="188">
        <f t="shared" si="43"/>
        <v>6.72</v>
      </c>
      <c r="S214" s="64"/>
      <c r="T214" s="64"/>
    </row>
    <row r="215" spans="1:20" x14ac:dyDescent="0.25">
      <c r="A215" s="162" t="str">
        <f t="shared" si="33"/>
        <v>RECC  150*100*5</v>
      </c>
      <c r="B215" s="163">
        <f t="shared" si="34"/>
        <v>18.334612674800994</v>
      </c>
      <c r="C215" s="64">
        <v>150</v>
      </c>
      <c r="D215" s="64">
        <v>100</v>
      </c>
      <c r="E215" s="64">
        <v>5</v>
      </c>
      <c r="F215" s="64">
        <f t="shared" si="35"/>
        <v>5</v>
      </c>
      <c r="G215" s="64">
        <f t="shared" si="36"/>
        <v>10</v>
      </c>
      <c r="H215" s="163">
        <f t="shared" si="37"/>
        <v>23.356194490192348</v>
      </c>
      <c r="I215" s="64"/>
      <c r="J215" s="163">
        <f t="shared" si="38"/>
        <v>0</v>
      </c>
      <c r="K215" s="64"/>
      <c r="L215" s="164">
        <f t="shared" si="39"/>
        <v>0</v>
      </c>
      <c r="M215" s="165">
        <f t="shared" si="40"/>
        <v>13</v>
      </c>
      <c r="N215" s="64"/>
      <c r="O215" s="163">
        <f t="shared" si="41"/>
        <v>0</v>
      </c>
      <c r="P215" s="64"/>
      <c r="Q215" s="163">
        <f t="shared" si="42"/>
        <v>0</v>
      </c>
      <c r="R215" s="188">
        <f t="shared" si="43"/>
        <v>8</v>
      </c>
      <c r="S215" s="64"/>
      <c r="T215" s="64"/>
    </row>
    <row r="216" spans="1:20" x14ac:dyDescent="0.25">
      <c r="A216" s="162" t="str">
        <f t="shared" si="33"/>
        <v>RECC  150*100*6.3</v>
      </c>
      <c r="B216" s="163">
        <f t="shared" si="34"/>
        <v>22.411430110018735</v>
      </c>
      <c r="C216" s="64">
        <v>150</v>
      </c>
      <c r="D216" s="64">
        <v>100</v>
      </c>
      <c r="E216" s="64">
        <v>6.3</v>
      </c>
      <c r="F216" s="64">
        <f t="shared" si="35"/>
        <v>9.4499999999999993</v>
      </c>
      <c r="G216" s="64">
        <f t="shared" si="36"/>
        <v>15.75</v>
      </c>
      <c r="H216" s="163">
        <f t="shared" si="37"/>
        <v>28.549592496839153</v>
      </c>
      <c r="I216" s="64"/>
      <c r="J216" s="163">
        <f t="shared" si="38"/>
        <v>0</v>
      </c>
      <c r="K216" s="64"/>
      <c r="L216" s="164">
        <f t="shared" si="39"/>
        <v>0</v>
      </c>
      <c r="M216" s="165">
        <f t="shared" si="40"/>
        <v>14.930999999999999</v>
      </c>
      <c r="N216" s="64"/>
      <c r="O216" s="163">
        <f t="shared" si="41"/>
        <v>0</v>
      </c>
      <c r="P216" s="64"/>
      <c r="Q216" s="163">
        <f t="shared" si="42"/>
        <v>0</v>
      </c>
      <c r="R216" s="188">
        <f t="shared" si="43"/>
        <v>8.6310000000000002</v>
      </c>
      <c r="S216" s="64"/>
      <c r="T216" s="64"/>
    </row>
    <row r="217" spans="1:20" x14ac:dyDescent="0.25">
      <c r="A217" s="162" t="str">
        <f t="shared" si="33"/>
        <v>RECC  150*100*8</v>
      </c>
      <c r="B217" s="163">
        <f t="shared" si="34"/>
        <v>27.665344596654048</v>
      </c>
      <c r="C217" s="64">
        <v>150</v>
      </c>
      <c r="D217" s="64">
        <v>100</v>
      </c>
      <c r="E217" s="64">
        <v>8</v>
      </c>
      <c r="F217" s="64">
        <f t="shared" si="35"/>
        <v>12</v>
      </c>
      <c r="G217" s="64">
        <f t="shared" si="36"/>
        <v>20</v>
      </c>
      <c r="H217" s="163">
        <f t="shared" si="37"/>
        <v>35.24247719318987</v>
      </c>
      <c r="I217" s="64"/>
      <c r="J217" s="163">
        <f t="shared" si="38"/>
        <v>0</v>
      </c>
      <c r="K217" s="64"/>
      <c r="L217" s="164">
        <f t="shared" si="39"/>
        <v>0</v>
      </c>
      <c r="M217" s="165">
        <f t="shared" si="40"/>
        <v>17.600000000000001</v>
      </c>
      <c r="N217" s="64"/>
      <c r="O217" s="163">
        <f t="shared" si="41"/>
        <v>0</v>
      </c>
      <c r="P217" s="64"/>
      <c r="Q217" s="163">
        <f t="shared" si="42"/>
        <v>0</v>
      </c>
      <c r="R217" s="188">
        <f t="shared" si="43"/>
        <v>9.6</v>
      </c>
      <c r="S217" s="64"/>
      <c r="T217" s="64"/>
    </row>
    <row r="218" spans="1:20" x14ac:dyDescent="0.25">
      <c r="A218" s="162" t="str">
        <f t="shared" si="33"/>
        <v>RECC  150*100*10</v>
      </c>
      <c r="B218" s="163">
        <f t="shared" si="34"/>
        <v>33.414600932271959</v>
      </c>
      <c r="C218" s="64">
        <v>150</v>
      </c>
      <c r="D218" s="64">
        <v>100</v>
      </c>
      <c r="E218" s="64">
        <v>10</v>
      </c>
      <c r="F218" s="64">
        <f t="shared" si="35"/>
        <v>15</v>
      </c>
      <c r="G218" s="64">
        <f t="shared" si="36"/>
        <v>25</v>
      </c>
      <c r="H218" s="163">
        <f t="shared" si="37"/>
        <v>42.56637061435918</v>
      </c>
      <c r="I218" s="64"/>
      <c r="J218" s="163">
        <f t="shared" si="38"/>
        <v>0</v>
      </c>
      <c r="K218" s="64"/>
      <c r="L218" s="164">
        <f t="shared" si="39"/>
        <v>0</v>
      </c>
      <c r="M218" s="165">
        <f t="shared" si="40"/>
        <v>20</v>
      </c>
      <c r="N218" s="64"/>
      <c r="O218" s="163">
        <f t="shared" si="41"/>
        <v>0</v>
      </c>
      <c r="P218" s="64"/>
      <c r="Q218" s="163">
        <f t="shared" si="42"/>
        <v>0</v>
      </c>
      <c r="R218" s="188">
        <f t="shared" si="43"/>
        <v>10</v>
      </c>
      <c r="S218" s="64"/>
      <c r="T218" s="64"/>
    </row>
    <row r="219" spans="1:20" x14ac:dyDescent="0.25">
      <c r="A219" s="162" t="str">
        <f t="shared" si="33"/>
        <v>RECC  150*100*12.5</v>
      </c>
      <c r="B219" s="163">
        <f t="shared" si="34"/>
        <v>38.891798695843654</v>
      </c>
      <c r="C219" s="64">
        <v>150</v>
      </c>
      <c r="D219" s="64">
        <v>100</v>
      </c>
      <c r="E219" s="64">
        <v>12.5</v>
      </c>
      <c r="F219" s="64">
        <f t="shared" si="35"/>
        <v>25</v>
      </c>
      <c r="G219" s="64">
        <f t="shared" si="36"/>
        <v>37.5</v>
      </c>
      <c r="H219" s="163">
        <f t="shared" si="37"/>
        <v>49.543692606170261</v>
      </c>
      <c r="I219" s="64"/>
      <c r="J219" s="163">
        <f t="shared" si="38"/>
        <v>0</v>
      </c>
      <c r="K219" s="64"/>
      <c r="L219" s="164">
        <f t="shared" si="39"/>
        <v>0</v>
      </c>
      <c r="M219" s="165">
        <f t="shared" si="40"/>
        <v>18.75</v>
      </c>
      <c r="N219" s="64"/>
      <c r="O219" s="163">
        <f t="shared" si="41"/>
        <v>0</v>
      </c>
      <c r="P219" s="64"/>
      <c r="Q219" s="163">
        <f t="shared" si="42"/>
        <v>0</v>
      </c>
      <c r="R219" s="188">
        <f t="shared" si="43"/>
        <v>6.25</v>
      </c>
      <c r="S219" s="64"/>
      <c r="T219" s="64"/>
    </row>
    <row r="220" spans="1:20" x14ac:dyDescent="0.25">
      <c r="A220" s="166" t="str">
        <f t="shared" si="33"/>
        <v>RECC  160*80*4</v>
      </c>
      <c r="B220" s="168">
        <f t="shared" si="34"/>
        <v>14.246152111872634</v>
      </c>
      <c r="C220" s="167">
        <v>160</v>
      </c>
      <c r="D220" s="167">
        <v>80</v>
      </c>
      <c r="E220" s="167">
        <v>4</v>
      </c>
      <c r="F220" s="167">
        <f t="shared" si="35"/>
        <v>4</v>
      </c>
      <c r="G220" s="167">
        <f t="shared" si="36"/>
        <v>8</v>
      </c>
      <c r="H220" s="168">
        <f t="shared" si="37"/>
        <v>18.1479644737231</v>
      </c>
      <c r="I220" s="167"/>
      <c r="J220" s="168">
        <f t="shared" si="38"/>
        <v>0</v>
      </c>
      <c r="K220" s="167"/>
      <c r="L220" s="169">
        <f t="shared" si="39"/>
        <v>0</v>
      </c>
      <c r="M220" s="170">
        <f t="shared" si="40"/>
        <v>11.52</v>
      </c>
      <c r="N220" s="167"/>
      <c r="O220" s="168">
        <f t="shared" si="41"/>
        <v>0</v>
      </c>
      <c r="P220" s="167"/>
      <c r="Q220" s="168">
        <f t="shared" si="42"/>
        <v>0</v>
      </c>
      <c r="R220" s="189">
        <f t="shared" si="43"/>
        <v>5.12</v>
      </c>
      <c r="S220" s="167"/>
      <c r="T220" s="171"/>
    </row>
    <row r="221" spans="1:20" x14ac:dyDescent="0.25">
      <c r="A221" s="172" t="str">
        <f t="shared" si="33"/>
        <v>RECC  160*80*5</v>
      </c>
      <c r="B221" s="174">
        <f t="shared" si="34"/>
        <v>17.549612674800994</v>
      </c>
      <c r="C221" s="173">
        <v>160</v>
      </c>
      <c r="D221" s="173">
        <v>80</v>
      </c>
      <c r="E221" s="173">
        <v>5</v>
      </c>
      <c r="F221" s="173">
        <f t="shared" si="35"/>
        <v>5</v>
      </c>
      <c r="G221" s="173">
        <f t="shared" si="36"/>
        <v>10</v>
      </c>
      <c r="H221" s="174">
        <f t="shared" si="37"/>
        <v>22.356194490192348</v>
      </c>
      <c r="I221" s="173"/>
      <c r="J221" s="174">
        <f t="shared" si="38"/>
        <v>0</v>
      </c>
      <c r="K221" s="173"/>
      <c r="L221" s="175">
        <f t="shared" si="39"/>
        <v>0</v>
      </c>
      <c r="M221" s="176">
        <f t="shared" si="40"/>
        <v>14</v>
      </c>
      <c r="N221" s="173"/>
      <c r="O221" s="174">
        <f t="shared" si="41"/>
        <v>0</v>
      </c>
      <c r="P221" s="173"/>
      <c r="Q221" s="174">
        <f t="shared" si="42"/>
        <v>0</v>
      </c>
      <c r="R221" s="190">
        <f t="shared" si="43"/>
        <v>6</v>
      </c>
      <c r="S221" s="173"/>
      <c r="T221" s="177"/>
    </row>
    <row r="222" spans="1:20" x14ac:dyDescent="0.25">
      <c r="A222" s="172" t="str">
        <f t="shared" si="33"/>
        <v>RECC  160*80*6.3</v>
      </c>
      <c r="B222" s="174">
        <f t="shared" si="34"/>
        <v>21.422330110018738</v>
      </c>
      <c r="C222" s="173">
        <v>160</v>
      </c>
      <c r="D222" s="173">
        <v>80</v>
      </c>
      <c r="E222" s="173">
        <v>6.3</v>
      </c>
      <c r="F222" s="173">
        <f t="shared" si="35"/>
        <v>9.4499999999999993</v>
      </c>
      <c r="G222" s="173">
        <f t="shared" si="36"/>
        <v>15.75</v>
      </c>
      <c r="H222" s="174">
        <f t="shared" si="37"/>
        <v>27.289592496839155</v>
      </c>
      <c r="I222" s="173"/>
      <c r="J222" s="174">
        <f t="shared" si="38"/>
        <v>0</v>
      </c>
      <c r="K222" s="173"/>
      <c r="L222" s="175">
        <f t="shared" si="39"/>
        <v>0</v>
      </c>
      <c r="M222" s="176">
        <f t="shared" si="40"/>
        <v>16.190999999999999</v>
      </c>
      <c r="N222" s="173"/>
      <c r="O222" s="174">
        <f t="shared" si="41"/>
        <v>0</v>
      </c>
      <c r="P222" s="173"/>
      <c r="Q222" s="174">
        <f t="shared" si="42"/>
        <v>0</v>
      </c>
      <c r="R222" s="190">
        <f t="shared" si="43"/>
        <v>6.1110000000000007</v>
      </c>
      <c r="S222" s="173"/>
      <c r="T222" s="177"/>
    </row>
    <row r="223" spans="1:20" x14ac:dyDescent="0.25">
      <c r="A223" s="172" t="str">
        <f t="shared" si="33"/>
        <v>RECC  160*80*8</v>
      </c>
      <c r="B223" s="174">
        <f t="shared" si="34"/>
        <v>26.409344596654048</v>
      </c>
      <c r="C223" s="173">
        <v>160</v>
      </c>
      <c r="D223" s="173">
        <v>80</v>
      </c>
      <c r="E223" s="173">
        <v>8</v>
      </c>
      <c r="F223" s="173">
        <f t="shared" si="35"/>
        <v>12</v>
      </c>
      <c r="G223" s="173">
        <f t="shared" si="36"/>
        <v>20</v>
      </c>
      <c r="H223" s="174">
        <f t="shared" si="37"/>
        <v>33.642477193189869</v>
      </c>
      <c r="I223" s="173"/>
      <c r="J223" s="174">
        <f t="shared" si="38"/>
        <v>0</v>
      </c>
      <c r="K223" s="173"/>
      <c r="L223" s="175">
        <f t="shared" si="39"/>
        <v>0</v>
      </c>
      <c r="M223" s="176">
        <f t="shared" si="40"/>
        <v>19.2</v>
      </c>
      <c r="N223" s="173"/>
      <c r="O223" s="174">
        <f t="shared" si="41"/>
        <v>0</v>
      </c>
      <c r="P223" s="173"/>
      <c r="Q223" s="174">
        <f t="shared" si="42"/>
        <v>0</v>
      </c>
      <c r="R223" s="190">
        <f t="shared" si="43"/>
        <v>6.4</v>
      </c>
      <c r="S223" s="173"/>
      <c r="T223" s="177"/>
    </row>
    <row r="224" spans="1:20" x14ac:dyDescent="0.25">
      <c r="A224" s="172" t="str">
        <f t="shared" si="33"/>
        <v>RECC  160*80*10</v>
      </c>
      <c r="B224" s="174">
        <f t="shared" si="34"/>
        <v>31.844600932271959</v>
      </c>
      <c r="C224" s="173">
        <v>160</v>
      </c>
      <c r="D224" s="173">
        <v>80</v>
      </c>
      <c r="E224" s="173">
        <v>10</v>
      </c>
      <c r="F224" s="173">
        <f t="shared" si="35"/>
        <v>15</v>
      </c>
      <c r="G224" s="173">
        <f t="shared" si="36"/>
        <v>25</v>
      </c>
      <c r="H224" s="174">
        <f t="shared" si="37"/>
        <v>40.56637061435918</v>
      </c>
      <c r="I224" s="173"/>
      <c r="J224" s="174">
        <f t="shared" si="38"/>
        <v>0</v>
      </c>
      <c r="K224" s="173"/>
      <c r="L224" s="175">
        <f t="shared" si="39"/>
        <v>0</v>
      </c>
      <c r="M224" s="176">
        <f t="shared" si="40"/>
        <v>22</v>
      </c>
      <c r="N224" s="173"/>
      <c r="O224" s="174">
        <f t="shared" si="41"/>
        <v>0</v>
      </c>
      <c r="P224" s="173"/>
      <c r="Q224" s="174">
        <f t="shared" si="42"/>
        <v>0</v>
      </c>
      <c r="R224" s="190">
        <f t="shared" si="43"/>
        <v>6</v>
      </c>
      <c r="S224" s="173"/>
      <c r="T224" s="177"/>
    </row>
    <row r="225" spans="1:20" x14ac:dyDescent="0.25">
      <c r="A225" s="178" t="str">
        <f t="shared" si="33"/>
        <v>RECC  160*80*12.5</v>
      </c>
      <c r="B225" s="180">
        <f t="shared" si="34"/>
        <v>36.929298695843656</v>
      </c>
      <c r="C225" s="179">
        <v>160</v>
      </c>
      <c r="D225" s="179">
        <v>80</v>
      </c>
      <c r="E225" s="179">
        <v>12.5</v>
      </c>
      <c r="F225" s="179">
        <f t="shared" si="35"/>
        <v>25</v>
      </c>
      <c r="G225" s="179">
        <f t="shared" si="36"/>
        <v>37.5</v>
      </c>
      <c r="H225" s="180">
        <f t="shared" si="37"/>
        <v>47.043692606170261</v>
      </c>
      <c r="I225" s="179"/>
      <c r="J225" s="180">
        <f t="shared" si="38"/>
        <v>0</v>
      </c>
      <c r="K225" s="179"/>
      <c r="L225" s="181">
        <f t="shared" si="39"/>
        <v>0</v>
      </c>
      <c r="M225" s="182">
        <f t="shared" si="40"/>
        <v>21.25</v>
      </c>
      <c r="N225" s="179"/>
      <c r="O225" s="180">
        <f t="shared" si="41"/>
        <v>0</v>
      </c>
      <c r="P225" s="179"/>
      <c r="Q225" s="180">
        <f t="shared" si="42"/>
        <v>0</v>
      </c>
      <c r="R225" s="191">
        <f t="shared" si="43"/>
        <v>1.25</v>
      </c>
      <c r="S225" s="179"/>
      <c r="T225" s="183"/>
    </row>
    <row r="226" spans="1:20" x14ac:dyDescent="0.25">
      <c r="A226" s="162" t="str">
        <f t="shared" si="33"/>
        <v>RECC  180*100*4</v>
      </c>
      <c r="B226" s="163">
        <f t="shared" si="34"/>
        <v>16.758152111872633</v>
      </c>
      <c r="C226" s="64">
        <v>180</v>
      </c>
      <c r="D226" s="64">
        <v>100</v>
      </c>
      <c r="E226" s="64">
        <v>4</v>
      </c>
      <c r="F226" s="64">
        <f t="shared" si="35"/>
        <v>4</v>
      </c>
      <c r="G226" s="64">
        <f t="shared" si="36"/>
        <v>8</v>
      </c>
      <c r="H226" s="163">
        <f t="shared" si="37"/>
        <v>21.347964473723099</v>
      </c>
      <c r="I226" s="64"/>
      <c r="J226" s="163">
        <f t="shared" si="38"/>
        <v>0</v>
      </c>
      <c r="K226" s="64"/>
      <c r="L226" s="164">
        <f t="shared" si="39"/>
        <v>0</v>
      </c>
      <c r="M226" s="165">
        <f t="shared" si="40"/>
        <v>13.120000000000001</v>
      </c>
      <c r="N226" s="64"/>
      <c r="O226" s="163">
        <f t="shared" si="41"/>
        <v>0</v>
      </c>
      <c r="P226" s="64"/>
      <c r="Q226" s="163">
        <f t="shared" si="42"/>
        <v>0</v>
      </c>
      <c r="R226" s="188">
        <f t="shared" si="43"/>
        <v>6.72</v>
      </c>
      <c r="S226" s="64"/>
      <c r="T226" s="64"/>
    </row>
    <row r="227" spans="1:20" x14ac:dyDescent="0.25">
      <c r="A227" s="162" t="str">
        <f t="shared" si="33"/>
        <v>RECC  180*100*5</v>
      </c>
      <c r="B227" s="163">
        <f t="shared" si="34"/>
        <v>20.689612674800994</v>
      </c>
      <c r="C227" s="64">
        <v>180</v>
      </c>
      <c r="D227" s="64">
        <v>100</v>
      </c>
      <c r="E227" s="64">
        <v>5</v>
      </c>
      <c r="F227" s="64">
        <f t="shared" si="35"/>
        <v>5</v>
      </c>
      <c r="G227" s="64">
        <f t="shared" si="36"/>
        <v>10</v>
      </c>
      <c r="H227" s="163">
        <f t="shared" si="37"/>
        <v>26.356194490192348</v>
      </c>
      <c r="I227" s="64"/>
      <c r="J227" s="163">
        <f t="shared" si="38"/>
        <v>0</v>
      </c>
      <c r="K227" s="64"/>
      <c r="L227" s="164">
        <f t="shared" si="39"/>
        <v>0</v>
      </c>
      <c r="M227" s="165">
        <f t="shared" si="40"/>
        <v>16</v>
      </c>
      <c r="N227" s="64"/>
      <c r="O227" s="163">
        <f t="shared" si="41"/>
        <v>0</v>
      </c>
      <c r="P227" s="64"/>
      <c r="Q227" s="163">
        <f t="shared" si="42"/>
        <v>0</v>
      </c>
      <c r="R227" s="188">
        <f t="shared" si="43"/>
        <v>8</v>
      </c>
      <c r="S227" s="64"/>
      <c r="T227" s="64"/>
    </row>
    <row r="228" spans="1:20" x14ac:dyDescent="0.25">
      <c r="A228" s="162" t="str">
        <f t="shared" si="33"/>
        <v>RECC  180*100*6.3</v>
      </c>
      <c r="B228" s="163">
        <f t="shared" si="34"/>
        <v>25.378730110018736</v>
      </c>
      <c r="C228" s="64">
        <v>180</v>
      </c>
      <c r="D228" s="64">
        <v>100</v>
      </c>
      <c r="E228" s="64">
        <v>6.3</v>
      </c>
      <c r="F228" s="64">
        <f t="shared" si="35"/>
        <v>9.4499999999999993</v>
      </c>
      <c r="G228" s="64">
        <f t="shared" si="36"/>
        <v>15.75</v>
      </c>
      <c r="H228" s="163">
        <f t="shared" si="37"/>
        <v>32.329592496839155</v>
      </c>
      <c r="I228" s="64"/>
      <c r="J228" s="163">
        <f t="shared" si="38"/>
        <v>0</v>
      </c>
      <c r="K228" s="64"/>
      <c r="L228" s="164">
        <f t="shared" si="39"/>
        <v>0</v>
      </c>
      <c r="M228" s="165">
        <f t="shared" si="40"/>
        <v>18.710999999999999</v>
      </c>
      <c r="N228" s="64"/>
      <c r="O228" s="163">
        <f t="shared" si="41"/>
        <v>0</v>
      </c>
      <c r="P228" s="64"/>
      <c r="Q228" s="163">
        <f t="shared" si="42"/>
        <v>0</v>
      </c>
      <c r="R228" s="188">
        <f t="shared" si="43"/>
        <v>8.6310000000000002</v>
      </c>
      <c r="S228" s="64"/>
      <c r="T228" s="64"/>
    </row>
    <row r="229" spans="1:20" x14ac:dyDescent="0.25">
      <c r="A229" s="162" t="str">
        <f t="shared" si="33"/>
        <v>RECC  180*100*8</v>
      </c>
      <c r="B229" s="163">
        <f t="shared" si="34"/>
        <v>31.433344596654052</v>
      </c>
      <c r="C229" s="64">
        <v>180</v>
      </c>
      <c r="D229" s="64">
        <v>100</v>
      </c>
      <c r="E229" s="64">
        <v>8</v>
      </c>
      <c r="F229" s="64">
        <f t="shared" si="35"/>
        <v>12</v>
      </c>
      <c r="G229" s="64">
        <f t="shared" si="36"/>
        <v>20</v>
      </c>
      <c r="H229" s="163">
        <f t="shared" si="37"/>
        <v>40.042477193189875</v>
      </c>
      <c r="I229" s="64"/>
      <c r="J229" s="163">
        <f t="shared" si="38"/>
        <v>0</v>
      </c>
      <c r="K229" s="64"/>
      <c r="L229" s="164">
        <f t="shared" si="39"/>
        <v>0</v>
      </c>
      <c r="M229" s="165">
        <f t="shared" si="40"/>
        <v>22.400000000000002</v>
      </c>
      <c r="N229" s="64"/>
      <c r="O229" s="163">
        <f t="shared" si="41"/>
        <v>0</v>
      </c>
      <c r="P229" s="64"/>
      <c r="Q229" s="163">
        <f t="shared" si="42"/>
        <v>0</v>
      </c>
      <c r="R229" s="188">
        <f t="shared" si="43"/>
        <v>9.6</v>
      </c>
      <c r="S229" s="64"/>
      <c r="T229" s="64"/>
    </row>
    <row r="230" spans="1:20" x14ac:dyDescent="0.25">
      <c r="A230" s="162" t="str">
        <f t="shared" si="33"/>
        <v>RECC  180*100*10</v>
      </c>
      <c r="B230" s="163">
        <f t="shared" si="34"/>
        <v>38.12460093227196</v>
      </c>
      <c r="C230" s="64">
        <v>180</v>
      </c>
      <c r="D230" s="64">
        <v>100</v>
      </c>
      <c r="E230" s="64">
        <v>10</v>
      </c>
      <c r="F230" s="64">
        <f t="shared" si="35"/>
        <v>15</v>
      </c>
      <c r="G230" s="64">
        <f t="shared" si="36"/>
        <v>25</v>
      </c>
      <c r="H230" s="163">
        <f t="shared" si="37"/>
        <v>48.56637061435918</v>
      </c>
      <c r="I230" s="64"/>
      <c r="J230" s="163">
        <f t="shared" si="38"/>
        <v>0</v>
      </c>
      <c r="K230" s="64"/>
      <c r="L230" s="164">
        <f t="shared" si="39"/>
        <v>0</v>
      </c>
      <c r="M230" s="165">
        <f t="shared" si="40"/>
        <v>26</v>
      </c>
      <c r="N230" s="64"/>
      <c r="O230" s="163">
        <f t="shared" si="41"/>
        <v>0</v>
      </c>
      <c r="P230" s="64"/>
      <c r="Q230" s="163">
        <f t="shared" si="42"/>
        <v>0</v>
      </c>
      <c r="R230" s="188">
        <f t="shared" si="43"/>
        <v>10</v>
      </c>
      <c r="S230" s="64"/>
      <c r="T230" s="64"/>
    </row>
    <row r="231" spans="1:20" x14ac:dyDescent="0.25">
      <c r="A231" s="162" t="str">
        <f t="shared" si="33"/>
        <v>RECC  180*100*12.5</v>
      </c>
      <c r="B231" s="163">
        <f t="shared" si="34"/>
        <v>44.779298695843657</v>
      </c>
      <c r="C231" s="64">
        <v>180</v>
      </c>
      <c r="D231" s="64">
        <v>100</v>
      </c>
      <c r="E231" s="64">
        <v>12.5</v>
      </c>
      <c r="F231" s="64">
        <f t="shared" si="35"/>
        <v>25</v>
      </c>
      <c r="G231" s="64">
        <f t="shared" si="36"/>
        <v>37.5</v>
      </c>
      <c r="H231" s="163">
        <f t="shared" si="37"/>
        <v>57.043692606170261</v>
      </c>
      <c r="I231" s="64"/>
      <c r="J231" s="163">
        <f t="shared" si="38"/>
        <v>0</v>
      </c>
      <c r="K231" s="64"/>
      <c r="L231" s="164">
        <f t="shared" si="39"/>
        <v>0</v>
      </c>
      <c r="M231" s="165">
        <f t="shared" si="40"/>
        <v>26.25</v>
      </c>
      <c r="N231" s="64"/>
      <c r="O231" s="163">
        <f t="shared" si="41"/>
        <v>0</v>
      </c>
      <c r="P231" s="64"/>
      <c r="Q231" s="163">
        <f t="shared" si="42"/>
        <v>0</v>
      </c>
      <c r="R231" s="188">
        <f t="shared" si="43"/>
        <v>6.25</v>
      </c>
      <c r="S231" s="64"/>
      <c r="T231" s="64"/>
    </row>
    <row r="232" spans="1:20" x14ac:dyDescent="0.25">
      <c r="A232" s="166" t="str">
        <f t="shared" si="33"/>
        <v>RECC  200*100*4</v>
      </c>
      <c r="B232" s="168">
        <f t="shared" si="34"/>
        <v>18.014152111872633</v>
      </c>
      <c r="C232" s="167">
        <v>200</v>
      </c>
      <c r="D232" s="167">
        <v>100</v>
      </c>
      <c r="E232" s="167">
        <v>4</v>
      </c>
      <c r="F232" s="167">
        <f t="shared" si="35"/>
        <v>4</v>
      </c>
      <c r="G232" s="167">
        <f t="shared" si="36"/>
        <v>8</v>
      </c>
      <c r="H232" s="168">
        <f t="shared" si="37"/>
        <v>22.947964473723101</v>
      </c>
      <c r="I232" s="167"/>
      <c r="J232" s="168">
        <f t="shared" si="38"/>
        <v>0</v>
      </c>
      <c r="K232" s="167"/>
      <c r="L232" s="169">
        <f t="shared" si="39"/>
        <v>0</v>
      </c>
      <c r="M232" s="170">
        <f t="shared" si="40"/>
        <v>14.72</v>
      </c>
      <c r="N232" s="167"/>
      <c r="O232" s="168">
        <f t="shared" si="41"/>
        <v>0</v>
      </c>
      <c r="P232" s="167"/>
      <c r="Q232" s="168">
        <f t="shared" si="42"/>
        <v>0</v>
      </c>
      <c r="R232" s="189">
        <f t="shared" si="43"/>
        <v>6.72</v>
      </c>
      <c r="S232" s="167"/>
      <c r="T232" s="171"/>
    </row>
    <row r="233" spans="1:20" x14ac:dyDescent="0.25">
      <c r="A233" s="172" t="str">
        <f t="shared" si="33"/>
        <v>RECC  200*100*5</v>
      </c>
      <c r="B233" s="174">
        <f t="shared" si="34"/>
        <v>22.259612674800994</v>
      </c>
      <c r="C233" s="173">
        <v>200</v>
      </c>
      <c r="D233" s="173">
        <v>100</v>
      </c>
      <c r="E233" s="173">
        <v>5</v>
      </c>
      <c r="F233" s="173">
        <f t="shared" si="35"/>
        <v>5</v>
      </c>
      <c r="G233" s="173">
        <f t="shared" si="36"/>
        <v>10</v>
      </c>
      <c r="H233" s="174">
        <f t="shared" si="37"/>
        <v>28.356194490192348</v>
      </c>
      <c r="I233" s="173"/>
      <c r="J233" s="174">
        <f t="shared" si="38"/>
        <v>0</v>
      </c>
      <c r="K233" s="173"/>
      <c r="L233" s="175">
        <f t="shared" si="39"/>
        <v>0</v>
      </c>
      <c r="M233" s="176">
        <f t="shared" si="40"/>
        <v>18</v>
      </c>
      <c r="N233" s="173"/>
      <c r="O233" s="174">
        <f t="shared" si="41"/>
        <v>0</v>
      </c>
      <c r="P233" s="173"/>
      <c r="Q233" s="174">
        <f t="shared" si="42"/>
        <v>0</v>
      </c>
      <c r="R233" s="190">
        <f t="shared" si="43"/>
        <v>8</v>
      </c>
      <c r="S233" s="173"/>
      <c r="T233" s="177"/>
    </row>
    <row r="234" spans="1:20" x14ac:dyDescent="0.25">
      <c r="A234" s="172" t="str">
        <f t="shared" si="33"/>
        <v>RECC  200*100*6.3</v>
      </c>
      <c r="B234" s="174">
        <f t="shared" si="34"/>
        <v>27.356930110018741</v>
      </c>
      <c r="C234" s="173">
        <v>200</v>
      </c>
      <c r="D234" s="173">
        <v>100</v>
      </c>
      <c r="E234" s="173">
        <v>6.3</v>
      </c>
      <c r="F234" s="173">
        <f t="shared" si="35"/>
        <v>9.4499999999999993</v>
      </c>
      <c r="G234" s="173">
        <f t="shared" si="36"/>
        <v>15.75</v>
      </c>
      <c r="H234" s="174">
        <f t="shared" si="37"/>
        <v>34.849592496839158</v>
      </c>
      <c r="I234" s="173"/>
      <c r="J234" s="174">
        <f t="shared" si="38"/>
        <v>0</v>
      </c>
      <c r="K234" s="173"/>
      <c r="L234" s="175">
        <f t="shared" si="39"/>
        <v>0</v>
      </c>
      <c r="M234" s="176">
        <f t="shared" si="40"/>
        <v>21.230999999999998</v>
      </c>
      <c r="N234" s="173"/>
      <c r="O234" s="174">
        <f t="shared" si="41"/>
        <v>0</v>
      </c>
      <c r="P234" s="173"/>
      <c r="Q234" s="174">
        <f t="shared" si="42"/>
        <v>0</v>
      </c>
      <c r="R234" s="190">
        <f t="shared" si="43"/>
        <v>8.6310000000000002</v>
      </c>
      <c r="S234" s="173"/>
      <c r="T234" s="177"/>
    </row>
    <row r="235" spans="1:20" x14ac:dyDescent="0.25">
      <c r="A235" s="172" t="str">
        <f t="shared" ref="A235:A281" si="44">$B$169&amp;"  "&amp;C235&amp;"*"&amp;D235&amp;"*"&amp;E235</f>
        <v>RECC  200*100*8</v>
      </c>
      <c r="B235" s="174">
        <f t="shared" si="34"/>
        <v>33.945344596654053</v>
      </c>
      <c r="C235" s="173">
        <v>200</v>
      </c>
      <c r="D235" s="173">
        <v>100</v>
      </c>
      <c r="E235" s="173">
        <v>8</v>
      </c>
      <c r="F235" s="173">
        <f t="shared" si="35"/>
        <v>12</v>
      </c>
      <c r="G235" s="173">
        <f t="shared" si="36"/>
        <v>20</v>
      </c>
      <c r="H235" s="174">
        <f t="shared" si="37"/>
        <v>43.24247719318987</v>
      </c>
      <c r="I235" s="173"/>
      <c r="J235" s="174">
        <f t="shared" si="38"/>
        <v>0</v>
      </c>
      <c r="K235" s="173"/>
      <c r="L235" s="175">
        <f t="shared" si="39"/>
        <v>0</v>
      </c>
      <c r="M235" s="176">
        <f t="shared" si="40"/>
        <v>25.6</v>
      </c>
      <c r="N235" s="173"/>
      <c r="O235" s="174">
        <f t="shared" si="41"/>
        <v>0</v>
      </c>
      <c r="P235" s="173"/>
      <c r="Q235" s="174">
        <f t="shared" si="42"/>
        <v>0</v>
      </c>
      <c r="R235" s="190">
        <f t="shared" si="43"/>
        <v>9.6</v>
      </c>
      <c r="S235" s="173"/>
      <c r="T235" s="177"/>
    </row>
    <row r="236" spans="1:20" x14ac:dyDescent="0.25">
      <c r="A236" s="172" t="str">
        <f t="shared" si="44"/>
        <v>RECC  200*100*10</v>
      </c>
      <c r="B236" s="174">
        <f t="shared" si="34"/>
        <v>41.264600932271961</v>
      </c>
      <c r="C236" s="173">
        <v>200</v>
      </c>
      <c r="D236" s="173">
        <v>100</v>
      </c>
      <c r="E236" s="173">
        <v>10</v>
      </c>
      <c r="F236" s="173">
        <f t="shared" si="35"/>
        <v>15</v>
      </c>
      <c r="G236" s="173">
        <f t="shared" si="36"/>
        <v>25</v>
      </c>
      <c r="H236" s="174">
        <f t="shared" si="37"/>
        <v>52.56637061435918</v>
      </c>
      <c r="I236" s="173"/>
      <c r="J236" s="174">
        <f t="shared" si="38"/>
        <v>0</v>
      </c>
      <c r="K236" s="173"/>
      <c r="L236" s="175">
        <f t="shared" si="39"/>
        <v>0</v>
      </c>
      <c r="M236" s="176">
        <f t="shared" si="40"/>
        <v>30</v>
      </c>
      <c r="N236" s="173"/>
      <c r="O236" s="174">
        <f t="shared" si="41"/>
        <v>0</v>
      </c>
      <c r="P236" s="173"/>
      <c r="Q236" s="174">
        <f t="shared" si="42"/>
        <v>0</v>
      </c>
      <c r="R236" s="190">
        <f t="shared" si="43"/>
        <v>10</v>
      </c>
      <c r="S236" s="173"/>
      <c r="T236" s="177"/>
    </row>
    <row r="237" spans="1:20" x14ac:dyDescent="0.25">
      <c r="A237" s="172" t="str">
        <f t="shared" si="44"/>
        <v>RECC  200*100*12.5</v>
      </c>
      <c r="B237" s="174">
        <f t="shared" si="34"/>
        <v>48.704298695843654</v>
      </c>
      <c r="C237" s="173">
        <v>200</v>
      </c>
      <c r="D237" s="173">
        <v>100</v>
      </c>
      <c r="E237" s="173">
        <v>12.5</v>
      </c>
      <c r="F237" s="173">
        <f t="shared" si="35"/>
        <v>25</v>
      </c>
      <c r="G237" s="173">
        <f t="shared" si="36"/>
        <v>37.5</v>
      </c>
      <c r="H237" s="174">
        <f t="shared" si="37"/>
        <v>62.043692606170261</v>
      </c>
      <c r="I237" s="173"/>
      <c r="J237" s="174">
        <f t="shared" si="38"/>
        <v>0</v>
      </c>
      <c r="K237" s="173"/>
      <c r="L237" s="175">
        <f t="shared" si="39"/>
        <v>0</v>
      </c>
      <c r="M237" s="176">
        <f t="shared" si="40"/>
        <v>31.25</v>
      </c>
      <c r="N237" s="173"/>
      <c r="O237" s="174">
        <f t="shared" si="41"/>
        <v>0</v>
      </c>
      <c r="P237" s="173"/>
      <c r="Q237" s="174">
        <f t="shared" si="42"/>
        <v>0</v>
      </c>
      <c r="R237" s="190">
        <f t="shared" si="43"/>
        <v>6.25</v>
      </c>
      <c r="S237" s="173"/>
      <c r="T237" s="177"/>
    </row>
    <row r="238" spans="1:20" x14ac:dyDescent="0.25">
      <c r="A238" s="178" t="str">
        <f t="shared" si="44"/>
        <v>RECC  200*100*16</v>
      </c>
      <c r="B238" s="180">
        <f t="shared" si="34"/>
        <v>58.696322983270242</v>
      </c>
      <c r="C238" s="179">
        <v>200</v>
      </c>
      <c r="D238" s="179">
        <v>100</v>
      </c>
      <c r="E238" s="179">
        <v>16</v>
      </c>
      <c r="F238" s="179">
        <f t="shared" si="35"/>
        <v>32</v>
      </c>
      <c r="G238" s="179">
        <f t="shared" si="36"/>
        <v>48</v>
      </c>
      <c r="H238" s="180">
        <f t="shared" si="37"/>
        <v>74.772385965949354</v>
      </c>
      <c r="I238" s="179"/>
      <c r="J238" s="180">
        <f t="shared" si="38"/>
        <v>0</v>
      </c>
      <c r="K238" s="179"/>
      <c r="L238" s="181">
        <f t="shared" si="39"/>
        <v>0</v>
      </c>
      <c r="M238" s="182">
        <f t="shared" si="40"/>
        <v>33.28</v>
      </c>
      <c r="N238" s="179"/>
      <c r="O238" s="180">
        <f t="shared" si="41"/>
        <v>0</v>
      </c>
      <c r="P238" s="179"/>
      <c r="Q238" s="180">
        <f t="shared" si="42"/>
        <v>0</v>
      </c>
      <c r="R238" s="191">
        <f t="shared" si="43"/>
        <v>1.28</v>
      </c>
      <c r="S238" s="179"/>
      <c r="T238" s="183"/>
    </row>
    <row r="239" spans="1:20" x14ac:dyDescent="0.25">
      <c r="A239" s="162" t="str">
        <f t="shared" si="44"/>
        <v>RECC  200*120*6.3</v>
      </c>
      <c r="B239" s="163">
        <f t="shared" si="34"/>
        <v>29.335130110018738</v>
      </c>
      <c r="C239" s="64">
        <v>200</v>
      </c>
      <c r="D239" s="64">
        <v>120</v>
      </c>
      <c r="E239" s="64">
        <v>6.3</v>
      </c>
      <c r="F239" s="64">
        <f t="shared" si="35"/>
        <v>9.4499999999999993</v>
      </c>
      <c r="G239" s="64">
        <f t="shared" si="36"/>
        <v>15.75</v>
      </c>
      <c r="H239" s="163">
        <f t="shared" si="37"/>
        <v>37.369592496839154</v>
      </c>
      <c r="I239" s="64"/>
      <c r="J239" s="163">
        <f t="shared" si="38"/>
        <v>0</v>
      </c>
      <c r="K239" s="64"/>
      <c r="L239" s="164">
        <f t="shared" si="39"/>
        <v>0</v>
      </c>
      <c r="M239" s="165">
        <f t="shared" si="40"/>
        <v>21.230999999999998</v>
      </c>
      <c r="N239" s="64"/>
      <c r="O239" s="163">
        <f t="shared" si="41"/>
        <v>0</v>
      </c>
      <c r="P239" s="64"/>
      <c r="Q239" s="163">
        <f t="shared" si="42"/>
        <v>0</v>
      </c>
      <c r="R239" s="188">
        <f t="shared" si="43"/>
        <v>11.151</v>
      </c>
      <c r="S239" s="64"/>
      <c r="T239" s="64"/>
    </row>
    <row r="240" spans="1:20" x14ac:dyDescent="0.25">
      <c r="A240" s="162" t="str">
        <f t="shared" si="44"/>
        <v>RECC  200*120*8</v>
      </c>
      <c r="B240" s="163">
        <f t="shared" si="34"/>
        <v>36.457344596654053</v>
      </c>
      <c r="C240" s="64">
        <v>200</v>
      </c>
      <c r="D240" s="64">
        <v>120</v>
      </c>
      <c r="E240" s="64">
        <v>8</v>
      </c>
      <c r="F240" s="64">
        <f t="shared" si="35"/>
        <v>12</v>
      </c>
      <c r="G240" s="64">
        <f t="shared" si="36"/>
        <v>20</v>
      </c>
      <c r="H240" s="163">
        <f t="shared" si="37"/>
        <v>46.442477193189873</v>
      </c>
      <c r="I240" s="64"/>
      <c r="J240" s="163">
        <f t="shared" si="38"/>
        <v>0</v>
      </c>
      <c r="K240" s="64"/>
      <c r="L240" s="164">
        <f t="shared" si="39"/>
        <v>0</v>
      </c>
      <c r="M240" s="165">
        <f t="shared" si="40"/>
        <v>25.6</v>
      </c>
      <c r="N240" s="64"/>
      <c r="O240" s="163">
        <f t="shared" si="41"/>
        <v>0</v>
      </c>
      <c r="P240" s="64"/>
      <c r="Q240" s="163">
        <f t="shared" si="42"/>
        <v>0</v>
      </c>
      <c r="R240" s="188">
        <f t="shared" si="43"/>
        <v>12.8</v>
      </c>
      <c r="S240" s="64"/>
      <c r="T240" s="64"/>
    </row>
    <row r="241" spans="1:20" x14ac:dyDescent="0.25">
      <c r="A241" s="162" t="str">
        <f t="shared" si="44"/>
        <v>RECC  200*120*10</v>
      </c>
      <c r="B241" s="163">
        <f t="shared" si="34"/>
        <v>44.404600932271961</v>
      </c>
      <c r="C241" s="64">
        <v>200</v>
      </c>
      <c r="D241" s="64">
        <v>120</v>
      </c>
      <c r="E241" s="64">
        <v>10</v>
      </c>
      <c r="F241" s="64">
        <f t="shared" si="35"/>
        <v>15</v>
      </c>
      <c r="G241" s="64">
        <f t="shared" si="36"/>
        <v>25</v>
      </c>
      <c r="H241" s="163">
        <f t="shared" si="37"/>
        <v>56.56637061435918</v>
      </c>
      <c r="I241" s="64"/>
      <c r="J241" s="163">
        <f t="shared" si="38"/>
        <v>0</v>
      </c>
      <c r="K241" s="64"/>
      <c r="L241" s="164">
        <f t="shared" si="39"/>
        <v>0</v>
      </c>
      <c r="M241" s="165">
        <f t="shared" si="40"/>
        <v>30</v>
      </c>
      <c r="N241" s="64"/>
      <c r="O241" s="163">
        <f t="shared" si="41"/>
        <v>0</v>
      </c>
      <c r="P241" s="64"/>
      <c r="Q241" s="163">
        <f t="shared" si="42"/>
        <v>0</v>
      </c>
      <c r="R241" s="188">
        <f t="shared" si="43"/>
        <v>14</v>
      </c>
      <c r="S241" s="64"/>
      <c r="T241" s="64"/>
    </row>
    <row r="242" spans="1:20" x14ac:dyDescent="0.25">
      <c r="A242" s="162" t="str">
        <f t="shared" si="44"/>
        <v>RECC  200*120*12.5</v>
      </c>
      <c r="B242" s="163">
        <f t="shared" si="34"/>
        <v>52.629298695843666</v>
      </c>
      <c r="C242" s="64">
        <v>200</v>
      </c>
      <c r="D242" s="64">
        <v>120</v>
      </c>
      <c r="E242" s="64">
        <v>12.5</v>
      </c>
      <c r="F242" s="64">
        <f t="shared" si="35"/>
        <v>25</v>
      </c>
      <c r="G242" s="64">
        <f t="shared" si="36"/>
        <v>37.5</v>
      </c>
      <c r="H242" s="163">
        <f t="shared" si="37"/>
        <v>67.043692606170268</v>
      </c>
      <c r="I242" s="64"/>
      <c r="J242" s="163">
        <f t="shared" si="38"/>
        <v>0</v>
      </c>
      <c r="K242" s="64"/>
      <c r="L242" s="164">
        <f t="shared" si="39"/>
        <v>0</v>
      </c>
      <c r="M242" s="165">
        <f t="shared" si="40"/>
        <v>31.25</v>
      </c>
      <c r="N242" s="64"/>
      <c r="O242" s="163">
        <f t="shared" si="41"/>
        <v>0</v>
      </c>
      <c r="P242" s="64"/>
      <c r="Q242" s="163">
        <f t="shared" si="42"/>
        <v>0</v>
      </c>
      <c r="R242" s="188">
        <f t="shared" si="43"/>
        <v>11.25</v>
      </c>
      <c r="S242" s="64"/>
      <c r="T242" s="64"/>
    </row>
    <row r="243" spans="1:20" x14ac:dyDescent="0.25">
      <c r="A243" s="166" t="str">
        <f t="shared" si="44"/>
        <v>RECC  250*150*6.3</v>
      </c>
      <c r="B243" s="168">
        <f t="shared" si="34"/>
        <v>37.247930110018743</v>
      </c>
      <c r="C243" s="167">
        <v>250</v>
      </c>
      <c r="D243" s="167">
        <v>150</v>
      </c>
      <c r="E243" s="167">
        <v>6.3</v>
      </c>
      <c r="F243" s="167">
        <f t="shared" si="35"/>
        <v>9.4499999999999993</v>
      </c>
      <c r="G243" s="167">
        <f t="shared" si="36"/>
        <v>15.75</v>
      </c>
      <c r="H243" s="168">
        <f t="shared" si="37"/>
        <v>47.449592496839159</v>
      </c>
      <c r="I243" s="167"/>
      <c r="J243" s="168">
        <f t="shared" si="38"/>
        <v>0</v>
      </c>
      <c r="K243" s="167"/>
      <c r="L243" s="169">
        <f t="shared" si="39"/>
        <v>0</v>
      </c>
      <c r="M243" s="170">
        <f t="shared" si="40"/>
        <v>27.530999999999999</v>
      </c>
      <c r="N243" s="167"/>
      <c r="O243" s="168">
        <f t="shared" si="41"/>
        <v>0</v>
      </c>
      <c r="P243" s="167"/>
      <c r="Q243" s="168">
        <f t="shared" si="42"/>
        <v>0</v>
      </c>
      <c r="R243" s="189">
        <f t="shared" si="43"/>
        <v>14.930999999999999</v>
      </c>
      <c r="S243" s="167"/>
      <c r="T243" s="171"/>
    </row>
    <row r="244" spans="1:20" x14ac:dyDescent="0.25">
      <c r="A244" s="172" t="str">
        <f t="shared" si="44"/>
        <v>RECC  250*150*8</v>
      </c>
      <c r="B244" s="174">
        <f t="shared" si="34"/>
        <v>46.505344596654048</v>
      </c>
      <c r="C244" s="173">
        <v>250</v>
      </c>
      <c r="D244" s="173">
        <v>150</v>
      </c>
      <c r="E244" s="173">
        <v>8</v>
      </c>
      <c r="F244" s="173">
        <f t="shared" si="35"/>
        <v>12</v>
      </c>
      <c r="G244" s="173">
        <f t="shared" si="36"/>
        <v>20</v>
      </c>
      <c r="H244" s="174">
        <f t="shared" si="37"/>
        <v>59.24247719318987</v>
      </c>
      <c r="I244" s="173"/>
      <c r="J244" s="174">
        <f t="shared" si="38"/>
        <v>0</v>
      </c>
      <c r="K244" s="173"/>
      <c r="L244" s="175">
        <f t="shared" si="39"/>
        <v>0</v>
      </c>
      <c r="M244" s="176">
        <f t="shared" si="40"/>
        <v>33.6</v>
      </c>
      <c r="N244" s="173"/>
      <c r="O244" s="174">
        <f t="shared" si="41"/>
        <v>0</v>
      </c>
      <c r="P244" s="173"/>
      <c r="Q244" s="174">
        <f t="shared" si="42"/>
        <v>0</v>
      </c>
      <c r="R244" s="190">
        <f t="shared" si="43"/>
        <v>17.600000000000001</v>
      </c>
      <c r="S244" s="173"/>
      <c r="T244" s="177"/>
    </row>
    <row r="245" spans="1:20" x14ac:dyDescent="0.25">
      <c r="A245" s="172" t="str">
        <f t="shared" si="44"/>
        <v>RECC  250*150*10</v>
      </c>
      <c r="B245" s="174">
        <f t="shared" si="34"/>
        <v>56.964600932271949</v>
      </c>
      <c r="C245" s="173">
        <v>250</v>
      </c>
      <c r="D245" s="173">
        <v>150</v>
      </c>
      <c r="E245" s="173">
        <v>10</v>
      </c>
      <c r="F245" s="173">
        <f t="shared" si="35"/>
        <v>15</v>
      </c>
      <c r="G245" s="173">
        <f t="shared" si="36"/>
        <v>25</v>
      </c>
      <c r="H245" s="174">
        <f t="shared" si="37"/>
        <v>72.566370614359172</v>
      </c>
      <c r="I245" s="173"/>
      <c r="J245" s="174">
        <f t="shared" si="38"/>
        <v>0</v>
      </c>
      <c r="K245" s="173"/>
      <c r="L245" s="175">
        <f t="shared" si="39"/>
        <v>0</v>
      </c>
      <c r="M245" s="176">
        <f t="shared" si="40"/>
        <v>40</v>
      </c>
      <c r="N245" s="173"/>
      <c r="O245" s="174">
        <f t="shared" si="41"/>
        <v>0</v>
      </c>
      <c r="P245" s="173"/>
      <c r="Q245" s="174">
        <f t="shared" si="42"/>
        <v>0</v>
      </c>
      <c r="R245" s="190">
        <f t="shared" si="43"/>
        <v>20</v>
      </c>
      <c r="S245" s="173"/>
      <c r="T245" s="177"/>
    </row>
    <row r="246" spans="1:20" x14ac:dyDescent="0.25">
      <c r="A246" s="172" t="str">
        <f t="shared" si="44"/>
        <v>RECC  250*150*12.5</v>
      </c>
      <c r="B246" s="174">
        <f t="shared" si="34"/>
        <v>68.329298695843661</v>
      </c>
      <c r="C246" s="173">
        <v>250</v>
      </c>
      <c r="D246" s="173">
        <v>150</v>
      </c>
      <c r="E246" s="173">
        <v>12.5</v>
      </c>
      <c r="F246" s="173">
        <f t="shared" si="35"/>
        <v>25</v>
      </c>
      <c r="G246" s="173">
        <f t="shared" si="36"/>
        <v>37.5</v>
      </c>
      <c r="H246" s="174">
        <f t="shared" si="37"/>
        <v>87.043692606170268</v>
      </c>
      <c r="I246" s="173"/>
      <c r="J246" s="174">
        <f t="shared" si="38"/>
        <v>0</v>
      </c>
      <c r="K246" s="173"/>
      <c r="L246" s="175">
        <f t="shared" si="39"/>
        <v>0</v>
      </c>
      <c r="M246" s="176">
        <f t="shared" si="40"/>
        <v>43.75</v>
      </c>
      <c r="N246" s="173"/>
      <c r="O246" s="174">
        <f t="shared" si="41"/>
        <v>0</v>
      </c>
      <c r="P246" s="173"/>
      <c r="Q246" s="174">
        <f t="shared" si="42"/>
        <v>0</v>
      </c>
      <c r="R246" s="190">
        <f t="shared" si="43"/>
        <v>18.75</v>
      </c>
      <c r="S246" s="173"/>
      <c r="T246" s="177"/>
    </row>
    <row r="247" spans="1:20" x14ac:dyDescent="0.25">
      <c r="A247" s="172" t="str">
        <f t="shared" si="44"/>
        <v>RECC  250*150*14.2</v>
      </c>
      <c r="B247" s="174">
        <f t="shared" si="34"/>
        <v>76.050750649791439</v>
      </c>
      <c r="C247" s="173">
        <v>250</v>
      </c>
      <c r="D247" s="173">
        <v>150</v>
      </c>
      <c r="E247" s="173">
        <v>14.2</v>
      </c>
      <c r="F247" s="173">
        <f t="shared" si="35"/>
        <v>28.4</v>
      </c>
      <c r="G247" s="173">
        <f t="shared" si="36"/>
        <v>42.599999999999994</v>
      </c>
      <c r="H247" s="174">
        <f t="shared" si="37"/>
        <v>96.879937133492277</v>
      </c>
      <c r="I247" s="173"/>
      <c r="J247" s="174">
        <f t="shared" si="38"/>
        <v>0</v>
      </c>
      <c r="K247" s="173"/>
      <c r="L247" s="175">
        <f t="shared" si="39"/>
        <v>0</v>
      </c>
      <c r="M247" s="176">
        <f t="shared" si="40"/>
        <v>46.803199999999997</v>
      </c>
      <c r="N247" s="173"/>
      <c r="O247" s="174">
        <f t="shared" si="41"/>
        <v>0</v>
      </c>
      <c r="P247" s="173"/>
      <c r="Q247" s="174">
        <f t="shared" si="42"/>
        <v>0</v>
      </c>
      <c r="R247" s="190">
        <f t="shared" si="43"/>
        <v>18.403200000000002</v>
      </c>
      <c r="S247" s="173"/>
      <c r="T247" s="177"/>
    </row>
    <row r="248" spans="1:20" x14ac:dyDescent="0.25">
      <c r="A248" s="178" t="str">
        <f t="shared" si="44"/>
        <v>RECC  250*150*16</v>
      </c>
      <c r="B248" s="180">
        <f t="shared" si="34"/>
        <v>83.816322983270254</v>
      </c>
      <c r="C248" s="179">
        <v>250</v>
      </c>
      <c r="D248" s="179">
        <v>150</v>
      </c>
      <c r="E248" s="179">
        <v>16</v>
      </c>
      <c r="F248" s="179">
        <f t="shared" si="35"/>
        <v>32</v>
      </c>
      <c r="G248" s="179">
        <f t="shared" si="36"/>
        <v>48</v>
      </c>
      <c r="H248" s="180">
        <f t="shared" si="37"/>
        <v>106.77238596594937</v>
      </c>
      <c r="I248" s="179"/>
      <c r="J248" s="180">
        <f t="shared" si="38"/>
        <v>0</v>
      </c>
      <c r="K248" s="179"/>
      <c r="L248" s="181">
        <f t="shared" si="39"/>
        <v>0</v>
      </c>
      <c r="M248" s="182">
        <f t="shared" si="40"/>
        <v>49.28</v>
      </c>
      <c r="N248" s="179"/>
      <c r="O248" s="180">
        <f t="shared" si="41"/>
        <v>0</v>
      </c>
      <c r="P248" s="179"/>
      <c r="Q248" s="180">
        <f t="shared" si="42"/>
        <v>0</v>
      </c>
      <c r="R248" s="191">
        <f t="shared" si="43"/>
        <v>17.28</v>
      </c>
      <c r="S248" s="179"/>
      <c r="T248" s="183"/>
    </row>
    <row r="249" spans="1:20" x14ac:dyDescent="0.25">
      <c r="A249" s="162" t="str">
        <f t="shared" si="44"/>
        <v>RECC  260*180*6.3</v>
      </c>
      <c r="B249" s="163">
        <f t="shared" si="34"/>
        <v>41.204330110018738</v>
      </c>
      <c r="C249" s="64">
        <v>260</v>
      </c>
      <c r="D249" s="64">
        <v>180</v>
      </c>
      <c r="E249" s="64">
        <v>6.3</v>
      </c>
      <c r="F249" s="64">
        <f t="shared" si="35"/>
        <v>9.4499999999999993</v>
      </c>
      <c r="G249" s="64">
        <f t="shared" si="36"/>
        <v>15.75</v>
      </c>
      <c r="H249" s="163">
        <f t="shared" si="37"/>
        <v>52.489592496839158</v>
      </c>
      <c r="I249" s="64"/>
      <c r="J249" s="163">
        <f t="shared" si="38"/>
        <v>0</v>
      </c>
      <c r="K249" s="64"/>
      <c r="L249" s="164">
        <f t="shared" si="39"/>
        <v>0</v>
      </c>
      <c r="M249" s="165">
        <f t="shared" si="40"/>
        <v>28.791</v>
      </c>
      <c r="N249" s="64"/>
      <c r="O249" s="163">
        <f t="shared" si="41"/>
        <v>0</v>
      </c>
      <c r="P249" s="64"/>
      <c r="Q249" s="163">
        <f t="shared" si="42"/>
        <v>0</v>
      </c>
      <c r="R249" s="188">
        <f t="shared" si="43"/>
        <v>18.710999999999999</v>
      </c>
      <c r="S249" s="64"/>
      <c r="T249" s="64"/>
    </row>
    <row r="250" spans="1:20" x14ac:dyDescent="0.25">
      <c r="A250" s="162" t="str">
        <f t="shared" si="44"/>
        <v>RECC  260*180*8</v>
      </c>
      <c r="B250" s="163">
        <f t="shared" si="34"/>
        <v>51.529344596654056</v>
      </c>
      <c r="C250" s="64">
        <v>260</v>
      </c>
      <c r="D250" s="64">
        <v>180</v>
      </c>
      <c r="E250" s="64">
        <v>8</v>
      </c>
      <c r="F250" s="64">
        <f t="shared" si="35"/>
        <v>12</v>
      </c>
      <c r="G250" s="64">
        <f t="shared" si="36"/>
        <v>20</v>
      </c>
      <c r="H250" s="163">
        <f t="shared" si="37"/>
        <v>65.642477193189876</v>
      </c>
      <c r="I250" s="64"/>
      <c r="J250" s="163">
        <f t="shared" si="38"/>
        <v>0</v>
      </c>
      <c r="K250" s="64"/>
      <c r="L250" s="164">
        <f t="shared" si="39"/>
        <v>0</v>
      </c>
      <c r="M250" s="165">
        <f t="shared" si="40"/>
        <v>35.200000000000003</v>
      </c>
      <c r="N250" s="64"/>
      <c r="O250" s="163">
        <f t="shared" si="41"/>
        <v>0</v>
      </c>
      <c r="P250" s="64"/>
      <c r="Q250" s="163">
        <f t="shared" si="42"/>
        <v>0</v>
      </c>
      <c r="R250" s="188">
        <f t="shared" si="43"/>
        <v>22.400000000000002</v>
      </c>
      <c r="S250" s="64"/>
      <c r="T250" s="64"/>
    </row>
    <row r="251" spans="1:20" x14ac:dyDescent="0.25">
      <c r="A251" s="162" t="str">
        <f t="shared" si="44"/>
        <v>RECC  260*180*10</v>
      </c>
      <c r="B251" s="163">
        <f t="shared" si="34"/>
        <v>63.24460093227195</v>
      </c>
      <c r="C251" s="64">
        <v>260</v>
      </c>
      <c r="D251" s="64">
        <v>180</v>
      </c>
      <c r="E251" s="64">
        <v>10</v>
      </c>
      <c r="F251" s="64">
        <f t="shared" si="35"/>
        <v>15</v>
      </c>
      <c r="G251" s="64">
        <f t="shared" si="36"/>
        <v>25</v>
      </c>
      <c r="H251" s="163">
        <f t="shared" si="37"/>
        <v>80.566370614359172</v>
      </c>
      <c r="I251" s="64"/>
      <c r="J251" s="163">
        <f t="shared" si="38"/>
        <v>0</v>
      </c>
      <c r="K251" s="64"/>
      <c r="L251" s="164">
        <f t="shared" si="39"/>
        <v>0</v>
      </c>
      <c r="M251" s="165">
        <f t="shared" si="40"/>
        <v>42</v>
      </c>
      <c r="N251" s="64"/>
      <c r="O251" s="163">
        <f t="shared" si="41"/>
        <v>0</v>
      </c>
      <c r="P251" s="64"/>
      <c r="Q251" s="163">
        <f t="shared" si="42"/>
        <v>0</v>
      </c>
      <c r="R251" s="188">
        <f t="shared" si="43"/>
        <v>26</v>
      </c>
      <c r="S251" s="64"/>
      <c r="T251" s="64"/>
    </row>
    <row r="252" spans="1:20" x14ac:dyDescent="0.25">
      <c r="A252" s="162" t="str">
        <f t="shared" si="44"/>
        <v>RECC  260*180*12.5</v>
      </c>
      <c r="B252" s="163">
        <f t="shared" si="34"/>
        <v>76.17929869584367</v>
      </c>
      <c r="C252" s="64">
        <v>260</v>
      </c>
      <c r="D252" s="64">
        <v>180</v>
      </c>
      <c r="E252" s="64">
        <v>12.5</v>
      </c>
      <c r="F252" s="64">
        <f t="shared" si="35"/>
        <v>25</v>
      </c>
      <c r="G252" s="64">
        <f t="shared" si="36"/>
        <v>37.5</v>
      </c>
      <c r="H252" s="163">
        <f t="shared" si="37"/>
        <v>97.043692606170268</v>
      </c>
      <c r="I252" s="64"/>
      <c r="J252" s="163">
        <f t="shared" si="38"/>
        <v>0</v>
      </c>
      <c r="K252" s="64"/>
      <c r="L252" s="164">
        <f t="shared" si="39"/>
        <v>0</v>
      </c>
      <c r="M252" s="165">
        <f t="shared" si="40"/>
        <v>46.25</v>
      </c>
      <c r="N252" s="64"/>
      <c r="O252" s="163">
        <f t="shared" si="41"/>
        <v>0</v>
      </c>
      <c r="P252" s="64"/>
      <c r="Q252" s="163">
        <f t="shared" si="42"/>
        <v>0</v>
      </c>
      <c r="R252" s="188">
        <f t="shared" si="43"/>
        <v>26.25</v>
      </c>
      <c r="S252" s="64"/>
      <c r="T252" s="64"/>
    </row>
    <row r="253" spans="1:20" x14ac:dyDescent="0.25">
      <c r="A253" s="162" t="str">
        <f t="shared" si="44"/>
        <v>RECC  260*180*14.2</v>
      </c>
      <c r="B253" s="163">
        <f t="shared" si="34"/>
        <v>84.968350649791446</v>
      </c>
      <c r="C253" s="64">
        <v>260</v>
      </c>
      <c r="D253" s="64">
        <v>180</v>
      </c>
      <c r="E253" s="64">
        <v>14.2</v>
      </c>
      <c r="F253" s="64">
        <f t="shared" si="35"/>
        <v>28.4</v>
      </c>
      <c r="G253" s="64">
        <f t="shared" si="36"/>
        <v>42.599999999999994</v>
      </c>
      <c r="H253" s="163">
        <f t="shared" si="37"/>
        <v>108.23993713349228</v>
      </c>
      <c r="I253" s="64"/>
      <c r="J253" s="163">
        <f t="shared" si="38"/>
        <v>0</v>
      </c>
      <c r="K253" s="64"/>
      <c r="L253" s="164">
        <f t="shared" si="39"/>
        <v>0</v>
      </c>
      <c r="M253" s="165">
        <f t="shared" si="40"/>
        <v>49.6432</v>
      </c>
      <c r="N253" s="64"/>
      <c r="O253" s="163">
        <f t="shared" si="41"/>
        <v>0</v>
      </c>
      <c r="P253" s="64"/>
      <c r="Q253" s="163">
        <f t="shared" si="42"/>
        <v>0</v>
      </c>
      <c r="R253" s="188">
        <f t="shared" si="43"/>
        <v>26.923200000000001</v>
      </c>
      <c r="S253" s="64"/>
      <c r="T253" s="64"/>
    </row>
    <row r="254" spans="1:20" x14ac:dyDescent="0.25">
      <c r="A254" s="162" t="str">
        <f t="shared" si="44"/>
        <v>RECC  260*180*16</v>
      </c>
      <c r="B254" s="163">
        <f t="shared" si="34"/>
        <v>93.864322983270256</v>
      </c>
      <c r="C254" s="64">
        <v>260</v>
      </c>
      <c r="D254" s="64">
        <v>180</v>
      </c>
      <c r="E254" s="64">
        <v>16</v>
      </c>
      <c r="F254" s="64">
        <f t="shared" si="35"/>
        <v>32</v>
      </c>
      <c r="G254" s="64">
        <f t="shared" si="36"/>
        <v>48</v>
      </c>
      <c r="H254" s="163">
        <f t="shared" si="37"/>
        <v>119.57238596594937</v>
      </c>
      <c r="I254" s="64"/>
      <c r="J254" s="163">
        <f t="shared" si="38"/>
        <v>0</v>
      </c>
      <c r="K254" s="64"/>
      <c r="L254" s="164">
        <f t="shared" si="39"/>
        <v>0</v>
      </c>
      <c r="M254" s="165">
        <f t="shared" si="40"/>
        <v>52.480000000000004</v>
      </c>
      <c r="N254" s="64"/>
      <c r="O254" s="163">
        <f t="shared" si="41"/>
        <v>0</v>
      </c>
      <c r="P254" s="64"/>
      <c r="Q254" s="163">
        <f t="shared" si="42"/>
        <v>0</v>
      </c>
      <c r="R254" s="188">
        <f t="shared" si="43"/>
        <v>26.88</v>
      </c>
      <c r="S254" s="64"/>
      <c r="T254" s="64"/>
    </row>
    <row r="255" spans="1:20" x14ac:dyDescent="0.25">
      <c r="A255" s="166" t="str">
        <f t="shared" si="44"/>
        <v>RECC  300*200*6.3</v>
      </c>
      <c r="B255" s="168">
        <f t="shared" si="34"/>
        <v>47.138930110018741</v>
      </c>
      <c r="C255" s="167">
        <v>300</v>
      </c>
      <c r="D255" s="167">
        <v>200</v>
      </c>
      <c r="E255" s="167">
        <v>6.3</v>
      </c>
      <c r="F255" s="167">
        <f t="shared" si="35"/>
        <v>9.4499999999999993</v>
      </c>
      <c r="G255" s="167">
        <f t="shared" si="36"/>
        <v>15.75</v>
      </c>
      <c r="H255" s="168">
        <f t="shared" si="37"/>
        <v>60.049592496839161</v>
      </c>
      <c r="I255" s="167"/>
      <c r="J255" s="168">
        <f t="shared" si="38"/>
        <v>0</v>
      </c>
      <c r="K255" s="167"/>
      <c r="L255" s="169">
        <f t="shared" si="39"/>
        <v>0</v>
      </c>
      <c r="M255" s="170">
        <f t="shared" si="40"/>
        <v>33.831000000000003</v>
      </c>
      <c r="N255" s="167"/>
      <c r="O255" s="168">
        <f t="shared" si="41"/>
        <v>0</v>
      </c>
      <c r="P255" s="167"/>
      <c r="Q255" s="168">
        <f t="shared" si="42"/>
        <v>0</v>
      </c>
      <c r="R255" s="189">
        <f t="shared" si="43"/>
        <v>21.230999999999998</v>
      </c>
      <c r="S255" s="167"/>
      <c r="T255" s="171"/>
    </row>
    <row r="256" spans="1:20" x14ac:dyDescent="0.25">
      <c r="A256" s="172" t="str">
        <f t="shared" si="44"/>
        <v>RECC  300*200*8</v>
      </c>
      <c r="B256" s="174">
        <f t="shared" si="34"/>
        <v>59.06534459665405</v>
      </c>
      <c r="C256" s="173">
        <v>300</v>
      </c>
      <c r="D256" s="173">
        <v>200</v>
      </c>
      <c r="E256" s="173">
        <v>8</v>
      </c>
      <c r="F256" s="173">
        <f t="shared" si="35"/>
        <v>12</v>
      </c>
      <c r="G256" s="173">
        <f t="shared" si="36"/>
        <v>20</v>
      </c>
      <c r="H256" s="174">
        <f t="shared" si="37"/>
        <v>75.24247719318987</v>
      </c>
      <c r="I256" s="173"/>
      <c r="J256" s="174">
        <f t="shared" si="38"/>
        <v>0</v>
      </c>
      <c r="K256" s="173"/>
      <c r="L256" s="175">
        <f t="shared" si="39"/>
        <v>0</v>
      </c>
      <c r="M256" s="176">
        <f t="shared" si="40"/>
        <v>41.6</v>
      </c>
      <c r="N256" s="173"/>
      <c r="O256" s="174">
        <f t="shared" si="41"/>
        <v>0</v>
      </c>
      <c r="P256" s="173"/>
      <c r="Q256" s="174">
        <f t="shared" si="42"/>
        <v>0</v>
      </c>
      <c r="R256" s="190">
        <f t="shared" si="43"/>
        <v>25.6</v>
      </c>
      <c r="S256" s="173"/>
      <c r="T256" s="177"/>
    </row>
    <row r="257" spans="1:20" x14ac:dyDescent="0.25">
      <c r="A257" s="172" t="str">
        <f t="shared" si="44"/>
        <v>RECC  300*200*10</v>
      </c>
      <c r="B257" s="174">
        <f t="shared" si="34"/>
        <v>72.664600932271952</v>
      </c>
      <c r="C257" s="173">
        <v>300</v>
      </c>
      <c r="D257" s="173">
        <v>200</v>
      </c>
      <c r="E257" s="173">
        <v>10</v>
      </c>
      <c r="F257" s="173">
        <f t="shared" si="35"/>
        <v>15</v>
      </c>
      <c r="G257" s="173">
        <f t="shared" si="36"/>
        <v>25</v>
      </c>
      <c r="H257" s="174">
        <f t="shared" si="37"/>
        <v>92.566370614359172</v>
      </c>
      <c r="I257" s="173"/>
      <c r="J257" s="174">
        <f t="shared" si="38"/>
        <v>0</v>
      </c>
      <c r="K257" s="173"/>
      <c r="L257" s="175">
        <f t="shared" si="39"/>
        <v>0</v>
      </c>
      <c r="M257" s="176">
        <f t="shared" si="40"/>
        <v>50</v>
      </c>
      <c r="N257" s="173"/>
      <c r="O257" s="174">
        <f t="shared" si="41"/>
        <v>0</v>
      </c>
      <c r="P257" s="173"/>
      <c r="Q257" s="174">
        <f t="shared" si="42"/>
        <v>0</v>
      </c>
      <c r="R257" s="190">
        <f t="shared" si="43"/>
        <v>30</v>
      </c>
      <c r="S257" s="173"/>
      <c r="T257" s="177"/>
    </row>
    <row r="258" spans="1:20" x14ac:dyDescent="0.25">
      <c r="A258" s="172" t="str">
        <f t="shared" si="44"/>
        <v>RECC  300*200*12.5</v>
      </c>
      <c r="B258" s="174">
        <f t="shared" si="34"/>
        <v>87.954298695843661</v>
      </c>
      <c r="C258" s="173">
        <v>300</v>
      </c>
      <c r="D258" s="173">
        <v>200</v>
      </c>
      <c r="E258" s="173">
        <v>12.5</v>
      </c>
      <c r="F258" s="173">
        <f t="shared" si="35"/>
        <v>25</v>
      </c>
      <c r="G258" s="173">
        <f t="shared" si="36"/>
        <v>37.5</v>
      </c>
      <c r="H258" s="174">
        <f t="shared" si="37"/>
        <v>112.04369260617027</v>
      </c>
      <c r="I258" s="173"/>
      <c r="J258" s="174">
        <f t="shared" si="38"/>
        <v>0</v>
      </c>
      <c r="K258" s="173"/>
      <c r="L258" s="175">
        <f t="shared" si="39"/>
        <v>0</v>
      </c>
      <c r="M258" s="176">
        <f t="shared" si="40"/>
        <v>56.25</v>
      </c>
      <c r="N258" s="173"/>
      <c r="O258" s="174">
        <f t="shared" si="41"/>
        <v>0</v>
      </c>
      <c r="P258" s="173"/>
      <c r="Q258" s="174">
        <f t="shared" si="42"/>
        <v>0</v>
      </c>
      <c r="R258" s="190">
        <f t="shared" si="43"/>
        <v>31.25</v>
      </c>
      <c r="S258" s="173"/>
      <c r="T258" s="177"/>
    </row>
    <row r="259" spans="1:20" x14ac:dyDescent="0.25">
      <c r="A259" s="172" t="str">
        <f t="shared" si="44"/>
        <v>RECC  300*200*14.2</v>
      </c>
      <c r="B259" s="174">
        <f t="shared" si="34"/>
        <v>98.34475064979145</v>
      </c>
      <c r="C259" s="173">
        <v>300</v>
      </c>
      <c r="D259" s="173">
        <v>200</v>
      </c>
      <c r="E259" s="173">
        <v>14.2</v>
      </c>
      <c r="F259" s="173">
        <f t="shared" si="35"/>
        <v>28.4</v>
      </c>
      <c r="G259" s="173">
        <f t="shared" si="36"/>
        <v>42.599999999999994</v>
      </c>
      <c r="H259" s="174">
        <f t="shared" si="37"/>
        <v>125.27993713349228</v>
      </c>
      <c r="I259" s="173"/>
      <c r="J259" s="174">
        <f t="shared" si="38"/>
        <v>0</v>
      </c>
      <c r="K259" s="173"/>
      <c r="L259" s="175">
        <f t="shared" si="39"/>
        <v>0</v>
      </c>
      <c r="M259" s="176">
        <f t="shared" si="40"/>
        <v>61.0032</v>
      </c>
      <c r="N259" s="173"/>
      <c r="O259" s="174">
        <f t="shared" si="41"/>
        <v>0</v>
      </c>
      <c r="P259" s="173"/>
      <c r="Q259" s="174">
        <f t="shared" si="42"/>
        <v>0</v>
      </c>
      <c r="R259" s="190">
        <f t="shared" si="43"/>
        <v>32.603200000000001</v>
      </c>
      <c r="S259" s="173"/>
      <c r="T259" s="177"/>
    </row>
    <row r="260" spans="1:20" x14ac:dyDescent="0.25">
      <c r="A260" s="178" t="str">
        <f t="shared" si="44"/>
        <v>RECC  300*200*16</v>
      </c>
      <c r="B260" s="180">
        <f t="shared" si="34"/>
        <v>108.93632298327024</v>
      </c>
      <c r="C260" s="179">
        <v>300</v>
      </c>
      <c r="D260" s="179">
        <v>200</v>
      </c>
      <c r="E260" s="179">
        <v>16</v>
      </c>
      <c r="F260" s="179">
        <f t="shared" si="35"/>
        <v>32</v>
      </c>
      <c r="G260" s="179">
        <f t="shared" si="36"/>
        <v>48</v>
      </c>
      <c r="H260" s="180">
        <f t="shared" si="37"/>
        <v>138.77238596594935</v>
      </c>
      <c r="I260" s="179"/>
      <c r="J260" s="180">
        <f t="shared" si="38"/>
        <v>0</v>
      </c>
      <c r="K260" s="179"/>
      <c r="L260" s="181">
        <f t="shared" si="39"/>
        <v>0</v>
      </c>
      <c r="M260" s="182">
        <f t="shared" si="40"/>
        <v>65.28</v>
      </c>
      <c r="N260" s="179"/>
      <c r="O260" s="180">
        <f t="shared" si="41"/>
        <v>0</v>
      </c>
      <c r="P260" s="179"/>
      <c r="Q260" s="180">
        <f t="shared" si="42"/>
        <v>0</v>
      </c>
      <c r="R260" s="191">
        <f t="shared" si="43"/>
        <v>33.28</v>
      </c>
      <c r="S260" s="179"/>
      <c r="T260" s="183"/>
    </row>
    <row r="261" spans="1:20" x14ac:dyDescent="0.25">
      <c r="A261" s="162" t="str">
        <f t="shared" si="44"/>
        <v>RECC  350*250*6.3</v>
      </c>
      <c r="B261" s="163">
        <f t="shared" ref="B261:B281" si="45">H261*0.785</f>
        <v>57.029930110018746</v>
      </c>
      <c r="C261" s="64">
        <v>350</v>
      </c>
      <c r="D261" s="64">
        <v>250</v>
      </c>
      <c r="E261" s="64">
        <v>6.3</v>
      </c>
      <c r="F261" s="64">
        <f t="shared" ref="F261:F281" si="46">IF(E261&lt;=6,1*E261,IF(E261&lt;=10,1.5*E261,2*E261))</f>
        <v>9.4499999999999993</v>
      </c>
      <c r="G261" s="64">
        <f t="shared" ref="G261:G281" si="47">IF(E261&lt;=6,2*E261,IF(E261&lt;=10,2.5*E261,3*E261))</f>
        <v>15.75</v>
      </c>
      <c r="H261" s="163">
        <f t="shared" ref="H261:H281" si="48">(2*(C261-2*G261)*E261+2*(D261-2*G261)*E261+PI()*(G261^2-F261^2))*0.01</f>
        <v>72.649592496839162</v>
      </c>
      <c r="I261" s="64"/>
      <c r="J261" s="163">
        <f t="shared" ref="J261:J281" si="49">I261/(0.5*C261*0.1)</f>
        <v>0</v>
      </c>
      <c r="K261" s="64"/>
      <c r="L261" s="164">
        <f t="shared" ref="L261:L281" si="50">SQRT(I261/H261)</f>
        <v>0</v>
      </c>
      <c r="M261" s="165">
        <f t="shared" ref="M261:M281" si="51">2*(C261-2*G261)*E261*0.01</f>
        <v>40.131</v>
      </c>
      <c r="N261" s="64"/>
      <c r="O261" s="163">
        <f t="shared" ref="O261:O281" si="52">N261/(0.5*D261*0.1)</f>
        <v>0</v>
      </c>
      <c r="P261" s="64"/>
      <c r="Q261" s="163">
        <f t="shared" ref="Q261:Q281" si="53">SQRT(N261/H261)</f>
        <v>0</v>
      </c>
      <c r="R261" s="188">
        <f t="shared" ref="R261:R281" si="54">2*(D261-2*G261)*E261*0.01</f>
        <v>27.530999999999999</v>
      </c>
      <c r="S261" s="64"/>
      <c r="T261" s="64"/>
    </row>
    <row r="262" spans="1:20" x14ac:dyDescent="0.25">
      <c r="A262" s="162" t="str">
        <f t="shared" si="44"/>
        <v>RECC  350*250*8</v>
      </c>
      <c r="B262" s="163">
        <f t="shared" si="45"/>
        <v>71.62534459665406</v>
      </c>
      <c r="C262" s="64">
        <v>350</v>
      </c>
      <c r="D262" s="64">
        <v>250</v>
      </c>
      <c r="E262" s="64">
        <v>8</v>
      </c>
      <c r="F262" s="64">
        <f t="shared" si="46"/>
        <v>12</v>
      </c>
      <c r="G262" s="64">
        <f t="shared" si="47"/>
        <v>20</v>
      </c>
      <c r="H262" s="163">
        <f t="shared" si="48"/>
        <v>91.242477193189885</v>
      </c>
      <c r="I262" s="64"/>
      <c r="J262" s="163">
        <f t="shared" si="49"/>
        <v>0</v>
      </c>
      <c r="K262" s="64"/>
      <c r="L262" s="164">
        <f t="shared" si="50"/>
        <v>0</v>
      </c>
      <c r="M262" s="165">
        <f t="shared" si="51"/>
        <v>49.6</v>
      </c>
      <c r="N262" s="64"/>
      <c r="O262" s="163">
        <f t="shared" si="52"/>
        <v>0</v>
      </c>
      <c r="P262" s="64"/>
      <c r="Q262" s="163">
        <f t="shared" si="53"/>
        <v>0</v>
      </c>
      <c r="R262" s="188">
        <f t="shared" si="54"/>
        <v>33.6</v>
      </c>
      <c r="S262" s="64"/>
      <c r="T262" s="64"/>
    </row>
    <row r="263" spans="1:20" x14ac:dyDescent="0.25">
      <c r="A263" s="162" t="str">
        <f t="shared" si="44"/>
        <v>RECC  350*250*10</v>
      </c>
      <c r="B263" s="163">
        <f t="shared" si="45"/>
        <v>88.364600932271955</v>
      </c>
      <c r="C263" s="64">
        <v>350</v>
      </c>
      <c r="D263" s="64">
        <v>250</v>
      </c>
      <c r="E263" s="64">
        <v>10</v>
      </c>
      <c r="F263" s="64">
        <f t="shared" si="46"/>
        <v>15</v>
      </c>
      <c r="G263" s="64">
        <f t="shared" si="47"/>
        <v>25</v>
      </c>
      <c r="H263" s="163">
        <f t="shared" si="48"/>
        <v>112.56637061435917</v>
      </c>
      <c r="I263" s="64"/>
      <c r="J263" s="163">
        <f t="shared" si="49"/>
        <v>0</v>
      </c>
      <c r="K263" s="64"/>
      <c r="L263" s="164">
        <f t="shared" si="50"/>
        <v>0</v>
      </c>
      <c r="M263" s="165">
        <f t="shared" si="51"/>
        <v>60</v>
      </c>
      <c r="N263" s="64"/>
      <c r="O263" s="163">
        <f t="shared" si="52"/>
        <v>0</v>
      </c>
      <c r="P263" s="64"/>
      <c r="Q263" s="163">
        <f t="shared" si="53"/>
        <v>0</v>
      </c>
      <c r="R263" s="188">
        <f t="shared" si="54"/>
        <v>40</v>
      </c>
      <c r="S263" s="64"/>
      <c r="T263" s="64"/>
    </row>
    <row r="264" spans="1:20" x14ac:dyDescent="0.25">
      <c r="A264" s="162" t="str">
        <f t="shared" si="44"/>
        <v>RECC  350*250*12.5</v>
      </c>
      <c r="B264" s="163">
        <f t="shared" si="45"/>
        <v>107.57929869584365</v>
      </c>
      <c r="C264" s="64">
        <v>350</v>
      </c>
      <c r="D264" s="64">
        <v>250</v>
      </c>
      <c r="E264" s="64">
        <v>12.5</v>
      </c>
      <c r="F264" s="64">
        <f t="shared" si="46"/>
        <v>25</v>
      </c>
      <c r="G264" s="64">
        <f t="shared" si="47"/>
        <v>37.5</v>
      </c>
      <c r="H264" s="163">
        <f t="shared" si="48"/>
        <v>137.04369260617025</v>
      </c>
      <c r="I264" s="64"/>
      <c r="J264" s="163">
        <f t="shared" si="49"/>
        <v>0</v>
      </c>
      <c r="K264" s="64"/>
      <c r="L264" s="164">
        <f t="shared" si="50"/>
        <v>0</v>
      </c>
      <c r="M264" s="165">
        <f t="shared" si="51"/>
        <v>68.75</v>
      </c>
      <c r="N264" s="64"/>
      <c r="O264" s="163">
        <f t="shared" si="52"/>
        <v>0</v>
      </c>
      <c r="P264" s="64"/>
      <c r="Q264" s="163">
        <f t="shared" si="53"/>
        <v>0</v>
      </c>
      <c r="R264" s="188">
        <f t="shared" si="54"/>
        <v>43.75</v>
      </c>
      <c r="S264" s="64"/>
      <c r="T264" s="64"/>
    </row>
    <row r="265" spans="1:20" x14ac:dyDescent="0.25">
      <c r="A265" s="162" t="str">
        <f t="shared" si="44"/>
        <v>RECC  350*250*14.2</v>
      </c>
      <c r="B265" s="163">
        <f t="shared" si="45"/>
        <v>120.63875064979143</v>
      </c>
      <c r="C265" s="64">
        <v>350</v>
      </c>
      <c r="D265" s="64">
        <v>250</v>
      </c>
      <c r="E265" s="64">
        <v>14.2</v>
      </c>
      <c r="F265" s="64">
        <f t="shared" si="46"/>
        <v>28.4</v>
      </c>
      <c r="G265" s="64">
        <f t="shared" si="47"/>
        <v>42.599999999999994</v>
      </c>
      <c r="H265" s="163">
        <f t="shared" si="48"/>
        <v>153.67993713349227</v>
      </c>
      <c r="I265" s="64"/>
      <c r="J265" s="163">
        <f t="shared" si="49"/>
        <v>0</v>
      </c>
      <c r="K265" s="64"/>
      <c r="L265" s="164">
        <f t="shared" si="50"/>
        <v>0</v>
      </c>
      <c r="M265" s="165">
        <f t="shared" si="51"/>
        <v>75.203199999999995</v>
      </c>
      <c r="N265" s="64"/>
      <c r="O265" s="163">
        <f t="shared" si="52"/>
        <v>0</v>
      </c>
      <c r="P265" s="64"/>
      <c r="Q265" s="163">
        <f t="shared" si="53"/>
        <v>0</v>
      </c>
      <c r="R265" s="188">
        <f t="shared" si="54"/>
        <v>46.803199999999997</v>
      </c>
      <c r="S265" s="64"/>
      <c r="T265" s="64"/>
    </row>
    <row r="266" spans="1:20" x14ac:dyDescent="0.25">
      <c r="A266" s="162" t="str">
        <f t="shared" si="44"/>
        <v>RECC  350*250*16</v>
      </c>
      <c r="B266" s="163">
        <f t="shared" si="45"/>
        <v>134.05632298327023</v>
      </c>
      <c r="C266" s="64">
        <v>350</v>
      </c>
      <c r="D266" s="64">
        <v>250</v>
      </c>
      <c r="E266" s="64">
        <v>16</v>
      </c>
      <c r="F266" s="64">
        <f t="shared" si="46"/>
        <v>32</v>
      </c>
      <c r="G266" s="64">
        <f t="shared" si="47"/>
        <v>48</v>
      </c>
      <c r="H266" s="163">
        <f t="shared" si="48"/>
        <v>170.77238596594935</v>
      </c>
      <c r="I266" s="64"/>
      <c r="J266" s="163">
        <f t="shared" si="49"/>
        <v>0</v>
      </c>
      <c r="K266" s="64"/>
      <c r="L266" s="164">
        <f t="shared" si="50"/>
        <v>0</v>
      </c>
      <c r="M266" s="165">
        <f t="shared" si="51"/>
        <v>81.28</v>
      </c>
      <c r="N266" s="64"/>
      <c r="O266" s="163">
        <f t="shared" si="52"/>
        <v>0</v>
      </c>
      <c r="P266" s="64"/>
      <c r="Q266" s="163">
        <f t="shared" si="53"/>
        <v>0</v>
      </c>
      <c r="R266" s="188">
        <f t="shared" si="54"/>
        <v>49.28</v>
      </c>
      <c r="S266" s="64"/>
      <c r="T266" s="64"/>
    </row>
    <row r="267" spans="1:20" x14ac:dyDescent="0.25">
      <c r="A267" s="166" t="str">
        <f t="shared" si="44"/>
        <v>RECC  400*200*8</v>
      </c>
      <c r="B267" s="168">
        <f t="shared" si="45"/>
        <v>71.62534459665406</v>
      </c>
      <c r="C267" s="167">
        <v>400</v>
      </c>
      <c r="D267" s="167">
        <v>200</v>
      </c>
      <c r="E267" s="167">
        <v>8</v>
      </c>
      <c r="F267" s="167">
        <f t="shared" si="46"/>
        <v>12</v>
      </c>
      <c r="G267" s="167">
        <f t="shared" si="47"/>
        <v>20</v>
      </c>
      <c r="H267" s="168">
        <f t="shared" si="48"/>
        <v>91.242477193189885</v>
      </c>
      <c r="I267" s="167"/>
      <c r="J267" s="168">
        <f t="shared" si="49"/>
        <v>0</v>
      </c>
      <c r="K267" s="167"/>
      <c r="L267" s="169">
        <f t="shared" si="50"/>
        <v>0</v>
      </c>
      <c r="M267" s="170">
        <f t="shared" si="51"/>
        <v>57.6</v>
      </c>
      <c r="N267" s="167"/>
      <c r="O267" s="168">
        <f t="shared" si="52"/>
        <v>0</v>
      </c>
      <c r="P267" s="167"/>
      <c r="Q267" s="168">
        <f t="shared" si="53"/>
        <v>0</v>
      </c>
      <c r="R267" s="189">
        <f t="shared" si="54"/>
        <v>25.6</v>
      </c>
      <c r="S267" s="167"/>
      <c r="T267" s="171"/>
    </row>
    <row r="268" spans="1:20" x14ac:dyDescent="0.25">
      <c r="A268" s="172" t="str">
        <f t="shared" si="44"/>
        <v>RECC  400*200*10</v>
      </c>
      <c r="B268" s="174">
        <f t="shared" si="45"/>
        <v>88.364600932271955</v>
      </c>
      <c r="C268" s="173">
        <v>400</v>
      </c>
      <c r="D268" s="173">
        <v>200</v>
      </c>
      <c r="E268" s="173">
        <v>10</v>
      </c>
      <c r="F268" s="173">
        <f t="shared" si="46"/>
        <v>15</v>
      </c>
      <c r="G268" s="173">
        <f t="shared" si="47"/>
        <v>25</v>
      </c>
      <c r="H268" s="174">
        <f t="shared" si="48"/>
        <v>112.56637061435917</v>
      </c>
      <c r="I268" s="173"/>
      <c r="J268" s="174">
        <f t="shared" si="49"/>
        <v>0</v>
      </c>
      <c r="K268" s="173"/>
      <c r="L268" s="175">
        <f t="shared" si="50"/>
        <v>0</v>
      </c>
      <c r="M268" s="176">
        <f t="shared" si="51"/>
        <v>70</v>
      </c>
      <c r="N268" s="173"/>
      <c r="O268" s="174">
        <f t="shared" si="52"/>
        <v>0</v>
      </c>
      <c r="P268" s="173"/>
      <c r="Q268" s="174">
        <f t="shared" si="53"/>
        <v>0</v>
      </c>
      <c r="R268" s="190">
        <f t="shared" si="54"/>
        <v>30</v>
      </c>
      <c r="S268" s="173"/>
      <c r="T268" s="177"/>
    </row>
    <row r="269" spans="1:20" x14ac:dyDescent="0.25">
      <c r="A269" s="172" t="str">
        <f t="shared" si="44"/>
        <v>RECC  400*200*12.5</v>
      </c>
      <c r="B269" s="174">
        <f t="shared" si="45"/>
        <v>107.57929869584365</v>
      </c>
      <c r="C269" s="173">
        <v>400</v>
      </c>
      <c r="D269" s="173">
        <v>200</v>
      </c>
      <c r="E269" s="173">
        <v>12.5</v>
      </c>
      <c r="F269" s="173">
        <f t="shared" si="46"/>
        <v>25</v>
      </c>
      <c r="G269" s="173">
        <f t="shared" si="47"/>
        <v>37.5</v>
      </c>
      <c r="H269" s="174">
        <f t="shared" si="48"/>
        <v>137.04369260617025</v>
      </c>
      <c r="I269" s="173"/>
      <c r="J269" s="174">
        <f t="shared" si="49"/>
        <v>0</v>
      </c>
      <c r="K269" s="173"/>
      <c r="L269" s="175">
        <f t="shared" si="50"/>
        <v>0</v>
      </c>
      <c r="M269" s="176">
        <f t="shared" si="51"/>
        <v>81.25</v>
      </c>
      <c r="N269" s="173"/>
      <c r="O269" s="174">
        <f t="shared" si="52"/>
        <v>0</v>
      </c>
      <c r="P269" s="173"/>
      <c r="Q269" s="174">
        <f t="shared" si="53"/>
        <v>0</v>
      </c>
      <c r="R269" s="190">
        <f t="shared" si="54"/>
        <v>31.25</v>
      </c>
      <c r="S269" s="173"/>
      <c r="T269" s="177"/>
    </row>
    <row r="270" spans="1:20" x14ac:dyDescent="0.25">
      <c r="A270" s="172" t="str">
        <f t="shared" si="44"/>
        <v>RECC  400*200*14.2</v>
      </c>
      <c r="B270" s="174">
        <f t="shared" si="45"/>
        <v>120.63875064979143</v>
      </c>
      <c r="C270" s="173">
        <v>400</v>
      </c>
      <c r="D270" s="173">
        <v>200</v>
      </c>
      <c r="E270" s="173">
        <v>14.2</v>
      </c>
      <c r="F270" s="173">
        <f t="shared" si="46"/>
        <v>28.4</v>
      </c>
      <c r="G270" s="173">
        <f t="shared" si="47"/>
        <v>42.599999999999994</v>
      </c>
      <c r="H270" s="174">
        <f t="shared" si="48"/>
        <v>153.67993713349227</v>
      </c>
      <c r="I270" s="173"/>
      <c r="J270" s="174">
        <f t="shared" si="49"/>
        <v>0</v>
      </c>
      <c r="K270" s="173"/>
      <c r="L270" s="175">
        <f t="shared" si="50"/>
        <v>0</v>
      </c>
      <c r="M270" s="176">
        <f t="shared" si="51"/>
        <v>89.403199999999998</v>
      </c>
      <c r="N270" s="173"/>
      <c r="O270" s="174">
        <f t="shared" si="52"/>
        <v>0</v>
      </c>
      <c r="P270" s="173"/>
      <c r="Q270" s="174">
        <f t="shared" si="53"/>
        <v>0</v>
      </c>
      <c r="R270" s="190">
        <f t="shared" si="54"/>
        <v>32.603200000000001</v>
      </c>
      <c r="S270" s="173"/>
      <c r="T270" s="177"/>
    </row>
    <row r="271" spans="1:20" x14ac:dyDescent="0.25">
      <c r="A271" s="178" t="str">
        <f t="shared" si="44"/>
        <v>RECC  400*200*16</v>
      </c>
      <c r="B271" s="180">
        <f t="shared" si="45"/>
        <v>134.05632298327023</v>
      </c>
      <c r="C271" s="179">
        <v>400</v>
      </c>
      <c r="D271" s="179">
        <v>200</v>
      </c>
      <c r="E271" s="179">
        <v>16</v>
      </c>
      <c r="F271" s="179">
        <f t="shared" si="46"/>
        <v>32</v>
      </c>
      <c r="G271" s="179">
        <f t="shared" si="47"/>
        <v>48</v>
      </c>
      <c r="H271" s="180">
        <f t="shared" si="48"/>
        <v>170.77238596594935</v>
      </c>
      <c r="I271" s="179"/>
      <c r="J271" s="180">
        <f t="shared" si="49"/>
        <v>0</v>
      </c>
      <c r="K271" s="179"/>
      <c r="L271" s="181">
        <f t="shared" si="50"/>
        <v>0</v>
      </c>
      <c r="M271" s="182">
        <f t="shared" si="51"/>
        <v>97.28</v>
      </c>
      <c r="N271" s="179"/>
      <c r="O271" s="180">
        <f t="shared" si="52"/>
        <v>0</v>
      </c>
      <c r="P271" s="179"/>
      <c r="Q271" s="180">
        <f t="shared" si="53"/>
        <v>0</v>
      </c>
      <c r="R271" s="191">
        <f t="shared" si="54"/>
        <v>33.28</v>
      </c>
      <c r="S271" s="179"/>
      <c r="T271" s="183"/>
    </row>
    <row r="272" spans="1:20" x14ac:dyDescent="0.25">
      <c r="A272" s="162" t="str">
        <f t="shared" si="44"/>
        <v>RECC  450*250*8</v>
      </c>
      <c r="B272" s="163">
        <f t="shared" si="45"/>
        <v>84.185344596654062</v>
      </c>
      <c r="C272" s="64">
        <v>450</v>
      </c>
      <c r="D272" s="64">
        <v>250</v>
      </c>
      <c r="E272" s="64">
        <v>8</v>
      </c>
      <c r="F272" s="64">
        <f t="shared" si="46"/>
        <v>12</v>
      </c>
      <c r="G272" s="64">
        <f t="shared" si="47"/>
        <v>20</v>
      </c>
      <c r="H272" s="163">
        <f t="shared" si="48"/>
        <v>107.24247719318988</v>
      </c>
      <c r="I272" s="64"/>
      <c r="J272" s="163">
        <f t="shared" si="49"/>
        <v>0</v>
      </c>
      <c r="K272" s="64"/>
      <c r="L272" s="164">
        <f t="shared" si="50"/>
        <v>0</v>
      </c>
      <c r="M272" s="165">
        <f t="shared" si="51"/>
        <v>65.599999999999994</v>
      </c>
      <c r="N272" s="64"/>
      <c r="O272" s="163">
        <f t="shared" si="52"/>
        <v>0</v>
      </c>
      <c r="P272" s="64"/>
      <c r="Q272" s="163">
        <f t="shared" si="53"/>
        <v>0</v>
      </c>
      <c r="R272" s="188">
        <f t="shared" si="54"/>
        <v>33.6</v>
      </c>
      <c r="S272" s="64"/>
      <c r="T272" s="64"/>
    </row>
    <row r="273" spans="1:20" x14ac:dyDescent="0.25">
      <c r="A273" s="162" t="str">
        <f t="shared" si="44"/>
        <v>RECC  450*250*10</v>
      </c>
      <c r="B273" s="163">
        <f t="shared" si="45"/>
        <v>104.06460093227194</v>
      </c>
      <c r="C273" s="64">
        <v>450</v>
      </c>
      <c r="D273" s="64">
        <v>250</v>
      </c>
      <c r="E273" s="64">
        <v>10</v>
      </c>
      <c r="F273" s="64">
        <f t="shared" si="46"/>
        <v>15</v>
      </c>
      <c r="G273" s="64">
        <f t="shared" si="47"/>
        <v>25</v>
      </c>
      <c r="H273" s="163">
        <f t="shared" si="48"/>
        <v>132.56637061435916</v>
      </c>
      <c r="I273" s="64"/>
      <c r="J273" s="163">
        <f t="shared" si="49"/>
        <v>0</v>
      </c>
      <c r="K273" s="64"/>
      <c r="L273" s="164">
        <f t="shared" si="50"/>
        <v>0</v>
      </c>
      <c r="M273" s="165">
        <f t="shared" si="51"/>
        <v>80</v>
      </c>
      <c r="N273" s="64"/>
      <c r="O273" s="163">
        <f t="shared" si="52"/>
        <v>0</v>
      </c>
      <c r="P273" s="64"/>
      <c r="Q273" s="163">
        <f t="shared" si="53"/>
        <v>0</v>
      </c>
      <c r="R273" s="188">
        <f t="shared" si="54"/>
        <v>40</v>
      </c>
      <c r="S273" s="64"/>
      <c r="T273" s="64"/>
    </row>
    <row r="274" spans="1:20" x14ac:dyDescent="0.25">
      <c r="A274" s="162" t="str">
        <f t="shared" si="44"/>
        <v>RECC  450*250*12.5</v>
      </c>
      <c r="B274" s="163">
        <f t="shared" si="45"/>
        <v>127.20429869584365</v>
      </c>
      <c r="C274" s="64">
        <v>450</v>
      </c>
      <c r="D274" s="64">
        <v>250</v>
      </c>
      <c r="E274" s="64">
        <v>12.5</v>
      </c>
      <c r="F274" s="64">
        <f t="shared" si="46"/>
        <v>25</v>
      </c>
      <c r="G274" s="64">
        <f t="shared" si="47"/>
        <v>37.5</v>
      </c>
      <c r="H274" s="163">
        <f t="shared" si="48"/>
        <v>162.04369260617025</v>
      </c>
      <c r="I274" s="64"/>
      <c r="J274" s="163">
        <f t="shared" si="49"/>
        <v>0</v>
      </c>
      <c r="K274" s="64"/>
      <c r="L274" s="164">
        <f t="shared" si="50"/>
        <v>0</v>
      </c>
      <c r="M274" s="165">
        <f t="shared" si="51"/>
        <v>93.75</v>
      </c>
      <c r="N274" s="64"/>
      <c r="O274" s="163">
        <f t="shared" si="52"/>
        <v>0</v>
      </c>
      <c r="P274" s="64"/>
      <c r="Q274" s="163">
        <f t="shared" si="53"/>
        <v>0</v>
      </c>
      <c r="R274" s="188">
        <f t="shared" si="54"/>
        <v>43.75</v>
      </c>
      <c r="S274" s="64"/>
      <c r="T274" s="64"/>
    </row>
    <row r="275" spans="1:20" x14ac:dyDescent="0.25">
      <c r="A275" s="162" t="str">
        <f t="shared" si="44"/>
        <v>RECC  450*250*14.2</v>
      </c>
      <c r="B275" s="163">
        <f t="shared" si="45"/>
        <v>142.93275064979144</v>
      </c>
      <c r="C275" s="64">
        <v>450</v>
      </c>
      <c r="D275" s="64">
        <v>250</v>
      </c>
      <c r="E275" s="64">
        <v>14.2</v>
      </c>
      <c r="F275" s="64">
        <f t="shared" si="46"/>
        <v>28.4</v>
      </c>
      <c r="G275" s="64">
        <f t="shared" si="47"/>
        <v>42.599999999999994</v>
      </c>
      <c r="H275" s="163">
        <f t="shared" si="48"/>
        <v>182.07993713349228</v>
      </c>
      <c r="I275" s="64"/>
      <c r="J275" s="163">
        <f t="shared" si="49"/>
        <v>0</v>
      </c>
      <c r="K275" s="64"/>
      <c r="L275" s="164">
        <f t="shared" si="50"/>
        <v>0</v>
      </c>
      <c r="M275" s="165">
        <f t="shared" si="51"/>
        <v>103.6032</v>
      </c>
      <c r="N275" s="64"/>
      <c r="O275" s="163">
        <f t="shared" si="52"/>
        <v>0</v>
      </c>
      <c r="P275" s="64"/>
      <c r="Q275" s="163">
        <f t="shared" si="53"/>
        <v>0</v>
      </c>
      <c r="R275" s="188">
        <f t="shared" si="54"/>
        <v>46.803199999999997</v>
      </c>
      <c r="S275" s="64"/>
      <c r="T275" s="64"/>
    </row>
    <row r="276" spans="1:20" x14ac:dyDescent="0.25">
      <c r="A276" s="162" t="str">
        <f t="shared" si="44"/>
        <v>RECC  450*250*16</v>
      </c>
      <c r="B276" s="163">
        <f t="shared" si="45"/>
        <v>159.17632298327024</v>
      </c>
      <c r="C276" s="64">
        <v>450</v>
      </c>
      <c r="D276" s="64">
        <v>250</v>
      </c>
      <c r="E276" s="64">
        <v>16</v>
      </c>
      <c r="F276" s="64">
        <f t="shared" si="46"/>
        <v>32</v>
      </c>
      <c r="G276" s="64">
        <f t="shared" si="47"/>
        <v>48</v>
      </c>
      <c r="H276" s="163">
        <f t="shared" si="48"/>
        <v>202.77238596594935</v>
      </c>
      <c r="I276" s="64"/>
      <c r="J276" s="163">
        <f t="shared" si="49"/>
        <v>0</v>
      </c>
      <c r="K276" s="64"/>
      <c r="L276" s="164">
        <f t="shared" si="50"/>
        <v>0</v>
      </c>
      <c r="M276" s="165">
        <f t="shared" si="51"/>
        <v>113.28</v>
      </c>
      <c r="N276" s="64"/>
      <c r="O276" s="163">
        <f t="shared" si="52"/>
        <v>0</v>
      </c>
      <c r="P276" s="64"/>
      <c r="Q276" s="163">
        <f t="shared" si="53"/>
        <v>0</v>
      </c>
      <c r="R276" s="188">
        <f t="shared" si="54"/>
        <v>49.28</v>
      </c>
      <c r="S276" s="64"/>
      <c r="T276" s="64"/>
    </row>
    <row r="277" spans="1:20" x14ac:dyDescent="0.25">
      <c r="A277" s="166" t="str">
        <f t="shared" si="44"/>
        <v>RECC  500*300*8</v>
      </c>
      <c r="B277" s="168">
        <f t="shared" si="45"/>
        <v>96.745344596654064</v>
      </c>
      <c r="C277" s="167">
        <v>500</v>
      </c>
      <c r="D277" s="167">
        <v>300</v>
      </c>
      <c r="E277" s="167">
        <v>8</v>
      </c>
      <c r="F277" s="167">
        <f t="shared" si="46"/>
        <v>12</v>
      </c>
      <c r="G277" s="167">
        <f t="shared" si="47"/>
        <v>20</v>
      </c>
      <c r="H277" s="168">
        <f t="shared" si="48"/>
        <v>123.24247719318988</v>
      </c>
      <c r="I277" s="167"/>
      <c r="J277" s="168">
        <f t="shared" si="49"/>
        <v>0</v>
      </c>
      <c r="K277" s="167"/>
      <c r="L277" s="169">
        <f t="shared" si="50"/>
        <v>0</v>
      </c>
      <c r="M277" s="170">
        <f t="shared" si="51"/>
        <v>73.600000000000009</v>
      </c>
      <c r="N277" s="167"/>
      <c r="O277" s="168">
        <f t="shared" si="52"/>
        <v>0</v>
      </c>
      <c r="P277" s="167"/>
      <c r="Q277" s="168">
        <f t="shared" si="53"/>
        <v>0</v>
      </c>
      <c r="R277" s="189">
        <f t="shared" si="54"/>
        <v>41.6</v>
      </c>
      <c r="S277" s="167"/>
      <c r="T277" s="171"/>
    </row>
    <row r="278" spans="1:20" x14ac:dyDescent="0.25">
      <c r="A278" s="172" t="str">
        <f t="shared" si="44"/>
        <v>RECC  500*300*10</v>
      </c>
      <c r="B278" s="174">
        <f t="shared" si="45"/>
        <v>119.76460093227195</v>
      </c>
      <c r="C278" s="173">
        <v>500</v>
      </c>
      <c r="D278" s="173">
        <v>300</v>
      </c>
      <c r="E278" s="173">
        <v>10</v>
      </c>
      <c r="F278" s="173">
        <f t="shared" si="46"/>
        <v>15</v>
      </c>
      <c r="G278" s="173">
        <f t="shared" si="47"/>
        <v>25</v>
      </c>
      <c r="H278" s="174">
        <f t="shared" si="48"/>
        <v>152.56637061435916</v>
      </c>
      <c r="I278" s="173"/>
      <c r="J278" s="174">
        <f t="shared" si="49"/>
        <v>0</v>
      </c>
      <c r="K278" s="173"/>
      <c r="L278" s="175">
        <f t="shared" si="50"/>
        <v>0</v>
      </c>
      <c r="M278" s="176">
        <f t="shared" si="51"/>
        <v>90</v>
      </c>
      <c r="N278" s="173"/>
      <c r="O278" s="174">
        <f t="shared" si="52"/>
        <v>0</v>
      </c>
      <c r="P278" s="173"/>
      <c r="Q278" s="174">
        <f t="shared" si="53"/>
        <v>0</v>
      </c>
      <c r="R278" s="190">
        <f t="shared" si="54"/>
        <v>50</v>
      </c>
      <c r="S278" s="173"/>
      <c r="T278" s="177"/>
    </row>
    <row r="279" spans="1:20" x14ac:dyDescent="0.25">
      <c r="A279" s="172" t="str">
        <f t="shared" si="44"/>
        <v>RECC  500*300*12.5</v>
      </c>
      <c r="B279" s="174">
        <f t="shared" si="45"/>
        <v>146.82929869584365</v>
      </c>
      <c r="C279" s="173">
        <v>500</v>
      </c>
      <c r="D279" s="173">
        <v>300</v>
      </c>
      <c r="E279" s="173">
        <v>12.5</v>
      </c>
      <c r="F279" s="173">
        <f t="shared" si="46"/>
        <v>25</v>
      </c>
      <c r="G279" s="173">
        <f t="shared" si="47"/>
        <v>37.5</v>
      </c>
      <c r="H279" s="174">
        <f t="shared" si="48"/>
        <v>187.04369260617025</v>
      </c>
      <c r="I279" s="173"/>
      <c r="J279" s="174">
        <f t="shared" si="49"/>
        <v>0</v>
      </c>
      <c r="K279" s="173"/>
      <c r="L279" s="175">
        <f t="shared" si="50"/>
        <v>0</v>
      </c>
      <c r="M279" s="176">
        <f t="shared" si="51"/>
        <v>106.25</v>
      </c>
      <c r="N279" s="173"/>
      <c r="O279" s="174">
        <f t="shared" si="52"/>
        <v>0</v>
      </c>
      <c r="P279" s="173"/>
      <c r="Q279" s="174">
        <f t="shared" si="53"/>
        <v>0</v>
      </c>
      <c r="R279" s="190">
        <f t="shared" si="54"/>
        <v>56.25</v>
      </c>
      <c r="S279" s="173"/>
      <c r="T279" s="177"/>
    </row>
    <row r="280" spans="1:20" x14ac:dyDescent="0.25">
      <c r="A280" s="172" t="str">
        <f t="shared" si="44"/>
        <v>RECC  500*300*14.2</v>
      </c>
      <c r="B280" s="174">
        <f t="shared" si="45"/>
        <v>165.22675064979146</v>
      </c>
      <c r="C280" s="173">
        <v>500</v>
      </c>
      <c r="D280" s="173">
        <v>300</v>
      </c>
      <c r="E280" s="173">
        <v>14.2</v>
      </c>
      <c r="F280" s="173">
        <f t="shared" si="46"/>
        <v>28.4</v>
      </c>
      <c r="G280" s="173">
        <f t="shared" si="47"/>
        <v>42.599999999999994</v>
      </c>
      <c r="H280" s="174">
        <f t="shared" si="48"/>
        <v>210.47993713349229</v>
      </c>
      <c r="I280" s="173"/>
      <c r="J280" s="174">
        <f t="shared" si="49"/>
        <v>0</v>
      </c>
      <c r="K280" s="173"/>
      <c r="L280" s="175">
        <f t="shared" si="50"/>
        <v>0</v>
      </c>
      <c r="M280" s="176">
        <f t="shared" si="51"/>
        <v>117.8032</v>
      </c>
      <c r="N280" s="173"/>
      <c r="O280" s="174">
        <f t="shared" si="52"/>
        <v>0</v>
      </c>
      <c r="P280" s="173"/>
      <c r="Q280" s="174">
        <f t="shared" si="53"/>
        <v>0</v>
      </c>
      <c r="R280" s="190">
        <f t="shared" si="54"/>
        <v>61.0032</v>
      </c>
      <c r="S280" s="173"/>
      <c r="T280" s="177"/>
    </row>
    <row r="281" spans="1:20" x14ac:dyDescent="0.25">
      <c r="A281" s="178" t="str">
        <f t="shared" si="44"/>
        <v>RECC  500*300*16</v>
      </c>
      <c r="B281" s="180">
        <f t="shared" si="45"/>
        <v>184.29632298327024</v>
      </c>
      <c r="C281" s="179">
        <v>500</v>
      </c>
      <c r="D281" s="179">
        <v>300</v>
      </c>
      <c r="E281" s="179">
        <v>16</v>
      </c>
      <c r="F281" s="179">
        <f t="shared" si="46"/>
        <v>32</v>
      </c>
      <c r="G281" s="179">
        <f t="shared" si="47"/>
        <v>48</v>
      </c>
      <c r="H281" s="180">
        <f t="shared" si="48"/>
        <v>234.77238596594935</v>
      </c>
      <c r="I281" s="179"/>
      <c r="J281" s="180">
        <f t="shared" si="49"/>
        <v>0</v>
      </c>
      <c r="K281" s="179"/>
      <c r="L281" s="181">
        <f t="shared" si="50"/>
        <v>0</v>
      </c>
      <c r="M281" s="182">
        <f t="shared" si="51"/>
        <v>129.28</v>
      </c>
      <c r="N281" s="179"/>
      <c r="O281" s="180">
        <f t="shared" si="52"/>
        <v>0</v>
      </c>
      <c r="P281" s="179"/>
      <c r="Q281" s="180">
        <f t="shared" si="53"/>
        <v>0</v>
      </c>
      <c r="R281" s="191">
        <f t="shared" si="54"/>
        <v>65.28</v>
      </c>
      <c r="S281" s="179"/>
      <c r="T281" s="183"/>
    </row>
  </sheetData>
  <sheetProtection algorithmName="SHA-512" hashValue="zhyT5HjySPWbH+OgrsuJA66UpwOCPEhHRApi1uSx/Vz2mjrz5vmxdgJhvPGAMwPXNRH8Tl+06JEzQONZ4z7Lug==" saltValue="RiQs7gV+uZLKw5iPBYWs9Q==" spinCount="100000" sheet="1" objects="1" scenarios="1"/>
  <mergeCells count="3">
    <mergeCell ref="C1:G1"/>
    <mergeCell ref="J1:K1"/>
    <mergeCell ref="O1:P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9A133-4010-46D2-A48F-9892E0FE14D5}">
  <sheetPr codeName="Feuil6">
    <tabColor rgb="FFFF0000"/>
  </sheetPr>
  <dimension ref="A1:T439"/>
  <sheetViews>
    <sheetView zoomScale="85" zoomScaleNormal="85" workbookViewId="0">
      <pane ySplit="2" topLeftCell="A3" activePane="bottomLeft" state="frozen"/>
      <selection pane="bottomLeft"/>
    </sheetView>
  </sheetViews>
  <sheetFormatPr baseColWidth="10" defaultRowHeight="15" x14ac:dyDescent="0.25"/>
  <cols>
    <col min="1" max="1" width="20.7109375" customWidth="1"/>
    <col min="5" max="7" width="0" hidden="1" customWidth="1"/>
    <col min="13" max="18" width="0" hidden="1" customWidth="1"/>
  </cols>
  <sheetData>
    <row r="1" spans="1:20" ht="30" x14ac:dyDescent="0.25">
      <c r="A1" s="216" t="s">
        <v>0</v>
      </c>
      <c r="B1" s="1" t="s">
        <v>1</v>
      </c>
      <c r="C1" s="490" t="s">
        <v>2</v>
      </c>
      <c r="D1" s="491"/>
      <c r="E1" s="236"/>
      <c r="F1" s="236"/>
      <c r="G1" s="236"/>
      <c r="H1" s="1" t="s">
        <v>3</v>
      </c>
      <c r="I1" s="2" t="s">
        <v>4</v>
      </c>
      <c r="J1" s="493" t="s">
        <v>5</v>
      </c>
      <c r="K1" s="494"/>
      <c r="L1" s="3" t="s">
        <v>6</v>
      </c>
      <c r="M1" s="233"/>
      <c r="N1" s="233"/>
      <c r="O1" s="233"/>
      <c r="P1" s="233"/>
      <c r="Q1" s="233"/>
      <c r="R1" s="233"/>
      <c r="S1" s="5" t="s">
        <v>8</v>
      </c>
      <c r="T1" s="6" t="s">
        <v>398</v>
      </c>
    </row>
    <row r="2" spans="1:20" ht="15.75" thickBot="1" x14ac:dyDescent="0.3">
      <c r="A2" s="7"/>
      <c r="B2" s="7" t="s">
        <v>10</v>
      </c>
      <c r="C2" s="8" t="s">
        <v>11</v>
      </c>
      <c r="D2" s="9" t="s">
        <v>213</v>
      </c>
      <c r="E2" s="235"/>
      <c r="F2" s="235"/>
      <c r="G2" s="235"/>
      <c r="H2" s="7" t="s">
        <v>16</v>
      </c>
      <c r="I2" s="8" t="s">
        <v>402</v>
      </c>
      <c r="J2" s="9" t="s">
        <v>403</v>
      </c>
      <c r="K2" s="9" t="s">
        <v>404</v>
      </c>
      <c r="L2" s="9" t="s">
        <v>405</v>
      </c>
      <c r="M2" s="235"/>
      <c r="N2" s="235"/>
      <c r="O2" s="235"/>
      <c r="P2" s="235"/>
      <c r="Q2" s="235"/>
      <c r="R2" s="235"/>
      <c r="S2" s="11" t="s">
        <v>27</v>
      </c>
      <c r="T2" s="9" t="s">
        <v>407</v>
      </c>
    </row>
    <row r="3" spans="1:20" ht="16.5" thickBot="1" x14ac:dyDescent="0.3">
      <c r="A3" s="217"/>
      <c r="B3" s="158" t="s">
        <v>420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60"/>
    </row>
    <row r="4" spans="1:20" x14ac:dyDescent="0.25">
      <c r="A4" s="64" t="str">
        <f t="shared" ref="A4:A67" si="0">$B$3&amp;"  "&amp;C4&amp;"*"&amp;D4</f>
        <v>CIRF  21.3*2</v>
      </c>
      <c r="B4" s="163">
        <f t="shared" ref="B4:B67" si="1">H4*0.785</f>
        <v>0.9519339899642435</v>
      </c>
      <c r="C4" s="64">
        <v>21.3</v>
      </c>
      <c r="D4" s="64">
        <v>2</v>
      </c>
      <c r="E4" s="64"/>
      <c r="F4" s="64"/>
      <c r="G4" s="64"/>
      <c r="H4" s="163">
        <f t="shared" ref="H4:H67" si="2">(C4^2-(C4-2*D4)^2)*PI()*0.01/4</f>
        <v>1.2126547642856604</v>
      </c>
      <c r="I4" s="163">
        <f t="shared" ref="I4:I67" si="3">(C4^4-(C4-2*D4)^4)*PI()*0.0001/64</f>
        <v>0.57069049025738539</v>
      </c>
      <c r="J4" s="163">
        <f t="shared" ref="J4:J67" si="4">I4/(C4*0.5*0.1)</f>
        <v>0.53585961526515047</v>
      </c>
      <c r="K4" s="164">
        <v>0.748</v>
      </c>
      <c r="L4" s="218">
        <f t="shared" ref="L4:L67" si="5">SQRT(I4/H4)</f>
        <v>0.68601202613365309</v>
      </c>
      <c r="M4" s="218"/>
      <c r="N4" s="218"/>
      <c r="O4" s="218"/>
      <c r="P4" s="218"/>
      <c r="Q4" s="218"/>
      <c r="R4" s="218"/>
      <c r="S4" s="64"/>
    </row>
    <row r="5" spans="1:20" x14ac:dyDescent="0.25">
      <c r="A5" s="64" t="str">
        <f t="shared" si="0"/>
        <v>CIRF  21.3*2.5</v>
      </c>
      <c r="B5" s="163">
        <f t="shared" si="1"/>
        <v>1.1590906095419544</v>
      </c>
      <c r="C5" s="64">
        <v>21.3</v>
      </c>
      <c r="D5" s="64">
        <v>2.5</v>
      </c>
      <c r="E5" s="64"/>
      <c r="F5" s="64"/>
      <c r="G5" s="64"/>
      <c r="H5" s="163">
        <f t="shared" si="2"/>
        <v>1.4765485471872031</v>
      </c>
      <c r="I5" s="163">
        <f t="shared" si="3"/>
        <v>0.66387468367220659</v>
      </c>
      <c r="J5" s="163">
        <f t="shared" si="4"/>
        <v>0.62335651049033469</v>
      </c>
      <c r="K5" s="164">
        <v>0.88900000000000001</v>
      </c>
      <c r="L5" s="218">
        <f t="shared" si="5"/>
        <v>0.6705315055983575</v>
      </c>
      <c r="M5" s="218"/>
      <c r="N5" s="218"/>
      <c r="O5" s="218"/>
      <c r="P5" s="218"/>
      <c r="Q5" s="218"/>
      <c r="R5" s="218"/>
      <c r="S5" s="64"/>
    </row>
    <row r="6" spans="1:20" x14ac:dyDescent="0.25">
      <c r="A6" s="64" t="str">
        <f t="shared" si="0"/>
        <v>CIRF  21.3*3</v>
      </c>
      <c r="B6" s="163">
        <f t="shared" si="1"/>
        <v>1.3539164779543253</v>
      </c>
      <c r="C6" s="64">
        <v>21.3</v>
      </c>
      <c r="D6" s="64">
        <v>3</v>
      </c>
      <c r="E6" s="64"/>
      <c r="F6" s="64"/>
      <c r="G6" s="64"/>
      <c r="H6" s="163">
        <f t="shared" si="2"/>
        <v>1.7247343668207966</v>
      </c>
      <c r="I6" s="163">
        <f t="shared" si="3"/>
        <v>0.74139862675750468</v>
      </c>
      <c r="J6" s="163">
        <f t="shared" si="4"/>
        <v>0.69614894531221083</v>
      </c>
      <c r="K6" s="163">
        <v>1.01</v>
      </c>
      <c r="L6" s="218">
        <f t="shared" si="5"/>
        <v>0.65563900128043018</v>
      </c>
      <c r="M6" s="218"/>
      <c r="N6" s="218"/>
      <c r="O6" s="218"/>
      <c r="P6" s="218"/>
      <c r="Q6" s="218"/>
      <c r="R6" s="218"/>
      <c r="S6" s="64" t="s">
        <v>421</v>
      </c>
    </row>
    <row r="7" spans="1:20" x14ac:dyDescent="0.25">
      <c r="A7" s="219" t="str">
        <f t="shared" si="0"/>
        <v>CIRF  26.9*2</v>
      </c>
      <c r="B7" s="168">
        <f t="shared" si="1"/>
        <v>1.2281428160678576</v>
      </c>
      <c r="C7" s="167">
        <v>26.9</v>
      </c>
      <c r="D7" s="167">
        <v>2</v>
      </c>
      <c r="E7" s="167"/>
      <c r="F7" s="167"/>
      <c r="G7" s="167"/>
      <c r="H7" s="168">
        <f t="shared" si="2"/>
        <v>1.5645131414877165</v>
      </c>
      <c r="I7" s="168">
        <f t="shared" si="3"/>
        <v>1.2203398067746873</v>
      </c>
      <c r="J7" s="168">
        <f t="shared" si="4"/>
        <v>0.90731584146816902</v>
      </c>
      <c r="K7" s="168">
        <v>1.24</v>
      </c>
      <c r="L7" s="220">
        <f t="shared" si="5"/>
        <v>0.88318316333589597</v>
      </c>
      <c r="M7" s="220"/>
      <c r="N7" s="220"/>
      <c r="O7" s="220"/>
      <c r="P7" s="220"/>
      <c r="Q7" s="220"/>
      <c r="R7" s="220"/>
      <c r="S7" s="167"/>
      <c r="T7" s="221"/>
    </row>
    <row r="8" spans="1:20" x14ac:dyDescent="0.25">
      <c r="A8" s="222" t="str">
        <f t="shared" si="0"/>
        <v>CIRF  26.9*2.5</v>
      </c>
      <c r="B8" s="174">
        <f t="shared" si="1"/>
        <v>1.5043516421714722</v>
      </c>
      <c r="C8" s="173">
        <v>26.9</v>
      </c>
      <c r="D8" s="173">
        <v>2.5</v>
      </c>
      <c r="E8" s="173"/>
      <c r="F8" s="173"/>
      <c r="G8" s="173"/>
      <c r="H8" s="174">
        <f t="shared" si="2"/>
        <v>1.9163715186897734</v>
      </c>
      <c r="I8" s="174">
        <f t="shared" si="3"/>
        <v>1.4411353366986932</v>
      </c>
      <c r="J8" s="174">
        <f t="shared" si="4"/>
        <v>1.0714760867648276</v>
      </c>
      <c r="K8" s="174">
        <v>1.49</v>
      </c>
      <c r="L8" s="223">
        <f t="shared" si="5"/>
        <v>0.86718654279226448</v>
      </c>
      <c r="M8" s="223"/>
      <c r="N8" s="223"/>
      <c r="O8" s="223"/>
      <c r="P8" s="223"/>
      <c r="Q8" s="223"/>
      <c r="R8" s="223"/>
      <c r="S8" s="173"/>
      <c r="T8" s="224"/>
    </row>
    <row r="9" spans="1:20" x14ac:dyDescent="0.25">
      <c r="A9" s="225" t="str">
        <f t="shared" si="0"/>
        <v>CIRF  26.9*3</v>
      </c>
      <c r="B9" s="180">
        <f t="shared" si="1"/>
        <v>1.768229717109747</v>
      </c>
      <c r="C9" s="179">
        <v>26.9</v>
      </c>
      <c r="D9" s="179">
        <v>3</v>
      </c>
      <c r="E9" s="179"/>
      <c r="F9" s="179"/>
      <c r="G9" s="179"/>
      <c r="H9" s="180">
        <f t="shared" si="2"/>
        <v>2.2525219326238815</v>
      </c>
      <c r="I9" s="180">
        <f t="shared" si="3"/>
        <v>1.6336696881596275</v>
      </c>
      <c r="J9" s="180">
        <f t="shared" si="4"/>
        <v>1.2146243034644071</v>
      </c>
      <c r="K9" s="180">
        <v>1.72</v>
      </c>
      <c r="L9" s="226">
        <f t="shared" si="5"/>
        <v>0.85162344965365999</v>
      </c>
      <c r="M9" s="226"/>
      <c r="N9" s="226"/>
      <c r="O9" s="226"/>
      <c r="P9" s="226"/>
      <c r="Q9" s="226"/>
      <c r="R9" s="226"/>
      <c r="S9" s="179"/>
      <c r="T9" s="227"/>
    </row>
    <row r="10" spans="1:20" x14ac:dyDescent="0.25">
      <c r="A10" s="64" t="str">
        <f t="shared" si="0"/>
        <v>CIRF  33.7*2</v>
      </c>
      <c r="B10" s="163">
        <f t="shared" si="1"/>
        <v>1.5635392477651051</v>
      </c>
      <c r="C10" s="64">
        <v>33.700000000000003</v>
      </c>
      <c r="D10" s="64">
        <v>2</v>
      </c>
      <c r="E10" s="64"/>
      <c r="F10" s="64"/>
      <c r="G10" s="64"/>
      <c r="H10" s="163">
        <f t="shared" si="2"/>
        <v>1.99176974237593</v>
      </c>
      <c r="I10" s="163">
        <f t="shared" si="3"/>
        <v>2.5118457192320656</v>
      </c>
      <c r="J10" s="163">
        <f t="shared" si="4"/>
        <v>1.490709625657012</v>
      </c>
      <c r="K10" s="163">
        <v>2.0099999999999998</v>
      </c>
      <c r="L10" s="218">
        <f t="shared" si="5"/>
        <v>1.1229926535823822</v>
      </c>
      <c r="M10" s="218"/>
      <c r="N10" s="218"/>
      <c r="O10" s="218"/>
      <c r="P10" s="218"/>
      <c r="Q10" s="218"/>
      <c r="R10" s="218"/>
      <c r="S10" s="64"/>
    </row>
    <row r="11" spans="1:20" x14ac:dyDescent="0.25">
      <c r="A11" s="64" t="str">
        <f t="shared" si="0"/>
        <v>CIRF  33.7*2.5</v>
      </c>
      <c r="B11" s="163">
        <f t="shared" si="1"/>
        <v>1.9235971817930311</v>
      </c>
      <c r="C11" s="64">
        <v>33.700000000000003</v>
      </c>
      <c r="D11" s="64">
        <v>2.5</v>
      </c>
      <c r="E11" s="64"/>
      <c r="F11" s="64"/>
      <c r="G11" s="64"/>
      <c r="H11" s="163">
        <f t="shared" si="2"/>
        <v>2.4504422698000394</v>
      </c>
      <c r="I11" s="163">
        <f t="shared" si="3"/>
        <v>3.0008422341255012</v>
      </c>
      <c r="J11" s="163">
        <f t="shared" si="4"/>
        <v>1.7809152724780419</v>
      </c>
      <c r="K11" s="163">
        <v>2.44</v>
      </c>
      <c r="L11" s="218">
        <f t="shared" si="5"/>
        <v>1.1066221125569469</v>
      </c>
      <c r="M11" s="218"/>
      <c r="N11" s="218"/>
      <c r="O11" s="218"/>
      <c r="P11" s="218"/>
      <c r="Q11" s="218"/>
      <c r="R11" s="218"/>
      <c r="S11" s="64"/>
    </row>
    <row r="12" spans="1:20" x14ac:dyDescent="0.25">
      <c r="A12" s="64" t="str">
        <f t="shared" si="0"/>
        <v>CIRF  33.7*3</v>
      </c>
      <c r="B12" s="163">
        <f t="shared" si="1"/>
        <v>2.2713243646556172</v>
      </c>
      <c r="C12" s="64">
        <v>33.700000000000003</v>
      </c>
      <c r="D12" s="64">
        <v>3</v>
      </c>
      <c r="E12" s="64"/>
      <c r="F12" s="64"/>
      <c r="G12" s="64"/>
      <c r="H12" s="163">
        <f t="shared" si="2"/>
        <v>2.8934068339562002</v>
      </c>
      <c r="I12" s="163">
        <f t="shared" si="3"/>
        <v>3.4413095855512315</v>
      </c>
      <c r="J12" s="163">
        <f t="shared" si="4"/>
        <v>2.0423202288137867</v>
      </c>
      <c r="K12" s="163">
        <v>2.84</v>
      </c>
      <c r="L12" s="218">
        <f t="shared" si="5"/>
        <v>1.0905789746735448</v>
      </c>
      <c r="M12" s="218"/>
      <c r="N12" s="218"/>
      <c r="O12" s="218"/>
      <c r="P12" s="218"/>
      <c r="Q12" s="218"/>
      <c r="R12" s="218"/>
      <c r="S12" s="64"/>
    </row>
    <row r="13" spans="1:20" x14ac:dyDescent="0.25">
      <c r="A13" s="219" t="str">
        <f t="shared" si="0"/>
        <v>CIRF  42.4*2</v>
      </c>
      <c r="B13" s="168">
        <f t="shared" si="1"/>
        <v>1.9926493883189347</v>
      </c>
      <c r="C13" s="167">
        <v>42.4</v>
      </c>
      <c r="D13" s="167">
        <v>2</v>
      </c>
      <c r="E13" s="167"/>
      <c r="F13" s="167"/>
      <c r="G13" s="167"/>
      <c r="H13" s="168">
        <f t="shared" si="2"/>
        <v>2.5384068641005535</v>
      </c>
      <c r="I13" s="168">
        <f t="shared" si="3"/>
        <v>5.1915497184584511</v>
      </c>
      <c r="J13" s="168">
        <f t="shared" si="4"/>
        <v>2.448844206820024</v>
      </c>
      <c r="K13" s="168">
        <v>3.27</v>
      </c>
      <c r="L13" s="220">
        <f t="shared" si="5"/>
        <v>1.4301048912579801</v>
      </c>
      <c r="M13" s="220"/>
      <c r="N13" s="220"/>
      <c r="O13" s="220"/>
      <c r="P13" s="220"/>
      <c r="Q13" s="220"/>
      <c r="R13" s="220"/>
      <c r="S13" s="167"/>
      <c r="T13" s="221"/>
    </row>
    <row r="14" spans="1:20" x14ac:dyDescent="0.25">
      <c r="A14" s="222" t="str">
        <f t="shared" si="0"/>
        <v>CIRF  42.4*2.5</v>
      </c>
      <c r="B14" s="174">
        <f t="shared" si="1"/>
        <v>2.4599848574853178</v>
      </c>
      <c r="C14" s="173">
        <v>42.4</v>
      </c>
      <c r="D14" s="173">
        <v>2.5</v>
      </c>
      <c r="E14" s="173"/>
      <c r="F14" s="173"/>
      <c r="G14" s="173"/>
      <c r="H14" s="174">
        <f t="shared" si="2"/>
        <v>3.1337386719558187</v>
      </c>
      <c r="I14" s="174">
        <f t="shared" si="3"/>
        <v>6.260661462300134</v>
      </c>
      <c r="J14" s="174">
        <f t="shared" si="4"/>
        <v>2.9531421991981763</v>
      </c>
      <c r="K14" s="174">
        <v>3.99</v>
      </c>
      <c r="L14" s="223">
        <f t="shared" si="5"/>
        <v>1.4134443745687342</v>
      </c>
      <c r="M14" s="223"/>
      <c r="N14" s="223"/>
      <c r="O14" s="223"/>
      <c r="P14" s="223"/>
      <c r="Q14" s="223"/>
      <c r="R14" s="223"/>
      <c r="S14" s="173"/>
      <c r="T14" s="224"/>
    </row>
    <row r="15" spans="1:20" x14ac:dyDescent="0.25">
      <c r="A15" s="222" t="str">
        <f t="shared" si="0"/>
        <v>CIRF  42.4*3</v>
      </c>
      <c r="B15" s="174">
        <f t="shared" si="1"/>
        <v>2.9149895754863624</v>
      </c>
      <c r="C15" s="173">
        <v>42.4</v>
      </c>
      <c r="D15" s="173">
        <v>3</v>
      </c>
      <c r="E15" s="173"/>
      <c r="F15" s="173"/>
      <c r="G15" s="173"/>
      <c r="H15" s="174">
        <f t="shared" si="2"/>
        <v>3.7133625165431368</v>
      </c>
      <c r="I15" s="174">
        <f t="shared" si="3"/>
        <v>7.2473696235372396</v>
      </c>
      <c r="J15" s="174">
        <f t="shared" si="4"/>
        <v>3.4185705771402071</v>
      </c>
      <c r="K15" s="174">
        <v>4.67</v>
      </c>
      <c r="L15" s="223">
        <f t="shared" si="5"/>
        <v>1.3970325694127534</v>
      </c>
      <c r="M15" s="223"/>
      <c r="N15" s="223"/>
      <c r="O15" s="223"/>
      <c r="P15" s="223"/>
      <c r="Q15" s="223"/>
      <c r="R15" s="223"/>
      <c r="S15" s="173"/>
      <c r="T15" s="224"/>
    </row>
    <row r="16" spans="1:20" x14ac:dyDescent="0.25">
      <c r="A16" s="225" t="str">
        <f t="shared" si="0"/>
        <v>CIRF  42.4*4</v>
      </c>
      <c r="B16" s="180">
        <f t="shared" si="1"/>
        <v>3.7880067579924299</v>
      </c>
      <c r="C16" s="179">
        <v>42.4</v>
      </c>
      <c r="D16" s="179">
        <v>4</v>
      </c>
      <c r="E16" s="179"/>
      <c r="F16" s="179"/>
      <c r="G16" s="179"/>
      <c r="H16" s="180">
        <f t="shared" si="2"/>
        <v>4.8254863159139232</v>
      </c>
      <c r="I16" s="180">
        <f t="shared" si="3"/>
        <v>8.9908461038108207</v>
      </c>
      <c r="J16" s="180">
        <f t="shared" si="4"/>
        <v>4.2409651433069904</v>
      </c>
      <c r="K16" s="180">
        <v>5.92</v>
      </c>
      <c r="L16" s="226">
        <f t="shared" si="5"/>
        <v>1.3649908424601243</v>
      </c>
      <c r="M16" s="226"/>
      <c r="N16" s="226"/>
      <c r="O16" s="226"/>
      <c r="P16" s="226"/>
      <c r="Q16" s="226"/>
      <c r="R16" s="226"/>
      <c r="S16" s="179"/>
      <c r="T16" s="227"/>
    </row>
    <row r="17" spans="1:20" x14ac:dyDescent="0.25">
      <c r="A17" s="64" t="str">
        <f t="shared" si="0"/>
        <v>CIRF  48.3*2</v>
      </c>
      <c r="B17" s="163">
        <f t="shared" si="1"/>
        <v>2.2836551158209573</v>
      </c>
      <c r="C17" s="64">
        <v>48.3</v>
      </c>
      <c r="D17" s="64">
        <v>2</v>
      </c>
      <c r="E17" s="64"/>
      <c r="F17" s="64"/>
      <c r="G17" s="64"/>
      <c r="H17" s="163">
        <f t="shared" si="2"/>
        <v>2.9091147972241491</v>
      </c>
      <c r="I17" s="163">
        <f t="shared" si="3"/>
        <v>7.8098459485629137</v>
      </c>
      <c r="J17" s="163">
        <f t="shared" si="4"/>
        <v>3.233890661930813</v>
      </c>
      <c r="K17" s="163">
        <v>4.29</v>
      </c>
      <c r="L17" s="218">
        <f t="shared" si="5"/>
        <v>1.6384787151501234</v>
      </c>
      <c r="M17" s="218"/>
      <c r="N17" s="218"/>
      <c r="O17" s="218"/>
      <c r="P17" s="218"/>
      <c r="Q17" s="218"/>
      <c r="R17" s="218"/>
      <c r="S17" s="64"/>
    </row>
    <row r="18" spans="1:20" x14ac:dyDescent="0.25">
      <c r="A18" s="64" t="str">
        <f t="shared" si="0"/>
        <v>CIRF  48.3*2.5</v>
      </c>
      <c r="B18" s="163">
        <f t="shared" si="1"/>
        <v>2.8237420168628473</v>
      </c>
      <c r="C18" s="64">
        <v>48.3</v>
      </c>
      <c r="D18" s="64">
        <v>2.5</v>
      </c>
      <c r="E18" s="64"/>
      <c r="F18" s="64"/>
      <c r="G18" s="64"/>
      <c r="H18" s="163">
        <f t="shared" si="2"/>
        <v>3.597123588360315</v>
      </c>
      <c r="I18" s="163">
        <f t="shared" si="3"/>
        <v>9.4599404328942267</v>
      </c>
      <c r="J18" s="163">
        <f t="shared" si="4"/>
        <v>3.9171595995421229</v>
      </c>
      <c r="K18" s="163">
        <v>5.25</v>
      </c>
      <c r="L18" s="218">
        <f t="shared" si="5"/>
        <v>1.6216850804024805</v>
      </c>
      <c r="M18" s="218"/>
      <c r="N18" s="218"/>
      <c r="O18" s="218"/>
      <c r="P18" s="218"/>
      <c r="Q18" s="218"/>
      <c r="R18" s="218"/>
      <c r="S18" s="64"/>
    </row>
    <row r="19" spans="1:20" x14ac:dyDescent="0.25">
      <c r="A19" s="64" t="str">
        <f t="shared" si="0"/>
        <v>CIRF  48.3*3</v>
      </c>
      <c r="B19" s="163">
        <f t="shared" si="1"/>
        <v>3.3514981667393959</v>
      </c>
      <c r="C19" s="64">
        <v>48.3</v>
      </c>
      <c r="D19" s="64">
        <v>3</v>
      </c>
      <c r="E19" s="64"/>
      <c r="F19" s="64"/>
      <c r="G19" s="64"/>
      <c r="H19" s="163">
        <f t="shared" si="2"/>
        <v>4.2694244162285298</v>
      </c>
      <c r="I19" s="163">
        <f t="shared" si="3"/>
        <v>10.999584962555573</v>
      </c>
      <c r="J19" s="163">
        <f t="shared" si="4"/>
        <v>4.5546935662756001</v>
      </c>
      <c r="K19" s="163">
        <v>6.17</v>
      </c>
      <c r="L19" s="218">
        <f t="shared" si="5"/>
        <v>1.6051051367433846</v>
      </c>
      <c r="M19" s="218"/>
      <c r="N19" s="218"/>
      <c r="O19" s="218"/>
      <c r="P19" s="218"/>
      <c r="Q19" s="218"/>
      <c r="R19" s="218"/>
      <c r="S19" s="64"/>
    </row>
    <row r="20" spans="1:20" x14ac:dyDescent="0.25">
      <c r="A20" s="64" t="str">
        <f t="shared" si="0"/>
        <v>CIRF  48.3*4</v>
      </c>
      <c r="B20" s="163">
        <f t="shared" si="1"/>
        <v>4.3700182129964746</v>
      </c>
      <c r="C20" s="64">
        <v>48.3</v>
      </c>
      <c r="D20" s="64">
        <v>4</v>
      </c>
      <c r="E20" s="64"/>
      <c r="F20" s="64"/>
      <c r="G20" s="64"/>
      <c r="H20" s="163">
        <f t="shared" si="2"/>
        <v>5.5669021821611144</v>
      </c>
      <c r="I20" s="163">
        <f t="shared" si="3"/>
        <v>13.767575372979927</v>
      </c>
      <c r="J20" s="163">
        <f t="shared" si="4"/>
        <v>5.7008593676935515</v>
      </c>
      <c r="K20" s="163">
        <v>7.87</v>
      </c>
      <c r="L20" s="218">
        <f t="shared" si="5"/>
        <v>1.5726132709601555</v>
      </c>
      <c r="M20" s="218"/>
      <c r="N20" s="218"/>
      <c r="O20" s="218"/>
      <c r="P20" s="218"/>
      <c r="Q20" s="218"/>
      <c r="R20" s="218"/>
      <c r="S20" s="64"/>
    </row>
    <row r="21" spans="1:20" x14ac:dyDescent="0.25">
      <c r="A21" s="64" t="str">
        <f t="shared" si="0"/>
        <v>CIRF  48.3*5</v>
      </c>
      <c r="B21" s="163">
        <f t="shared" si="1"/>
        <v>5.3392152545921938</v>
      </c>
      <c r="C21" s="64">
        <v>48.3</v>
      </c>
      <c r="D21" s="64">
        <v>5</v>
      </c>
      <c r="E21" s="64"/>
      <c r="F21" s="64"/>
      <c r="G21" s="64"/>
      <c r="H21" s="163">
        <f t="shared" si="2"/>
        <v>6.8015480950219027</v>
      </c>
      <c r="I21" s="163">
        <f t="shared" si="3"/>
        <v>16.15274151281395</v>
      </c>
      <c r="J21" s="163">
        <f t="shared" si="4"/>
        <v>6.6885058024074331</v>
      </c>
      <c r="K21" s="163">
        <v>9.42</v>
      </c>
      <c r="L21" s="218">
        <f t="shared" si="5"/>
        <v>1.5410588892057304</v>
      </c>
      <c r="M21" s="218"/>
      <c r="N21" s="218"/>
      <c r="O21" s="218"/>
      <c r="P21" s="218"/>
      <c r="Q21" s="218"/>
      <c r="R21" s="218"/>
      <c r="S21" s="64"/>
    </row>
    <row r="22" spans="1:20" x14ac:dyDescent="0.25">
      <c r="A22" s="219" t="str">
        <f t="shared" si="0"/>
        <v>CIRF  60.3*2</v>
      </c>
      <c r="B22" s="168">
        <f t="shared" si="1"/>
        <v>2.8755311717572738</v>
      </c>
      <c r="C22" s="167">
        <v>60.3</v>
      </c>
      <c r="D22" s="167">
        <v>2</v>
      </c>
      <c r="E22" s="167"/>
      <c r="F22" s="167"/>
      <c r="G22" s="167"/>
      <c r="H22" s="168">
        <f t="shared" si="2"/>
        <v>3.6630970340856992</v>
      </c>
      <c r="I22" s="168">
        <f t="shared" si="3"/>
        <v>15.581395332899863</v>
      </c>
      <c r="J22" s="168">
        <f t="shared" si="4"/>
        <v>5.1679586510447306</v>
      </c>
      <c r="K22" s="168">
        <v>6.8</v>
      </c>
      <c r="L22" s="220">
        <f t="shared" si="5"/>
        <v>2.0624287866493725</v>
      </c>
      <c r="M22" s="220"/>
      <c r="N22" s="220"/>
      <c r="O22" s="220"/>
      <c r="P22" s="220"/>
      <c r="Q22" s="220"/>
      <c r="R22" s="220"/>
      <c r="S22" s="167"/>
      <c r="T22" s="221"/>
    </row>
    <row r="23" spans="1:20" x14ac:dyDescent="0.25">
      <c r="A23" s="222" t="str">
        <f t="shared" si="0"/>
        <v>CIRF  60.3*2.5</v>
      </c>
      <c r="B23" s="174">
        <f t="shared" si="1"/>
        <v>3.5635870867832424</v>
      </c>
      <c r="C23" s="173">
        <v>60.3</v>
      </c>
      <c r="D23" s="173">
        <v>2.5</v>
      </c>
      <c r="E23" s="173"/>
      <c r="F23" s="173"/>
      <c r="G23" s="173"/>
      <c r="H23" s="174">
        <f t="shared" si="2"/>
        <v>4.5396013844372511</v>
      </c>
      <c r="I23" s="174">
        <f t="shared" si="3"/>
        <v>18.993067997295096</v>
      </c>
      <c r="J23" s="174">
        <f t="shared" si="4"/>
        <v>6.2995250405622203</v>
      </c>
      <c r="K23" s="174">
        <v>8.36</v>
      </c>
      <c r="L23" s="223">
        <f t="shared" si="5"/>
        <v>2.0454492171647769</v>
      </c>
      <c r="M23" s="223"/>
      <c r="N23" s="223"/>
      <c r="O23" s="223"/>
      <c r="P23" s="223"/>
      <c r="Q23" s="223"/>
      <c r="R23" s="223"/>
      <c r="S23" s="173"/>
      <c r="T23" s="224"/>
    </row>
    <row r="24" spans="1:20" x14ac:dyDescent="0.25">
      <c r="A24" s="222" t="str">
        <f t="shared" si="0"/>
        <v>CIRF  60.3*3</v>
      </c>
      <c r="B24" s="174">
        <f t="shared" si="1"/>
        <v>4.2393122506438701</v>
      </c>
      <c r="C24" s="173">
        <v>60.3</v>
      </c>
      <c r="D24" s="173">
        <v>3</v>
      </c>
      <c r="E24" s="173"/>
      <c r="F24" s="173"/>
      <c r="G24" s="173"/>
      <c r="H24" s="174">
        <f t="shared" si="2"/>
        <v>5.4003977715208533</v>
      </c>
      <c r="I24" s="174">
        <f t="shared" si="3"/>
        <v>22.224594474000487</v>
      </c>
      <c r="J24" s="174">
        <f t="shared" si="4"/>
        <v>7.3713414507464297</v>
      </c>
      <c r="K24" s="174">
        <v>9.86</v>
      </c>
      <c r="L24" s="223">
        <f t="shared" si="5"/>
        <v>2.0286356252417534</v>
      </c>
      <c r="M24" s="223"/>
      <c r="N24" s="223"/>
      <c r="O24" s="223"/>
      <c r="P24" s="223"/>
      <c r="Q24" s="223"/>
      <c r="R24" s="223"/>
      <c r="S24" s="173"/>
      <c r="T24" s="224"/>
    </row>
    <row r="25" spans="1:20" x14ac:dyDescent="0.25">
      <c r="A25" s="222" t="str">
        <f t="shared" si="0"/>
        <v>CIRF  60.3*4</v>
      </c>
      <c r="B25" s="174">
        <f t="shared" si="1"/>
        <v>5.5537703248691104</v>
      </c>
      <c r="C25" s="173">
        <v>60.3</v>
      </c>
      <c r="D25" s="173">
        <v>4</v>
      </c>
      <c r="E25" s="173"/>
      <c r="F25" s="173"/>
      <c r="G25" s="173"/>
      <c r="H25" s="174">
        <f t="shared" si="2"/>
        <v>7.0748666558842164</v>
      </c>
      <c r="I25" s="174">
        <f t="shared" si="3"/>
        <v>28.172914946229728</v>
      </c>
      <c r="J25" s="174">
        <f t="shared" si="4"/>
        <v>9.3442503967594455</v>
      </c>
      <c r="K25" s="174">
        <v>12.7</v>
      </c>
      <c r="L25" s="223">
        <f t="shared" si="5"/>
        <v>1.9955231143737722</v>
      </c>
      <c r="M25" s="223"/>
      <c r="N25" s="223"/>
      <c r="O25" s="223"/>
      <c r="P25" s="223"/>
      <c r="Q25" s="223"/>
      <c r="R25" s="223"/>
      <c r="S25" s="173"/>
      <c r="T25" s="224"/>
    </row>
    <row r="26" spans="1:20" x14ac:dyDescent="0.25">
      <c r="A26" s="225" t="str">
        <f t="shared" si="0"/>
        <v>CIRF  60.3*5</v>
      </c>
      <c r="B26" s="180">
        <f t="shared" si="1"/>
        <v>6.8189053944329858</v>
      </c>
      <c r="C26" s="179">
        <v>60.3</v>
      </c>
      <c r="D26" s="179">
        <v>5</v>
      </c>
      <c r="E26" s="179"/>
      <c r="F26" s="179"/>
      <c r="G26" s="179"/>
      <c r="H26" s="180">
        <f t="shared" si="2"/>
        <v>8.6865036871757777</v>
      </c>
      <c r="I26" s="180">
        <f t="shared" si="3"/>
        <v>33.47659081611846</v>
      </c>
      <c r="J26" s="180">
        <f t="shared" si="4"/>
        <v>11.103346871017731</v>
      </c>
      <c r="K26" s="180">
        <v>15.3</v>
      </c>
      <c r="L26" s="226">
        <f t="shared" si="5"/>
        <v>1.963125696434133</v>
      </c>
      <c r="M26" s="226"/>
      <c r="N26" s="226"/>
      <c r="O26" s="226"/>
      <c r="P26" s="226"/>
      <c r="Q26" s="226"/>
      <c r="R26" s="226"/>
      <c r="S26" s="179"/>
      <c r="T26" s="227"/>
    </row>
    <row r="27" spans="1:20" x14ac:dyDescent="0.25">
      <c r="A27" s="64" t="str">
        <f t="shared" si="0"/>
        <v>CIRF  76.1*2</v>
      </c>
      <c r="B27" s="163">
        <f t="shared" si="1"/>
        <v>3.6548346454067593</v>
      </c>
      <c r="C27" s="64">
        <v>76.099999999999994</v>
      </c>
      <c r="D27" s="64">
        <v>2</v>
      </c>
      <c r="E27" s="64"/>
      <c r="F27" s="64"/>
      <c r="G27" s="64"/>
      <c r="H27" s="163">
        <f t="shared" si="2"/>
        <v>4.6558403126200751</v>
      </c>
      <c r="I27" s="163">
        <f t="shared" si="3"/>
        <v>31.978697385234888</v>
      </c>
      <c r="J27" s="163">
        <f t="shared" si="4"/>
        <v>8.4043882747003646</v>
      </c>
      <c r="K27" s="188">
        <v>11</v>
      </c>
      <c r="L27" s="218">
        <f t="shared" si="5"/>
        <v>2.6207847107307383</v>
      </c>
      <c r="M27" s="218"/>
      <c r="N27" s="218"/>
      <c r="O27" s="218"/>
      <c r="P27" s="218"/>
      <c r="Q27" s="218"/>
      <c r="R27" s="218"/>
      <c r="S27" s="64"/>
    </row>
    <row r="28" spans="1:20" x14ac:dyDescent="0.25">
      <c r="A28" s="64" t="str">
        <f t="shared" si="0"/>
        <v>CIRF  76.1*2.5</v>
      </c>
      <c r="B28" s="163">
        <f t="shared" si="1"/>
        <v>4.5377164288450977</v>
      </c>
      <c r="C28" s="64">
        <v>76.099999999999994</v>
      </c>
      <c r="D28" s="64">
        <v>2.5</v>
      </c>
      <c r="E28" s="64"/>
      <c r="F28" s="64"/>
      <c r="G28" s="64"/>
      <c r="H28" s="163">
        <f t="shared" si="2"/>
        <v>5.7805304826052195</v>
      </c>
      <c r="I28" s="163">
        <f t="shared" si="3"/>
        <v>39.186288398211801</v>
      </c>
      <c r="J28" s="163">
        <f t="shared" si="4"/>
        <v>10.298630328045151</v>
      </c>
      <c r="K28" s="188">
        <v>13.5</v>
      </c>
      <c r="L28" s="218">
        <f t="shared" si="5"/>
        <v>2.6036536828080648</v>
      </c>
      <c r="M28" s="218"/>
      <c r="N28" s="218"/>
      <c r="O28" s="218"/>
      <c r="P28" s="218"/>
      <c r="Q28" s="218"/>
      <c r="R28" s="218"/>
      <c r="S28" s="64"/>
    </row>
    <row r="29" spans="1:20" x14ac:dyDescent="0.25">
      <c r="A29" s="64" t="str">
        <f t="shared" si="0"/>
        <v>CIRF  76.1*3</v>
      </c>
      <c r="B29" s="163">
        <f t="shared" si="1"/>
        <v>5.408267461118097</v>
      </c>
      <c r="C29" s="64">
        <v>76.099999999999994</v>
      </c>
      <c r="D29" s="64">
        <v>3</v>
      </c>
      <c r="E29" s="64"/>
      <c r="F29" s="64"/>
      <c r="G29" s="64"/>
      <c r="H29" s="163">
        <f t="shared" si="2"/>
        <v>6.8895126893224159</v>
      </c>
      <c r="I29" s="163">
        <f t="shared" si="3"/>
        <v>46.096093144992558</v>
      </c>
      <c r="J29" s="163">
        <f t="shared" si="4"/>
        <v>12.114610550589372</v>
      </c>
      <c r="K29" s="188">
        <v>16</v>
      </c>
      <c r="L29" s="218">
        <f t="shared" si="5"/>
        <v>2.5866508268415354</v>
      </c>
      <c r="M29" s="218"/>
      <c r="N29" s="218"/>
      <c r="O29" s="218"/>
      <c r="P29" s="218"/>
      <c r="Q29" s="218"/>
      <c r="R29" s="218"/>
      <c r="S29" s="64"/>
    </row>
    <row r="30" spans="1:20" x14ac:dyDescent="0.25">
      <c r="A30" s="64" t="str">
        <f t="shared" si="0"/>
        <v>CIRF  76.1*4</v>
      </c>
      <c r="B30" s="163">
        <f t="shared" si="1"/>
        <v>7.1123772721680734</v>
      </c>
      <c r="C30" s="64">
        <v>76.099999999999994</v>
      </c>
      <c r="D30" s="64">
        <v>4</v>
      </c>
      <c r="E30" s="64"/>
      <c r="F30" s="64"/>
      <c r="G30" s="64"/>
      <c r="H30" s="163">
        <f t="shared" si="2"/>
        <v>9.0603532129529594</v>
      </c>
      <c r="I30" s="163">
        <f t="shared" si="3"/>
        <v>59.055495496442546</v>
      </c>
      <c r="J30" s="163">
        <f t="shared" si="4"/>
        <v>15.520498159380434</v>
      </c>
      <c r="K30" s="188">
        <v>20.8</v>
      </c>
      <c r="L30" s="218">
        <f t="shared" si="5"/>
        <v>2.5530398547613782</v>
      </c>
      <c r="M30" s="218"/>
      <c r="N30" s="218"/>
      <c r="O30" s="218"/>
      <c r="P30" s="218"/>
      <c r="Q30" s="218"/>
      <c r="R30" s="218"/>
      <c r="S30" s="64"/>
    </row>
    <row r="31" spans="1:20" x14ac:dyDescent="0.25">
      <c r="A31" s="64" t="str">
        <f t="shared" si="0"/>
        <v>CIRF  76.1*5</v>
      </c>
      <c r="B31" s="163">
        <f t="shared" si="1"/>
        <v>8.7671640785566964</v>
      </c>
      <c r="C31" s="64">
        <v>76.099999999999994</v>
      </c>
      <c r="D31" s="64">
        <v>5</v>
      </c>
      <c r="E31" s="64"/>
      <c r="F31" s="64"/>
      <c r="G31" s="64"/>
      <c r="H31" s="163">
        <f t="shared" si="2"/>
        <v>11.168361883511714</v>
      </c>
      <c r="I31" s="163">
        <f t="shared" si="3"/>
        <v>70.922029655293812</v>
      </c>
      <c r="J31" s="163">
        <f t="shared" si="4"/>
        <v>18.639166795083788</v>
      </c>
      <c r="K31" s="188">
        <v>25.3</v>
      </c>
      <c r="L31" s="218">
        <f t="shared" si="5"/>
        <v>2.5199727181062892</v>
      </c>
      <c r="M31" s="218"/>
      <c r="N31" s="218"/>
      <c r="O31" s="218"/>
      <c r="P31" s="218"/>
      <c r="Q31" s="218"/>
      <c r="R31" s="218"/>
      <c r="S31" s="64"/>
    </row>
    <row r="32" spans="1:20" x14ac:dyDescent="0.25">
      <c r="A32" s="64" t="str">
        <f t="shared" si="0"/>
        <v>CIRF  76.1*6</v>
      </c>
      <c r="B32" s="163">
        <f t="shared" si="1"/>
        <v>10.372627880283956</v>
      </c>
      <c r="C32" s="64">
        <v>76.099999999999994</v>
      </c>
      <c r="D32" s="64">
        <v>6</v>
      </c>
      <c r="E32" s="64"/>
      <c r="F32" s="64"/>
      <c r="G32" s="64"/>
      <c r="H32" s="163">
        <f t="shared" si="2"/>
        <v>13.213538700998669</v>
      </c>
      <c r="I32" s="163">
        <f t="shared" si="3"/>
        <v>81.758935881663007</v>
      </c>
      <c r="J32" s="163">
        <f t="shared" si="4"/>
        <v>21.487236762592119</v>
      </c>
      <c r="K32" s="188">
        <v>29.6</v>
      </c>
      <c r="L32" s="218">
        <f t="shared" si="5"/>
        <v>2.4874711053598189</v>
      </c>
      <c r="M32" s="218"/>
      <c r="N32" s="218"/>
      <c r="O32" s="218"/>
      <c r="P32" s="218"/>
      <c r="Q32" s="218"/>
      <c r="R32" s="218"/>
      <c r="S32" s="64"/>
    </row>
    <row r="33" spans="1:20" x14ac:dyDescent="0.25">
      <c r="A33" s="64" t="str">
        <f t="shared" si="0"/>
        <v>CIRF  76.1*6.3</v>
      </c>
      <c r="B33" s="163">
        <f t="shared" si="1"/>
        <v>10.84464903489317</v>
      </c>
      <c r="C33" s="64">
        <v>76.099999999999994</v>
      </c>
      <c r="D33" s="64">
        <v>6.3</v>
      </c>
      <c r="E33" s="64"/>
      <c r="F33" s="64"/>
      <c r="G33" s="64"/>
      <c r="H33" s="163">
        <f t="shared" si="2"/>
        <v>13.814839534895757</v>
      </c>
      <c r="I33" s="163">
        <f t="shared" si="3"/>
        <v>84.818452235916908</v>
      </c>
      <c r="J33" s="163">
        <f t="shared" si="4"/>
        <v>22.291314648072778</v>
      </c>
      <c r="K33" s="188">
        <v>30.8</v>
      </c>
      <c r="L33" s="218">
        <f t="shared" si="5"/>
        <v>2.4778342357793024</v>
      </c>
      <c r="M33" s="218"/>
      <c r="N33" s="218"/>
      <c r="O33" s="218"/>
      <c r="P33" s="218"/>
      <c r="Q33" s="218"/>
      <c r="R33" s="218"/>
      <c r="S33" s="64"/>
    </row>
    <row r="34" spans="1:20" x14ac:dyDescent="0.25">
      <c r="A34" s="219" t="str">
        <f t="shared" si="0"/>
        <v>CIRF  88.9*2</v>
      </c>
      <c r="B34" s="168">
        <f t="shared" si="1"/>
        <v>4.2861691050721618</v>
      </c>
      <c r="C34" s="167">
        <v>88.9</v>
      </c>
      <c r="D34" s="167">
        <v>2</v>
      </c>
      <c r="E34" s="167"/>
      <c r="F34" s="167"/>
      <c r="G34" s="167"/>
      <c r="H34" s="168">
        <f t="shared" si="2"/>
        <v>5.4600880319390592</v>
      </c>
      <c r="I34" s="168">
        <f t="shared" si="3"/>
        <v>51.56786966874887</v>
      </c>
      <c r="J34" s="168">
        <f t="shared" si="4"/>
        <v>11.601320510404694</v>
      </c>
      <c r="K34" s="189">
        <v>15.1</v>
      </c>
      <c r="L34" s="220">
        <f t="shared" si="5"/>
        <v>3.0731925582364679</v>
      </c>
      <c r="M34" s="220"/>
      <c r="N34" s="220"/>
      <c r="O34" s="220"/>
      <c r="P34" s="220"/>
      <c r="Q34" s="220"/>
      <c r="R34" s="220"/>
      <c r="S34" s="167"/>
      <c r="T34" s="221"/>
    </row>
    <row r="35" spans="1:20" x14ac:dyDescent="0.25">
      <c r="A35" s="222" t="str">
        <f t="shared" si="0"/>
        <v>CIRF  88.9*2.5</v>
      </c>
      <c r="B35" s="174">
        <f t="shared" si="1"/>
        <v>5.3268845034268537</v>
      </c>
      <c r="C35" s="173">
        <v>88.9</v>
      </c>
      <c r="D35" s="173">
        <v>2.5</v>
      </c>
      <c r="E35" s="173"/>
      <c r="F35" s="173"/>
      <c r="G35" s="173"/>
      <c r="H35" s="174">
        <f t="shared" si="2"/>
        <v>6.785840131753953</v>
      </c>
      <c r="I35" s="174">
        <f t="shared" si="3"/>
        <v>63.373045813451824</v>
      </c>
      <c r="J35" s="174">
        <f t="shared" si="4"/>
        <v>14.257153163881174</v>
      </c>
      <c r="K35" s="190">
        <v>18.7</v>
      </c>
      <c r="L35" s="223">
        <f t="shared" si="5"/>
        <v>3.0559797937813662</v>
      </c>
      <c r="M35" s="223"/>
      <c r="N35" s="223"/>
      <c r="O35" s="223"/>
      <c r="P35" s="223"/>
      <c r="Q35" s="223"/>
      <c r="R35" s="223"/>
      <c r="S35" s="173"/>
      <c r="T35" s="224"/>
    </row>
    <row r="36" spans="1:20" x14ac:dyDescent="0.25">
      <c r="A36" s="222" t="str">
        <f t="shared" si="0"/>
        <v>CIRF  88.9*3</v>
      </c>
      <c r="B36" s="174">
        <f t="shared" si="1"/>
        <v>6.3552691506162047</v>
      </c>
      <c r="C36" s="173">
        <v>88.9</v>
      </c>
      <c r="D36" s="173">
        <v>3</v>
      </c>
      <c r="E36" s="173"/>
      <c r="F36" s="173"/>
      <c r="G36" s="173"/>
      <c r="H36" s="174">
        <f t="shared" si="2"/>
        <v>8.0958842683008978</v>
      </c>
      <c r="I36" s="174">
        <f t="shared" si="3"/>
        <v>74.76356844524507</v>
      </c>
      <c r="J36" s="174">
        <f t="shared" si="4"/>
        <v>16.819700437625436</v>
      </c>
      <c r="K36" s="190">
        <v>22.1</v>
      </c>
      <c r="L36" s="223">
        <f t="shared" si="5"/>
        <v>3.0388752030973567</v>
      </c>
      <c r="M36" s="223"/>
      <c r="N36" s="223"/>
      <c r="O36" s="223"/>
      <c r="P36" s="223"/>
      <c r="Q36" s="223"/>
      <c r="R36" s="223"/>
      <c r="S36" s="173"/>
      <c r="T36" s="224"/>
    </row>
    <row r="37" spans="1:20" x14ac:dyDescent="0.25">
      <c r="A37" s="222" t="str">
        <f t="shared" si="0"/>
        <v>CIRF  88.9*4</v>
      </c>
      <c r="B37" s="174">
        <f t="shared" si="1"/>
        <v>8.3750461914988819</v>
      </c>
      <c r="C37" s="173">
        <v>88.9</v>
      </c>
      <c r="D37" s="173">
        <v>4</v>
      </c>
      <c r="E37" s="173"/>
      <c r="F37" s="173"/>
      <c r="G37" s="173"/>
      <c r="H37" s="174">
        <f t="shared" si="2"/>
        <v>10.668848651590933</v>
      </c>
      <c r="I37" s="174">
        <f t="shared" si="3"/>
        <v>96.339836684474321</v>
      </c>
      <c r="J37" s="174">
        <f t="shared" si="4"/>
        <v>21.673754034752378</v>
      </c>
      <c r="K37" s="190">
        <v>28.9</v>
      </c>
      <c r="L37" s="223">
        <f t="shared" si="5"/>
        <v>3.0049979201323924</v>
      </c>
      <c r="M37" s="223"/>
      <c r="N37" s="223"/>
      <c r="O37" s="223"/>
      <c r="P37" s="223"/>
      <c r="Q37" s="223"/>
      <c r="R37" s="223"/>
      <c r="S37" s="173"/>
      <c r="T37" s="224"/>
    </row>
    <row r="38" spans="1:20" x14ac:dyDescent="0.25">
      <c r="A38" s="222" t="str">
        <f t="shared" si="0"/>
        <v>CIRF  88.9*5</v>
      </c>
      <c r="B38" s="174">
        <f t="shared" si="1"/>
        <v>10.345500227720208</v>
      </c>
      <c r="C38" s="173">
        <v>88.9</v>
      </c>
      <c r="D38" s="173">
        <v>5</v>
      </c>
      <c r="E38" s="173"/>
      <c r="F38" s="173"/>
      <c r="G38" s="173"/>
      <c r="H38" s="174">
        <f t="shared" si="2"/>
        <v>13.178981181809181</v>
      </c>
      <c r="I38" s="174">
        <f t="shared" si="3"/>
        <v>116.37386331793533</v>
      </c>
      <c r="J38" s="174">
        <f t="shared" si="4"/>
        <v>26.180846640705361</v>
      </c>
      <c r="K38" s="190">
        <v>35.200000000000003</v>
      </c>
      <c r="L38" s="223">
        <f t="shared" si="5"/>
        <v>2.9715757604341846</v>
      </c>
      <c r="M38" s="223"/>
      <c r="N38" s="223"/>
      <c r="O38" s="223"/>
      <c r="P38" s="223"/>
      <c r="Q38" s="223"/>
      <c r="R38" s="223"/>
      <c r="S38" s="173"/>
      <c r="T38" s="224"/>
    </row>
    <row r="39" spans="1:20" x14ac:dyDescent="0.25">
      <c r="A39" s="222" t="str">
        <f t="shared" si="0"/>
        <v>CIRF  88.9*6</v>
      </c>
      <c r="B39" s="174">
        <f t="shared" si="1"/>
        <v>12.266631259280173</v>
      </c>
      <c r="C39" s="173">
        <v>88.9</v>
      </c>
      <c r="D39" s="173">
        <v>6</v>
      </c>
      <c r="E39" s="173"/>
      <c r="F39" s="173"/>
      <c r="G39" s="173"/>
      <c r="H39" s="174">
        <f t="shared" si="2"/>
        <v>15.626281858955634</v>
      </c>
      <c r="I39" s="174">
        <f t="shared" si="3"/>
        <v>134.94095232153461</v>
      </c>
      <c r="J39" s="174">
        <f t="shared" si="4"/>
        <v>30.357919532403734</v>
      </c>
      <c r="K39" s="190">
        <v>41.3</v>
      </c>
      <c r="L39" s="223">
        <f t="shared" si="5"/>
        <v>2.9386242529455853</v>
      </c>
      <c r="M39" s="223"/>
      <c r="N39" s="223"/>
      <c r="O39" s="223"/>
      <c r="P39" s="223"/>
      <c r="Q39" s="223"/>
      <c r="R39" s="223"/>
      <c r="S39" s="173"/>
      <c r="T39" s="224"/>
    </row>
    <row r="40" spans="1:20" x14ac:dyDescent="0.25">
      <c r="A40" s="225" t="str">
        <f t="shared" si="0"/>
        <v>CIRF  88.9*6.3</v>
      </c>
      <c r="B40" s="180">
        <f t="shared" si="1"/>
        <v>12.83335258283919</v>
      </c>
      <c r="C40" s="179">
        <v>88.9</v>
      </c>
      <c r="D40" s="179">
        <v>6.3</v>
      </c>
      <c r="E40" s="179"/>
      <c r="F40" s="179"/>
      <c r="G40" s="179"/>
      <c r="H40" s="180">
        <f t="shared" si="2"/>
        <v>16.34821985075056</v>
      </c>
      <c r="I40" s="180">
        <f t="shared" si="3"/>
        <v>140.23605164347902</v>
      </c>
      <c r="J40" s="180">
        <f t="shared" si="4"/>
        <v>31.549167973786052</v>
      </c>
      <c r="K40" s="191">
        <v>43.1</v>
      </c>
      <c r="L40" s="226">
        <f t="shared" si="5"/>
        <v>2.9288329587055668</v>
      </c>
      <c r="M40" s="226"/>
      <c r="N40" s="226"/>
      <c r="O40" s="226"/>
      <c r="P40" s="226"/>
      <c r="Q40" s="226"/>
      <c r="R40" s="226"/>
      <c r="S40" s="179"/>
      <c r="T40" s="227"/>
    </row>
    <row r="41" spans="1:20" x14ac:dyDescent="0.25">
      <c r="A41" s="64" t="str">
        <f t="shared" si="0"/>
        <v>CIRF  101.6*2</v>
      </c>
      <c r="B41" s="163">
        <f t="shared" si="1"/>
        <v>4.9125712642714383</v>
      </c>
      <c r="C41" s="64">
        <v>101.6</v>
      </c>
      <c r="D41" s="64">
        <v>2</v>
      </c>
      <c r="E41" s="64"/>
      <c r="F41" s="64"/>
      <c r="G41" s="64"/>
      <c r="H41" s="163">
        <f t="shared" si="2"/>
        <v>6.2580525659508766</v>
      </c>
      <c r="I41" s="163">
        <f t="shared" si="3"/>
        <v>77.6323936911338</v>
      </c>
      <c r="J41" s="163">
        <f t="shared" si="4"/>
        <v>15.281967262034213</v>
      </c>
      <c r="K41" s="188">
        <v>19.8</v>
      </c>
      <c r="L41" s="218">
        <f t="shared" si="5"/>
        <v>3.5221016453248475</v>
      </c>
      <c r="M41" s="218"/>
      <c r="N41" s="218"/>
      <c r="O41" s="218"/>
      <c r="P41" s="218"/>
      <c r="Q41" s="218"/>
      <c r="R41" s="218"/>
      <c r="S41" s="64"/>
    </row>
    <row r="42" spans="1:20" x14ac:dyDescent="0.25">
      <c r="A42" s="64" t="str">
        <f t="shared" si="0"/>
        <v>CIRF  101.6*2.5</v>
      </c>
      <c r="B42" s="163">
        <f t="shared" si="1"/>
        <v>6.1098872024259396</v>
      </c>
      <c r="C42" s="64">
        <v>101.6</v>
      </c>
      <c r="D42" s="64">
        <v>2.5</v>
      </c>
      <c r="E42" s="64"/>
      <c r="F42" s="64"/>
      <c r="G42" s="64"/>
      <c r="H42" s="163">
        <f t="shared" si="2"/>
        <v>7.7832957992687124</v>
      </c>
      <c r="I42" s="163">
        <f t="shared" si="3"/>
        <v>95.608643521451995</v>
      </c>
      <c r="J42" s="163">
        <f t="shared" si="4"/>
        <v>18.820599118396061</v>
      </c>
      <c r="K42" s="188">
        <v>24.6</v>
      </c>
      <c r="L42" s="218">
        <f t="shared" si="5"/>
        <v>3.5048288117966617</v>
      </c>
      <c r="M42" s="218"/>
      <c r="N42" s="218"/>
      <c r="O42" s="218"/>
      <c r="P42" s="218"/>
      <c r="Q42" s="218"/>
      <c r="R42" s="218"/>
      <c r="S42" s="64"/>
    </row>
    <row r="43" spans="1:20" x14ac:dyDescent="0.25">
      <c r="A43" s="64" t="str">
        <f t="shared" si="0"/>
        <v>CIRF  101.6*3</v>
      </c>
      <c r="B43" s="163">
        <f t="shared" si="1"/>
        <v>7.2948723894151124</v>
      </c>
      <c r="C43" s="64">
        <v>101.6</v>
      </c>
      <c r="D43" s="64">
        <v>3</v>
      </c>
      <c r="E43" s="64"/>
      <c r="F43" s="64"/>
      <c r="G43" s="64"/>
      <c r="H43" s="163">
        <f t="shared" si="2"/>
        <v>9.2928310693186145</v>
      </c>
      <c r="I43" s="163">
        <f t="shared" si="3"/>
        <v>113.03520927787083</v>
      </c>
      <c r="J43" s="163">
        <f t="shared" si="4"/>
        <v>22.251025448399769</v>
      </c>
      <c r="K43" s="188">
        <v>29.2</v>
      </c>
      <c r="L43" s="218">
        <f t="shared" si="5"/>
        <v>3.4876496383667899</v>
      </c>
      <c r="M43" s="218"/>
      <c r="N43" s="218"/>
      <c r="O43" s="218"/>
      <c r="P43" s="218"/>
      <c r="Q43" s="218"/>
      <c r="R43" s="218"/>
      <c r="S43" s="64"/>
    </row>
    <row r="44" spans="1:20" x14ac:dyDescent="0.25">
      <c r="A44" s="64" t="str">
        <f t="shared" si="0"/>
        <v>CIRF  101.6*4</v>
      </c>
      <c r="B44" s="163">
        <f t="shared" si="1"/>
        <v>9.6278505098974279</v>
      </c>
      <c r="C44" s="64">
        <v>101.6</v>
      </c>
      <c r="D44" s="64">
        <v>4</v>
      </c>
      <c r="E44" s="64"/>
      <c r="F44" s="64"/>
      <c r="G44" s="64"/>
      <c r="H44" s="163">
        <f t="shared" si="2"/>
        <v>12.264777719614557</v>
      </c>
      <c r="I44" s="163">
        <f t="shared" si="3"/>
        <v>146.28445681738671</v>
      </c>
      <c r="J44" s="163">
        <f t="shared" si="4"/>
        <v>28.796152916808406</v>
      </c>
      <c r="K44" s="188">
        <v>38.1</v>
      </c>
      <c r="L44" s="218">
        <f t="shared" si="5"/>
        <v>3.4535778549208933</v>
      </c>
      <c r="M44" s="218"/>
      <c r="N44" s="218"/>
      <c r="O44" s="218"/>
      <c r="P44" s="218"/>
      <c r="Q44" s="218"/>
      <c r="R44" s="218"/>
      <c r="S44" s="64"/>
    </row>
    <row r="45" spans="1:20" x14ac:dyDescent="0.25">
      <c r="A45" s="64" t="str">
        <f t="shared" si="0"/>
        <v>CIRF  101.6*5</v>
      </c>
      <c r="B45" s="163">
        <f t="shared" si="1"/>
        <v>11.91150562571838</v>
      </c>
      <c r="C45" s="64">
        <v>101.6</v>
      </c>
      <c r="D45" s="64">
        <v>5</v>
      </c>
      <c r="E45" s="64"/>
      <c r="F45" s="64"/>
      <c r="G45" s="64"/>
      <c r="H45" s="163">
        <f t="shared" si="2"/>
        <v>15.1738925168387</v>
      </c>
      <c r="I45" s="163">
        <f t="shared" si="3"/>
        <v>177.46929470919042</v>
      </c>
      <c r="J45" s="163">
        <f t="shared" si="4"/>
        <v>34.934900533305203</v>
      </c>
      <c r="K45" s="188">
        <v>46.7</v>
      </c>
      <c r="L45" s="218">
        <f t="shared" si="5"/>
        <v>3.4198976592874826</v>
      </c>
      <c r="M45" s="218"/>
      <c r="N45" s="218"/>
      <c r="O45" s="218"/>
      <c r="P45" s="218"/>
      <c r="Q45" s="218"/>
      <c r="R45" s="218"/>
      <c r="S45" s="64"/>
    </row>
    <row r="46" spans="1:20" x14ac:dyDescent="0.25">
      <c r="A46" s="64" t="str">
        <f t="shared" si="0"/>
        <v>CIRF  101.6*6</v>
      </c>
      <c r="B46" s="163">
        <f t="shared" si="1"/>
        <v>14.145837736877981</v>
      </c>
      <c r="C46" s="64">
        <v>101.6</v>
      </c>
      <c r="D46" s="64">
        <v>6</v>
      </c>
      <c r="E46" s="64"/>
      <c r="F46" s="64"/>
      <c r="G46" s="64"/>
      <c r="H46" s="163">
        <f t="shared" si="2"/>
        <v>18.020175460991059</v>
      </c>
      <c r="I46" s="163">
        <f t="shared" si="3"/>
        <v>206.67699639719865</v>
      </c>
      <c r="J46" s="163">
        <f t="shared" si="4"/>
        <v>40.684448109684773</v>
      </c>
      <c r="K46" s="188">
        <v>54.9</v>
      </c>
      <c r="L46" s="218">
        <f t="shared" si="5"/>
        <v>3.386620734596657</v>
      </c>
      <c r="M46" s="218"/>
      <c r="N46" s="218"/>
      <c r="O46" s="218"/>
      <c r="P46" s="218"/>
      <c r="Q46" s="218"/>
      <c r="R46" s="218"/>
      <c r="S46" s="64"/>
    </row>
    <row r="47" spans="1:20" x14ac:dyDescent="0.25">
      <c r="A47" s="64" t="str">
        <f t="shared" si="0"/>
        <v>CIRF  101.6*6.3</v>
      </c>
      <c r="B47" s="163">
        <f t="shared" si="1"/>
        <v>14.806519384316889</v>
      </c>
      <c r="C47" s="64">
        <v>101.6</v>
      </c>
      <c r="D47" s="64">
        <v>6.3</v>
      </c>
      <c r="E47" s="64"/>
      <c r="F47" s="64"/>
      <c r="G47" s="64"/>
      <c r="H47" s="163">
        <f t="shared" si="2"/>
        <v>18.861808132887756</v>
      </c>
      <c r="I47" s="163">
        <f t="shared" si="3"/>
        <v>215.06658023801609</v>
      </c>
      <c r="J47" s="163">
        <f t="shared" si="4"/>
        <v>42.335940991735448</v>
      </c>
      <c r="K47" s="188">
        <v>57.3</v>
      </c>
      <c r="L47" s="218">
        <f t="shared" si="5"/>
        <v>3.3767180812143613</v>
      </c>
      <c r="M47" s="218"/>
      <c r="N47" s="218"/>
      <c r="O47" s="218"/>
      <c r="P47" s="218"/>
      <c r="Q47" s="218"/>
      <c r="R47" s="218"/>
      <c r="S47" s="64"/>
    </row>
    <row r="48" spans="1:20" x14ac:dyDescent="0.25">
      <c r="A48" s="219" t="str">
        <f t="shared" si="0"/>
        <v>CIRF  114.3*2.5</v>
      </c>
      <c r="B48" s="168">
        <f t="shared" si="1"/>
        <v>6.8928899014250264</v>
      </c>
      <c r="C48" s="167">
        <v>114.3</v>
      </c>
      <c r="D48" s="167">
        <v>2.5</v>
      </c>
      <c r="E48" s="167"/>
      <c r="F48" s="167"/>
      <c r="G48" s="167"/>
      <c r="H48" s="168">
        <f t="shared" si="2"/>
        <v>8.7807514667834727</v>
      </c>
      <c r="I48" s="184">
        <f t="shared" si="3"/>
        <v>137.2594995754325</v>
      </c>
      <c r="J48" s="189">
        <f t="shared" si="4"/>
        <v>24.017410249419509</v>
      </c>
      <c r="K48" s="189">
        <v>31.3</v>
      </c>
      <c r="L48" s="220">
        <f t="shared" si="5"/>
        <v>3.9537150251377491</v>
      </c>
      <c r="M48" s="220"/>
      <c r="N48" s="220"/>
      <c r="O48" s="220"/>
      <c r="P48" s="220"/>
      <c r="Q48" s="220"/>
      <c r="R48" s="220"/>
      <c r="S48" s="167"/>
      <c r="T48" s="221"/>
    </row>
    <row r="49" spans="1:20" x14ac:dyDescent="0.25">
      <c r="A49" s="222" t="str">
        <f t="shared" si="0"/>
        <v>CIRF  114.3*3</v>
      </c>
      <c r="B49" s="174">
        <f t="shared" si="1"/>
        <v>8.2344756282140139</v>
      </c>
      <c r="C49" s="173">
        <v>114.3</v>
      </c>
      <c r="D49" s="173">
        <v>3</v>
      </c>
      <c r="E49" s="173"/>
      <c r="F49" s="173"/>
      <c r="G49" s="173"/>
      <c r="H49" s="174">
        <f t="shared" si="2"/>
        <v>10.489777870336322</v>
      </c>
      <c r="I49" s="185">
        <f t="shared" si="3"/>
        <v>162.54815553427449</v>
      </c>
      <c r="J49" s="190">
        <f t="shared" si="4"/>
        <v>28.442371922007784</v>
      </c>
      <c r="K49" s="190">
        <v>37.200000000000003</v>
      </c>
      <c r="L49" s="223">
        <f t="shared" si="5"/>
        <v>3.9364784389095795</v>
      </c>
      <c r="M49" s="223"/>
      <c r="N49" s="223"/>
      <c r="O49" s="223"/>
      <c r="P49" s="223"/>
      <c r="Q49" s="223"/>
      <c r="R49" s="223"/>
      <c r="S49" s="173"/>
      <c r="T49" s="224"/>
    </row>
    <row r="50" spans="1:20" x14ac:dyDescent="0.25">
      <c r="A50" s="222" t="str">
        <f t="shared" si="0"/>
        <v>CIRF  114.3*4</v>
      </c>
      <c r="B50" s="174">
        <f t="shared" si="1"/>
        <v>10.880654828295969</v>
      </c>
      <c r="C50" s="173">
        <v>114.3</v>
      </c>
      <c r="D50" s="173">
        <v>4</v>
      </c>
      <c r="E50" s="173"/>
      <c r="F50" s="173"/>
      <c r="G50" s="173"/>
      <c r="H50" s="174">
        <f t="shared" si="2"/>
        <v>13.860706787638176</v>
      </c>
      <c r="I50" s="185">
        <f t="shared" si="3"/>
        <v>211.06547193827393</v>
      </c>
      <c r="J50" s="190">
        <f t="shared" si="4"/>
        <v>36.931841109059306</v>
      </c>
      <c r="K50" s="190">
        <v>48.7</v>
      </c>
      <c r="L50" s="223">
        <f t="shared" si="5"/>
        <v>3.9022573595292251</v>
      </c>
      <c r="M50" s="223"/>
      <c r="N50" s="223"/>
      <c r="O50" s="223"/>
      <c r="P50" s="223"/>
      <c r="Q50" s="223"/>
      <c r="R50" s="223"/>
      <c r="S50" s="173"/>
      <c r="T50" s="224"/>
    </row>
    <row r="51" spans="1:20" x14ac:dyDescent="0.25">
      <c r="A51" s="222" t="str">
        <f t="shared" si="0"/>
        <v>CIRF  114.3*5</v>
      </c>
      <c r="B51" s="174">
        <f t="shared" si="1"/>
        <v>13.477511023716552</v>
      </c>
      <c r="C51" s="173">
        <v>114.3</v>
      </c>
      <c r="D51" s="173">
        <v>5</v>
      </c>
      <c r="E51" s="173"/>
      <c r="F51" s="173"/>
      <c r="G51" s="173"/>
      <c r="H51" s="174">
        <f t="shared" si="2"/>
        <v>17.168803851868219</v>
      </c>
      <c r="I51" s="185">
        <f t="shared" si="3"/>
        <v>256.92020453075236</v>
      </c>
      <c r="J51" s="190">
        <f t="shared" si="4"/>
        <v>44.955416365835937</v>
      </c>
      <c r="K51" s="190">
        <v>59.8</v>
      </c>
      <c r="L51" s="223">
        <f t="shared" si="5"/>
        <v>3.8683798288172273</v>
      </c>
      <c r="M51" s="223"/>
      <c r="N51" s="223"/>
      <c r="O51" s="223"/>
      <c r="P51" s="223"/>
      <c r="Q51" s="223"/>
      <c r="R51" s="223"/>
      <c r="S51" s="173"/>
      <c r="T51" s="224"/>
    </row>
    <row r="52" spans="1:20" x14ac:dyDescent="0.25">
      <c r="A52" s="222" t="str">
        <f t="shared" si="0"/>
        <v>CIRF  114.3*6</v>
      </c>
      <c r="B52" s="174">
        <f t="shared" si="1"/>
        <v>16.025044214475788</v>
      </c>
      <c r="C52" s="173">
        <v>114.3</v>
      </c>
      <c r="D52" s="173">
        <v>6</v>
      </c>
      <c r="E52" s="173"/>
      <c r="F52" s="173"/>
      <c r="G52" s="173"/>
      <c r="H52" s="174">
        <f t="shared" si="2"/>
        <v>20.414069063026481</v>
      </c>
      <c r="I52" s="185">
        <f t="shared" si="3"/>
        <v>300.211596223637</v>
      </c>
      <c r="J52" s="190">
        <f t="shared" si="4"/>
        <v>52.530463031257568</v>
      </c>
      <c r="K52" s="190">
        <v>70.400000000000006</v>
      </c>
      <c r="L52" s="223">
        <f t="shared" si="5"/>
        <v>3.8348549516246373</v>
      </c>
      <c r="M52" s="223"/>
      <c r="N52" s="223"/>
      <c r="O52" s="223"/>
      <c r="P52" s="223"/>
      <c r="Q52" s="223"/>
      <c r="R52" s="223"/>
      <c r="S52" s="173"/>
      <c r="T52" s="224"/>
    </row>
    <row r="53" spans="1:20" x14ac:dyDescent="0.25">
      <c r="A53" s="222" t="str">
        <f t="shared" si="0"/>
        <v>CIRF  114.3*6.3</v>
      </c>
      <c r="B53" s="174">
        <f t="shared" si="1"/>
        <v>16.779686185794581</v>
      </c>
      <c r="C53" s="173">
        <v>114.3</v>
      </c>
      <c r="D53" s="173">
        <v>6.3</v>
      </c>
      <c r="E53" s="173"/>
      <c r="F53" s="173"/>
      <c r="G53" s="173"/>
      <c r="H53" s="174">
        <f t="shared" si="2"/>
        <v>21.375396415024944</v>
      </c>
      <c r="I53" s="185">
        <f t="shared" si="3"/>
        <v>312.71376658570404</v>
      </c>
      <c r="J53" s="190">
        <f t="shared" si="4"/>
        <v>54.718069393823981</v>
      </c>
      <c r="K53" s="190">
        <v>73.599999999999994</v>
      </c>
      <c r="L53" s="223">
        <f t="shared" si="5"/>
        <v>3.8248676447689007</v>
      </c>
      <c r="M53" s="223"/>
      <c r="N53" s="223"/>
      <c r="O53" s="223"/>
      <c r="P53" s="223"/>
      <c r="Q53" s="223"/>
      <c r="R53" s="223"/>
      <c r="S53" s="173"/>
      <c r="T53" s="224"/>
    </row>
    <row r="54" spans="1:20" x14ac:dyDescent="0.25">
      <c r="A54" s="225" t="str">
        <f t="shared" si="0"/>
        <v>CIRF  114.3*8</v>
      </c>
      <c r="B54" s="180">
        <f t="shared" si="1"/>
        <v>20.972141582010167</v>
      </c>
      <c r="C54" s="179">
        <v>114.3</v>
      </c>
      <c r="D54" s="179">
        <v>8</v>
      </c>
      <c r="E54" s="179"/>
      <c r="F54" s="179"/>
      <c r="G54" s="179"/>
      <c r="H54" s="180">
        <f t="shared" si="2"/>
        <v>26.716103926127602</v>
      </c>
      <c r="I54" s="186">
        <f t="shared" si="3"/>
        <v>379.49190378037127</v>
      </c>
      <c r="J54" s="191">
        <f t="shared" si="4"/>
        <v>66.402782813713259</v>
      </c>
      <c r="K54" s="191">
        <v>90.6</v>
      </c>
      <c r="L54" s="226">
        <f t="shared" si="5"/>
        <v>3.7689007017962153</v>
      </c>
      <c r="M54" s="226"/>
      <c r="N54" s="226"/>
      <c r="O54" s="226"/>
      <c r="P54" s="226"/>
      <c r="Q54" s="226"/>
      <c r="R54" s="226"/>
      <c r="S54" s="179"/>
      <c r="T54" s="227"/>
    </row>
    <row r="55" spans="1:20" x14ac:dyDescent="0.25">
      <c r="A55" s="64" t="str">
        <f t="shared" si="0"/>
        <v>CIRF  139.7*3</v>
      </c>
      <c r="B55" s="163">
        <f t="shared" si="1"/>
        <v>10.113682105811804</v>
      </c>
      <c r="C55" s="64">
        <v>139.69999999999999</v>
      </c>
      <c r="D55" s="64">
        <v>3</v>
      </c>
      <c r="E55" s="64"/>
      <c r="F55" s="64"/>
      <c r="G55" s="64"/>
      <c r="H55" s="163">
        <f t="shared" si="2"/>
        <v>12.883671472371725</v>
      </c>
      <c r="I55" s="187">
        <f t="shared" si="3"/>
        <v>301.08963080449956</v>
      </c>
      <c r="J55" s="188">
        <f t="shared" si="4"/>
        <v>43.10517262770216</v>
      </c>
      <c r="K55" s="188">
        <v>56.1</v>
      </c>
      <c r="L55" s="218">
        <f t="shared" si="5"/>
        <v>4.8342385646552426</v>
      </c>
      <c r="M55" s="218"/>
      <c r="N55" s="218"/>
      <c r="O55" s="218"/>
      <c r="P55" s="218"/>
      <c r="Q55" s="218"/>
      <c r="R55" s="218"/>
      <c r="S55" s="64"/>
    </row>
    <row r="56" spans="1:20" x14ac:dyDescent="0.25">
      <c r="A56" s="64" t="str">
        <f t="shared" si="0"/>
        <v>CIRF  139.7*4</v>
      </c>
      <c r="B56" s="163">
        <f t="shared" si="1"/>
        <v>13.386263465093041</v>
      </c>
      <c r="C56" s="64">
        <v>139.69999999999999</v>
      </c>
      <c r="D56" s="64">
        <v>4</v>
      </c>
      <c r="E56" s="64"/>
      <c r="F56" s="64"/>
      <c r="G56" s="64"/>
      <c r="H56" s="163">
        <f t="shared" si="2"/>
        <v>17.052564923685402</v>
      </c>
      <c r="I56" s="187">
        <f t="shared" si="3"/>
        <v>392.85890912541822</v>
      </c>
      <c r="J56" s="188">
        <f t="shared" si="4"/>
        <v>56.243222494691231</v>
      </c>
      <c r="K56" s="188">
        <v>73.7</v>
      </c>
      <c r="L56" s="218">
        <f t="shared" si="5"/>
        <v>4.7998033813897001</v>
      </c>
      <c r="M56" s="218"/>
      <c r="N56" s="218"/>
      <c r="O56" s="218"/>
      <c r="P56" s="218"/>
      <c r="Q56" s="218"/>
      <c r="R56" s="218"/>
      <c r="S56" s="64"/>
    </row>
    <row r="57" spans="1:20" x14ac:dyDescent="0.25">
      <c r="A57" s="64" t="str">
        <f t="shared" si="0"/>
        <v>CIRF  139.7*5</v>
      </c>
      <c r="B57" s="163">
        <f t="shared" si="1"/>
        <v>16.609521819712896</v>
      </c>
      <c r="C57" s="64">
        <v>139.69999999999999</v>
      </c>
      <c r="D57" s="64">
        <v>5</v>
      </c>
      <c r="E57" s="64"/>
      <c r="F57" s="64"/>
      <c r="G57" s="64"/>
      <c r="H57" s="163">
        <f t="shared" si="2"/>
        <v>21.158626521927257</v>
      </c>
      <c r="I57" s="187">
        <f t="shared" si="3"/>
        <v>480.54123694160398</v>
      </c>
      <c r="J57" s="188">
        <f t="shared" si="4"/>
        <v>68.796168495576808</v>
      </c>
      <c r="K57" s="188">
        <v>90.8</v>
      </c>
      <c r="L57" s="218">
        <f t="shared" si="5"/>
        <v>4.7656439753720576</v>
      </c>
      <c r="M57" s="218"/>
      <c r="N57" s="218"/>
      <c r="O57" s="218"/>
      <c r="P57" s="218"/>
      <c r="Q57" s="218"/>
      <c r="R57" s="218"/>
      <c r="S57" s="64"/>
    </row>
    <row r="58" spans="1:20" x14ac:dyDescent="0.25">
      <c r="A58" s="64" t="str">
        <f t="shared" si="0"/>
        <v>CIRF  139.7*6</v>
      </c>
      <c r="B58" s="163">
        <f t="shared" si="1"/>
        <v>19.783457169671394</v>
      </c>
      <c r="C58" s="64">
        <v>139.69999999999999</v>
      </c>
      <c r="D58" s="64">
        <v>6</v>
      </c>
      <c r="E58" s="64"/>
      <c r="F58" s="64"/>
      <c r="G58" s="64"/>
      <c r="H58" s="163">
        <f t="shared" si="2"/>
        <v>25.201856267097316</v>
      </c>
      <c r="I58" s="187">
        <f t="shared" si="3"/>
        <v>564.25979610100524</v>
      </c>
      <c r="J58" s="188">
        <f t="shared" si="4"/>
        <v>80.781645826915579</v>
      </c>
      <c r="K58" s="228">
        <v>107</v>
      </c>
      <c r="L58" s="218">
        <f t="shared" si="5"/>
        <v>4.7317663192511938</v>
      </c>
      <c r="M58" s="218"/>
      <c r="N58" s="218"/>
      <c r="O58" s="218"/>
      <c r="P58" s="218"/>
      <c r="Q58" s="218"/>
      <c r="R58" s="218"/>
      <c r="S58" s="64"/>
    </row>
    <row r="59" spans="1:20" x14ac:dyDescent="0.25">
      <c r="A59" s="64" t="str">
        <f t="shared" si="0"/>
        <v>CIRF  139.7*6.3</v>
      </c>
      <c r="B59" s="163">
        <f t="shared" si="1"/>
        <v>20.726019788749973</v>
      </c>
      <c r="C59" s="64">
        <v>139.69999999999999</v>
      </c>
      <c r="D59" s="64">
        <v>6.3</v>
      </c>
      <c r="E59" s="64"/>
      <c r="F59" s="64"/>
      <c r="G59" s="64"/>
      <c r="H59" s="163">
        <f t="shared" si="2"/>
        <v>26.402572979299325</v>
      </c>
      <c r="I59" s="187">
        <f t="shared" si="3"/>
        <v>588.62061216131019</v>
      </c>
      <c r="J59" s="188">
        <f t="shared" si="4"/>
        <v>84.269235814074477</v>
      </c>
      <c r="K59" s="228">
        <v>112</v>
      </c>
      <c r="L59" s="218">
        <f t="shared" si="5"/>
        <v>4.7216588716255217</v>
      </c>
      <c r="M59" s="218"/>
      <c r="N59" s="218"/>
      <c r="O59" s="218"/>
      <c r="P59" s="218"/>
      <c r="Q59" s="218"/>
      <c r="R59" s="218"/>
      <c r="S59" s="64"/>
    </row>
    <row r="60" spans="1:20" x14ac:dyDescent="0.25">
      <c r="A60" s="64" t="str">
        <f t="shared" si="0"/>
        <v>CIRF  139.7*8</v>
      </c>
      <c r="B60" s="163">
        <f t="shared" si="1"/>
        <v>25.983358855604315</v>
      </c>
      <c r="C60" s="64">
        <v>139.69999999999999</v>
      </c>
      <c r="D60" s="64">
        <v>8</v>
      </c>
      <c r="E60" s="64"/>
      <c r="F60" s="64"/>
      <c r="G60" s="64"/>
      <c r="H60" s="163">
        <f t="shared" si="2"/>
        <v>33.099820198222055</v>
      </c>
      <c r="I60" s="187">
        <f t="shared" si="3"/>
        <v>720.28891106328228</v>
      </c>
      <c r="J60" s="188">
        <f t="shared" si="4"/>
        <v>103.11938597899533</v>
      </c>
      <c r="K60" s="228">
        <v>139</v>
      </c>
      <c r="L60" s="218">
        <f t="shared" si="5"/>
        <v>4.6648807594621315</v>
      </c>
      <c r="M60" s="218"/>
      <c r="N60" s="218"/>
      <c r="O60" s="218"/>
      <c r="P60" s="218"/>
      <c r="Q60" s="218"/>
      <c r="R60" s="218"/>
      <c r="S60" s="64"/>
    </row>
    <row r="61" spans="1:20" x14ac:dyDescent="0.25">
      <c r="A61" s="64" t="str">
        <f t="shared" si="0"/>
        <v>CIRF  139.7*10</v>
      </c>
      <c r="B61" s="163">
        <f t="shared" si="1"/>
        <v>31.985968522891806</v>
      </c>
      <c r="C61" s="64">
        <v>139.69999999999999</v>
      </c>
      <c r="D61" s="64">
        <v>10</v>
      </c>
      <c r="E61" s="64"/>
      <c r="F61" s="64"/>
      <c r="G61" s="64"/>
      <c r="H61" s="163">
        <f t="shared" si="2"/>
        <v>40.746456717059623</v>
      </c>
      <c r="I61" s="187">
        <f t="shared" si="3"/>
        <v>861.894009683984</v>
      </c>
      <c r="J61" s="188">
        <f t="shared" si="4"/>
        <v>123.39212737064912</v>
      </c>
      <c r="K61" s="228">
        <v>169</v>
      </c>
      <c r="L61" s="218">
        <f t="shared" si="5"/>
        <v>4.5991969407712903</v>
      </c>
      <c r="M61" s="218"/>
      <c r="N61" s="218"/>
      <c r="O61" s="218"/>
      <c r="P61" s="218"/>
      <c r="Q61" s="218"/>
      <c r="R61" s="218"/>
      <c r="S61" s="64"/>
    </row>
    <row r="62" spans="1:20" x14ac:dyDescent="0.25">
      <c r="A62" s="219" t="str">
        <f t="shared" si="0"/>
        <v>CIRF  168.3*3</v>
      </c>
      <c r="B62" s="168">
        <f t="shared" si="1"/>
        <v>12.229639005784142</v>
      </c>
      <c r="C62" s="167">
        <v>168.3</v>
      </c>
      <c r="D62" s="167">
        <v>3</v>
      </c>
      <c r="E62" s="167"/>
      <c r="F62" s="167"/>
      <c r="G62" s="167"/>
      <c r="H62" s="168">
        <f t="shared" si="2"/>
        <v>15.579157969151773</v>
      </c>
      <c r="I62" s="184">
        <f t="shared" si="3"/>
        <v>532.28315861880367</v>
      </c>
      <c r="J62" s="189">
        <f t="shared" si="4"/>
        <v>63.254088962424674</v>
      </c>
      <c r="K62" s="229">
        <v>82</v>
      </c>
      <c r="L62" s="220">
        <f t="shared" si="5"/>
        <v>5.8451999538082546</v>
      </c>
      <c r="M62" s="220"/>
      <c r="N62" s="220"/>
      <c r="O62" s="220"/>
      <c r="P62" s="220"/>
      <c r="Q62" s="220"/>
      <c r="R62" s="220"/>
      <c r="S62" s="167"/>
      <c r="T62" s="221"/>
    </row>
    <row r="63" spans="1:20" x14ac:dyDescent="0.25">
      <c r="A63" s="222" t="str">
        <f t="shared" si="0"/>
        <v>CIRF  168.3*4</v>
      </c>
      <c r="B63" s="174">
        <f t="shared" si="1"/>
        <v>16.20753933172281</v>
      </c>
      <c r="C63" s="173">
        <v>168.3</v>
      </c>
      <c r="D63" s="173">
        <v>4</v>
      </c>
      <c r="E63" s="173"/>
      <c r="F63" s="173"/>
      <c r="G63" s="173"/>
      <c r="H63" s="174">
        <f t="shared" si="2"/>
        <v>20.646546919392112</v>
      </c>
      <c r="I63" s="185">
        <f t="shared" si="3"/>
        <v>697.09168637596451</v>
      </c>
      <c r="J63" s="190">
        <f t="shared" si="4"/>
        <v>82.839178416632734</v>
      </c>
      <c r="K63" s="230">
        <v>108</v>
      </c>
      <c r="L63" s="223">
        <f t="shared" si="5"/>
        <v>5.8106034540312601</v>
      </c>
      <c r="M63" s="223"/>
      <c r="N63" s="223"/>
      <c r="O63" s="223"/>
      <c r="P63" s="223"/>
      <c r="Q63" s="223"/>
      <c r="R63" s="223"/>
      <c r="S63" s="173"/>
      <c r="T63" s="224"/>
    </row>
    <row r="64" spans="1:20" x14ac:dyDescent="0.25">
      <c r="A64" s="222" t="str">
        <f t="shared" si="0"/>
        <v>CIRF  168.3*5</v>
      </c>
      <c r="B64" s="174">
        <f t="shared" si="1"/>
        <v>20.136116653000119</v>
      </c>
      <c r="C64" s="173">
        <v>168.3</v>
      </c>
      <c r="D64" s="173">
        <v>5</v>
      </c>
      <c r="E64" s="173"/>
      <c r="F64" s="173"/>
      <c r="G64" s="173"/>
      <c r="H64" s="174">
        <f t="shared" si="2"/>
        <v>25.651104016560662</v>
      </c>
      <c r="I64" s="185">
        <f t="shared" si="3"/>
        <v>855.84555848574439</v>
      </c>
      <c r="J64" s="190">
        <f t="shared" si="4"/>
        <v>101.70476036669569</v>
      </c>
      <c r="K64" s="230">
        <v>133</v>
      </c>
      <c r="L64" s="223">
        <f t="shared" si="5"/>
        <v>5.7762325524514688</v>
      </c>
      <c r="M64" s="223"/>
      <c r="N64" s="223"/>
      <c r="O64" s="223"/>
      <c r="P64" s="223"/>
      <c r="Q64" s="223"/>
      <c r="R64" s="223"/>
      <c r="S64" s="173"/>
      <c r="T64" s="224"/>
    </row>
    <row r="65" spans="1:20" x14ac:dyDescent="0.25">
      <c r="A65" s="222" t="str">
        <f t="shared" si="0"/>
        <v>CIRF  168.3*6</v>
      </c>
      <c r="B65" s="174">
        <f t="shared" si="1"/>
        <v>24.015370969616072</v>
      </c>
      <c r="C65" s="173">
        <v>168.3</v>
      </c>
      <c r="D65" s="173">
        <v>6</v>
      </c>
      <c r="E65" s="173"/>
      <c r="F65" s="173"/>
      <c r="G65" s="173"/>
      <c r="H65" s="174">
        <f t="shared" si="2"/>
        <v>30.592829260657414</v>
      </c>
      <c r="I65" s="185">
        <f t="shared" si="3"/>
        <v>1008.6949116610583</v>
      </c>
      <c r="J65" s="190">
        <f t="shared" si="4"/>
        <v>119.86867637089225</v>
      </c>
      <c r="K65" s="230">
        <v>158</v>
      </c>
      <c r="L65" s="223">
        <f t="shared" si="5"/>
        <v>5.742091300214585</v>
      </c>
      <c r="M65" s="223"/>
      <c r="N65" s="223"/>
      <c r="O65" s="223"/>
      <c r="P65" s="223"/>
      <c r="Q65" s="223"/>
      <c r="R65" s="223"/>
      <c r="S65" s="173"/>
      <c r="T65" s="224"/>
    </row>
    <row r="66" spans="1:20" x14ac:dyDescent="0.25">
      <c r="A66" s="222" t="str">
        <f t="shared" si="0"/>
        <v>CIRF  168.3*6.3</v>
      </c>
      <c r="B66" s="174">
        <f t="shared" si="1"/>
        <v>25.169529278691872</v>
      </c>
      <c r="C66" s="173">
        <v>168.3</v>
      </c>
      <c r="D66" s="173">
        <v>6.3</v>
      </c>
      <c r="E66" s="173"/>
      <c r="F66" s="173"/>
      <c r="G66" s="173"/>
      <c r="H66" s="174">
        <f t="shared" si="2"/>
        <v>32.063094622537413</v>
      </c>
      <c r="I66" s="185">
        <f t="shared" si="3"/>
        <v>1053.4205493743011</v>
      </c>
      <c r="J66" s="190">
        <f t="shared" si="4"/>
        <v>125.1836659981344</v>
      </c>
      <c r="K66" s="230">
        <v>165</v>
      </c>
      <c r="L66" s="223">
        <f t="shared" si="5"/>
        <v>5.7318943203796096</v>
      </c>
      <c r="M66" s="223"/>
      <c r="N66" s="223"/>
      <c r="O66" s="223"/>
      <c r="P66" s="223"/>
      <c r="Q66" s="223"/>
      <c r="R66" s="223"/>
      <c r="S66" s="173"/>
      <c r="T66" s="224"/>
    </row>
    <row r="67" spans="1:20" x14ac:dyDescent="0.25">
      <c r="A67" s="222" t="str">
        <f t="shared" si="0"/>
        <v>CIRF  168.3*8</v>
      </c>
      <c r="B67" s="174">
        <f t="shared" si="1"/>
        <v>31.625910588863864</v>
      </c>
      <c r="C67" s="173">
        <v>168.3</v>
      </c>
      <c r="D67" s="173">
        <v>8</v>
      </c>
      <c r="E67" s="173"/>
      <c r="F67" s="173"/>
      <c r="G67" s="173"/>
      <c r="H67" s="174">
        <f t="shared" si="2"/>
        <v>40.287784189635495</v>
      </c>
      <c r="I67" s="185">
        <f t="shared" si="3"/>
        <v>1297.271183281985</v>
      </c>
      <c r="J67" s="190">
        <f t="shared" si="4"/>
        <v>154.16175677741947</v>
      </c>
      <c r="K67" s="230">
        <v>206</v>
      </c>
      <c r="L67" s="223">
        <f t="shared" si="5"/>
        <v>5.6745142963957731</v>
      </c>
      <c r="M67" s="223"/>
      <c r="N67" s="223"/>
      <c r="O67" s="223"/>
      <c r="P67" s="223"/>
      <c r="Q67" s="223"/>
      <c r="R67" s="223"/>
      <c r="S67" s="173"/>
      <c r="T67" s="224"/>
    </row>
    <row r="68" spans="1:20" x14ac:dyDescent="0.25">
      <c r="A68" s="225" t="str">
        <f t="shared" ref="A68:A131" si="6">$B$3&amp;"  "&amp;C68&amp;"*"&amp;D68</f>
        <v>CIRF  168.3*10</v>
      </c>
      <c r="B68" s="180">
        <f t="shared" ref="B68:B131" si="7">H68*0.785</f>
        <v>39.039158189466249</v>
      </c>
      <c r="C68" s="179">
        <v>168.3</v>
      </c>
      <c r="D68" s="179">
        <v>10</v>
      </c>
      <c r="E68" s="179"/>
      <c r="F68" s="179"/>
      <c r="G68" s="179"/>
      <c r="H68" s="180">
        <f t="shared" ref="H68:H131" si="8">(C68^2-(C68-2*D68)^2)*PI()*0.01/4</f>
        <v>49.731411706326426</v>
      </c>
      <c r="I68" s="186">
        <f t="shared" ref="I68:I131" si="9">(C68^4-(C68-2*D68)^4)*PI()*0.0001/64</f>
        <v>1563.9838958302241</v>
      </c>
      <c r="J68" s="191">
        <f t="shared" ref="J68:J131" si="10">I68/(C68*0.5*0.1)</f>
        <v>185.85667211292025</v>
      </c>
      <c r="K68" s="231">
        <v>251</v>
      </c>
      <c r="L68" s="226">
        <f t="shared" ref="L68:L131" si="11">SQRT(I68/H68)</f>
        <v>5.6079062492163692</v>
      </c>
      <c r="M68" s="226"/>
      <c r="N68" s="226"/>
      <c r="O68" s="226"/>
      <c r="P68" s="226"/>
      <c r="Q68" s="226"/>
      <c r="R68" s="226"/>
      <c r="S68" s="179"/>
      <c r="T68" s="227"/>
    </row>
    <row r="69" spans="1:20" x14ac:dyDescent="0.25">
      <c r="A69" s="64" t="str">
        <f t="shared" si="6"/>
        <v>CIRF  177.8*4</v>
      </c>
      <c r="B69" s="163">
        <f t="shared" si="7"/>
        <v>17.144676420288647</v>
      </c>
      <c r="C69" s="64">
        <v>177.8</v>
      </c>
      <c r="D69" s="64">
        <v>4</v>
      </c>
      <c r="E69" s="64"/>
      <c r="F69" s="64"/>
      <c r="G69" s="64"/>
      <c r="H69" s="163">
        <f t="shared" si="8"/>
        <v>21.840352127756237</v>
      </c>
      <c r="I69" s="187">
        <f t="shared" si="9"/>
        <v>825.08591469998191</v>
      </c>
      <c r="J69" s="188">
        <f t="shared" si="10"/>
        <v>92.810564083237551</v>
      </c>
      <c r="K69" s="228">
        <v>121</v>
      </c>
      <c r="L69" s="218">
        <f t="shared" si="11"/>
        <v>6.1463851164729357</v>
      </c>
      <c r="M69" s="218"/>
      <c r="N69" s="218"/>
      <c r="O69" s="218"/>
      <c r="P69" s="218"/>
      <c r="Q69" s="218"/>
      <c r="R69" s="218"/>
      <c r="S69" s="64"/>
    </row>
    <row r="70" spans="1:20" x14ac:dyDescent="0.25">
      <c r="A70" s="64" t="str">
        <f t="shared" si="6"/>
        <v>CIRF  177.8*5</v>
      </c>
      <c r="B70" s="163">
        <f t="shared" si="7"/>
        <v>21.307538013707415</v>
      </c>
      <c r="C70" s="64">
        <v>177.8</v>
      </c>
      <c r="D70" s="64">
        <v>5</v>
      </c>
      <c r="E70" s="64"/>
      <c r="F70" s="64"/>
      <c r="G70" s="64"/>
      <c r="H70" s="163">
        <f t="shared" si="8"/>
        <v>27.143360527015812</v>
      </c>
      <c r="I70" s="187">
        <f t="shared" si="9"/>
        <v>1013.9687330152292</v>
      </c>
      <c r="J70" s="188">
        <f t="shared" si="10"/>
        <v>114.05722531104939</v>
      </c>
      <c r="K70" s="228">
        <v>149</v>
      </c>
      <c r="L70" s="218">
        <f t="shared" si="11"/>
        <v>6.1119595875627324</v>
      </c>
      <c r="M70" s="218"/>
      <c r="N70" s="218"/>
      <c r="O70" s="218"/>
      <c r="P70" s="218"/>
      <c r="Q70" s="218"/>
      <c r="R70" s="218"/>
      <c r="S70" s="64"/>
    </row>
    <row r="71" spans="1:20" x14ac:dyDescent="0.25">
      <c r="A71" s="64" t="str">
        <f t="shared" si="6"/>
        <v>CIRF  177.8*6</v>
      </c>
      <c r="B71" s="163">
        <f t="shared" si="7"/>
        <v>25.421076602464819</v>
      </c>
      <c r="C71" s="64">
        <v>177.8</v>
      </c>
      <c r="D71" s="64">
        <v>6</v>
      </c>
      <c r="E71" s="64"/>
      <c r="F71" s="64"/>
      <c r="G71" s="64"/>
      <c r="H71" s="163">
        <f t="shared" si="8"/>
        <v>32.383537073203591</v>
      </c>
      <c r="I71" s="187">
        <f t="shared" si="9"/>
        <v>1196.2170951239211</v>
      </c>
      <c r="J71" s="188">
        <f t="shared" si="10"/>
        <v>134.55760350100348</v>
      </c>
      <c r="K71" s="228">
        <v>177</v>
      </c>
      <c r="L71" s="218">
        <f t="shared" si="11"/>
        <v>6.0777504061947134</v>
      </c>
      <c r="M71" s="218"/>
      <c r="N71" s="218"/>
      <c r="O71" s="218"/>
      <c r="P71" s="218"/>
      <c r="Q71" s="218"/>
      <c r="R71" s="218"/>
      <c r="S71" s="64"/>
    </row>
    <row r="72" spans="1:20" x14ac:dyDescent="0.25">
      <c r="A72" s="64" t="str">
        <f t="shared" si="6"/>
        <v>CIRF  177.8*6.3</v>
      </c>
      <c r="B72" s="163">
        <f t="shared" si="7"/>
        <v>26.645520193183067</v>
      </c>
      <c r="C72" s="64">
        <v>177.8</v>
      </c>
      <c r="D72" s="64">
        <v>6.3</v>
      </c>
      <c r="E72" s="64"/>
      <c r="F72" s="64"/>
      <c r="G72" s="64"/>
      <c r="H72" s="163">
        <f t="shared" si="8"/>
        <v>33.943337825710913</v>
      </c>
      <c r="I72" s="187">
        <f t="shared" si="9"/>
        <v>1249.6214363032107</v>
      </c>
      <c r="J72" s="188">
        <f t="shared" si="10"/>
        <v>140.56484097898883</v>
      </c>
      <c r="K72" s="228">
        <v>185</v>
      </c>
      <c r="L72" s="218">
        <f t="shared" si="11"/>
        <v>6.0675303872333437</v>
      </c>
      <c r="M72" s="218"/>
      <c r="N72" s="218"/>
      <c r="O72" s="218"/>
      <c r="P72" s="218"/>
      <c r="Q72" s="218"/>
      <c r="R72" s="218"/>
      <c r="S72" s="64"/>
    </row>
    <row r="73" spans="1:20" x14ac:dyDescent="0.25">
      <c r="A73" s="64" t="str">
        <f t="shared" si="6"/>
        <v>CIRF  177.8*8</v>
      </c>
      <c r="B73" s="163">
        <f t="shared" si="7"/>
        <v>33.500184765995527</v>
      </c>
      <c r="C73" s="64">
        <v>177.8</v>
      </c>
      <c r="D73" s="64">
        <v>8</v>
      </c>
      <c r="E73" s="64"/>
      <c r="F73" s="64"/>
      <c r="G73" s="64"/>
      <c r="H73" s="163">
        <f t="shared" si="8"/>
        <v>42.675394606363731</v>
      </c>
      <c r="I73" s="187">
        <f t="shared" si="9"/>
        <v>1541.4373869515891</v>
      </c>
      <c r="J73" s="188">
        <f t="shared" si="10"/>
        <v>173.39003227801902</v>
      </c>
      <c r="K73" s="228">
        <v>231</v>
      </c>
      <c r="L73" s="218">
        <f t="shared" si="11"/>
        <v>6.0099958402647848</v>
      </c>
      <c r="M73" s="218"/>
      <c r="N73" s="218"/>
      <c r="O73" s="218"/>
      <c r="P73" s="218"/>
      <c r="Q73" s="218"/>
      <c r="R73" s="218"/>
      <c r="S73" s="64"/>
    </row>
    <row r="74" spans="1:20" x14ac:dyDescent="0.25">
      <c r="A74" s="64" t="str">
        <f t="shared" si="6"/>
        <v>CIRF  177.8*10</v>
      </c>
      <c r="B74" s="163">
        <f t="shared" si="7"/>
        <v>41.382000910880834</v>
      </c>
      <c r="C74" s="64">
        <v>177.8</v>
      </c>
      <c r="D74" s="64">
        <v>10</v>
      </c>
      <c r="E74" s="64"/>
      <c r="F74" s="64"/>
      <c r="G74" s="64"/>
      <c r="H74" s="163">
        <f t="shared" si="8"/>
        <v>52.715924727236725</v>
      </c>
      <c r="I74" s="187">
        <f t="shared" si="9"/>
        <v>1861.9818130869653</v>
      </c>
      <c r="J74" s="188">
        <f t="shared" si="10"/>
        <v>209.44677312564289</v>
      </c>
      <c r="K74" s="228">
        <v>282</v>
      </c>
      <c r="L74" s="218">
        <f t="shared" si="11"/>
        <v>5.9431515208683692</v>
      </c>
      <c r="M74" s="218"/>
      <c r="N74" s="218"/>
      <c r="O74" s="218"/>
      <c r="P74" s="218"/>
      <c r="Q74" s="218"/>
      <c r="R74" s="218"/>
      <c r="S74" s="64"/>
    </row>
    <row r="75" spans="1:20" x14ac:dyDescent="0.25">
      <c r="A75" s="64" t="str">
        <f t="shared" si="6"/>
        <v>CIRF  177.8*12</v>
      </c>
      <c r="B75" s="163">
        <f t="shared" si="7"/>
        <v>49.066525037120691</v>
      </c>
      <c r="C75" s="64">
        <v>177.8</v>
      </c>
      <c r="D75" s="64">
        <v>12</v>
      </c>
      <c r="E75" s="64"/>
      <c r="F75" s="64"/>
      <c r="G75" s="64"/>
      <c r="H75" s="163">
        <f t="shared" si="8"/>
        <v>62.505127435822537</v>
      </c>
      <c r="I75" s="187">
        <f t="shared" si="9"/>
        <v>2159.0552371445538</v>
      </c>
      <c r="J75" s="188">
        <f t="shared" si="10"/>
        <v>242.86335625922987</v>
      </c>
      <c r="K75" s="228">
        <v>330</v>
      </c>
      <c r="L75" s="218">
        <f t="shared" si="11"/>
        <v>5.8772485058911705</v>
      </c>
      <c r="M75" s="218"/>
      <c r="N75" s="218"/>
      <c r="O75" s="218"/>
      <c r="P75" s="218"/>
      <c r="Q75" s="218"/>
      <c r="R75" s="218"/>
      <c r="S75" s="64"/>
    </row>
    <row r="76" spans="1:20" x14ac:dyDescent="0.25">
      <c r="A76" s="64" t="str">
        <f t="shared" si="6"/>
        <v>CIRF  177.8*12.5</v>
      </c>
      <c r="B76" s="163">
        <f t="shared" si="7"/>
        <v>50.956829190767301</v>
      </c>
      <c r="C76" s="64">
        <v>177.8</v>
      </c>
      <c r="D76" s="64">
        <v>12.5</v>
      </c>
      <c r="E76" s="64"/>
      <c r="F76" s="64"/>
      <c r="G76" s="64"/>
      <c r="H76" s="163">
        <f t="shared" si="8"/>
        <v>64.913158204799103</v>
      </c>
      <c r="I76" s="187">
        <f t="shared" si="9"/>
        <v>2229.7945724270867</v>
      </c>
      <c r="J76" s="188">
        <f t="shared" si="10"/>
        <v>250.82053683094335</v>
      </c>
      <c r="K76" s="228">
        <v>342</v>
      </c>
      <c r="L76" s="218">
        <f t="shared" si="11"/>
        <v>5.8609235620335474</v>
      </c>
      <c r="M76" s="218"/>
      <c r="N76" s="218"/>
      <c r="O76" s="218"/>
      <c r="P76" s="218"/>
      <c r="Q76" s="218"/>
      <c r="R76" s="218"/>
      <c r="S76" s="64"/>
    </row>
    <row r="77" spans="1:20" x14ac:dyDescent="0.25">
      <c r="A77" s="219" t="str">
        <f t="shared" si="6"/>
        <v>CIRF  193.7*4</v>
      </c>
      <c r="B77" s="168">
        <f t="shared" si="7"/>
        <v>18.71314796851987</v>
      </c>
      <c r="C77" s="167">
        <v>193.7</v>
      </c>
      <c r="D77" s="167">
        <v>4</v>
      </c>
      <c r="E77" s="167"/>
      <c r="F77" s="167"/>
      <c r="G77" s="167"/>
      <c r="H77" s="168">
        <f t="shared" si="8"/>
        <v>23.838405055439324</v>
      </c>
      <c r="I77" s="184">
        <f t="shared" si="9"/>
        <v>1072.7905053279765</v>
      </c>
      <c r="J77" s="184">
        <f t="shared" si="10"/>
        <v>110.76825042106107</v>
      </c>
      <c r="K77" s="229">
        <v>144</v>
      </c>
      <c r="L77" s="220">
        <f t="shared" si="11"/>
        <v>6.7083986539262845</v>
      </c>
      <c r="M77" s="220"/>
      <c r="N77" s="220"/>
      <c r="O77" s="220"/>
      <c r="P77" s="220"/>
      <c r="Q77" s="220"/>
      <c r="R77" s="220"/>
      <c r="S77" s="167"/>
      <c r="T77" s="221"/>
    </row>
    <row r="78" spans="1:20" x14ac:dyDescent="0.25">
      <c r="A78" s="222" t="str">
        <f t="shared" si="6"/>
        <v>CIRF  193.7*5</v>
      </c>
      <c r="B78" s="174">
        <f t="shared" si="7"/>
        <v>23.268127448996463</v>
      </c>
      <c r="C78" s="173">
        <v>193.7</v>
      </c>
      <c r="D78" s="173">
        <v>5</v>
      </c>
      <c r="E78" s="173"/>
      <c r="F78" s="173"/>
      <c r="G78" s="173"/>
      <c r="H78" s="174">
        <f t="shared" si="8"/>
        <v>29.640926686619697</v>
      </c>
      <c r="I78" s="185">
        <f t="shared" si="9"/>
        <v>1320.232439921308</v>
      </c>
      <c r="J78" s="185">
        <f t="shared" si="10"/>
        <v>136.31723695625277</v>
      </c>
      <c r="K78" s="230">
        <v>178</v>
      </c>
      <c r="L78" s="223">
        <f t="shared" si="11"/>
        <v>6.6738941031454777</v>
      </c>
      <c r="M78" s="223"/>
      <c r="N78" s="223"/>
      <c r="O78" s="223"/>
      <c r="P78" s="223"/>
      <c r="Q78" s="223"/>
      <c r="R78" s="223"/>
      <c r="S78" s="173"/>
      <c r="T78" s="224"/>
    </row>
    <row r="79" spans="1:20" x14ac:dyDescent="0.25">
      <c r="A79" s="222" t="str">
        <f t="shared" si="6"/>
        <v>CIRF  193.7*6</v>
      </c>
      <c r="B79" s="174">
        <f t="shared" si="7"/>
        <v>27.773783924811649</v>
      </c>
      <c r="C79" s="173">
        <v>193.7</v>
      </c>
      <c r="D79" s="173">
        <v>6</v>
      </c>
      <c r="E79" s="173"/>
      <c r="F79" s="173"/>
      <c r="G79" s="173"/>
      <c r="H79" s="174">
        <f t="shared" si="8"/>
        <v>35.380616464728213</v>
      </c>
      <c r="I79" s="185">
        <f t="shared" si="9"/>
        <v>1559.7230765504301</v>
      </c>
      <c r="J79" s="185">
        <f t="shared" si="10"/>
        <v>161.04523247810326</v>
      </c>
      <c r="K79" s="230">
        <v>211</v>
      </c>
      <c r="L79" s="223">
        <f t="shared" si="11"/>
        <v>6.6395867717803023</v>
      </c>
      <c r="M79" s="223"/>
      <c r="N79" s="223"/>
      <c r="O79" s="223"/>
      <c r="P79" s="223"/>
      <c r="Q79" s="223"/>
      <c r="R79" s="223"/>
      <c r="S79" s="173"/>
      <c r="T79" s="224"/>
    </row>
    <row r="80" spans="1:20" x14ac:dyDescent="0.25">
      <c r="A80" s="222" t="str">
        <f t="shared" si="6"/>
        <v>CIRF  193.7*6.3</v>
      </c>
      <c r="B80" s="174">
        <f t="shared" si="7"/>
        <v>29.115862881647249</v>
      </c>
      <c r="C80" s="173">
        <v>193.7</v>
      </c>
      <c r="D80" s="173">
        <v>6.3</v>
      </c>
      <c r="E80" s="173"/>
      <c r="F80" s="173"/>
      <c r="G80" s="173"/>
      <c r="H80" s="174">
        <f t="shared" si="8"/>
        <v>37.090271186811783</v>
      </c>
      <c r="I80" s="185">
        <f t="shared" si="9"/>
        <v>1630.0455562599525</v>
      </c>
      <c r="J80" s="185">
        <f t="shared" si="10"/>
        <v>168.3062009561128</v>
      </c>
      <c r="K80" s="230">
        <v>221</v>
      </c>
      <c r="L80" s="223">
        <f t="shared" si="11"/>
        <v>6.629333488368192</v>
      </c>
      <c r="M80" s="223"/>
      <c r="N80" s="223"/>
      <c r="O80" s="223"/>
      <c r="P80" s="223"/>
      <c r="Q80" s="223"/>
      <c r="R80" s="223"/>
      <c r="S80" s="173"/>
      <c r="T80" s="224"/>
    </row>
    <row r="81" spans="1:20" x14ac:dyDescent="0.25">
      <c r="A81" s="222" t="str">
        <f t="shared" si="6"/>
        <v>CIRF  193.7*8</v>
      </c>
      <c r="B81" s="174">
        <f t="shared" si="7"/>
        <v>36.637127862458009</v>
      </c>
      <c r="C81" s="173">
        <v>193.7</v>
      </c>
      <c r="D81" s="173">
        <v>8</v>
      </c>
      <c r="E81" s="173"/>
      <c r="F81" s="173"/>
      <c r="G81" s="173"/>
      <c r="H81" s="174">
        <f t="shared" si="8"/>
        <v>46.671500461729948</v>
      </c>
      <c r="I81" s="185">
        <f t="shared" si="9"/>
        <v>2015.5373337338401</v>
      </c>
      <c r="J81" s="185">
        <f t="shared" si="10"/>
        <v>208.10917230086113</v>
      </c>
      <c r="K81" s="230">
        <v>276</v>
      </c>
      <c r="L81" s="223">
        <f t="shared" si="11"/>
        <v>6.5715761047103447</v>
      </c>
      <c r="M81" s="223"/>
      <c r="N81" s="223"/>
      <c r="O81" s="223"/>
      <c r="P81" s="223"/>
      <c r="Q81" s="223"/>
      <c r="R81" s="223"/>
      <c r="S81" s="173"/>
      <c r="T81" s="224"/>
    </row>
    <row r="82" spans="1:20" x14ac:dyDescent="0.25">
      <c r="A82" s="222" t="str">
        <f t="shared" si="6"/>
        <v>CIRF  193.7*10</v>
      </c>
      <c r="B82" s="174">
        <f t="shared" si="7"/>
        <v>45.303179781458937</v>
      </c>
      <c r="C82" s="173">
        <v>193.7</v>
      </c>
      <c r="D82" s="173">
        <v>10</v>
      </c>
      <c r="E82" s="173"/>
      <c r="F82" s="173"/>
      <c r="G82" s="173"/>
      <c r="H82" s="174">
        <f t="shared" si="8"/>
        <v>57.711057046444502</v>
      </c>
      <c r="I82" s="185">
        <f t="shared" si="9"/>
        <v>2441.5881829578443</v>
      </c>
      <c r="J82" s="185">
        <f t="shared" si="10"/>
        <v>252.09996726461995</v>
      </c>
      <c r="K82" s="230">
        <v>338</v>
      </c>
      <c r="L82" s="223">
        <f t="shared" si="11"/>
        <v>6.504391785555355</v>
      </c>
      <c r="M82" s="223"/>
      <c r="N82" s="223"/>
      <c r="O82" s="223"/>
      <c r="P82" s="223"/>
      <c r="Q82" s="223"/>
      <c r="R82" s="223"/>
      <c r="S82" s="173"/>
      <c r="T82" s="224"/>
    </row>
    <row r="83" spans="1:20" x14ac:dyDescent="0.25">
      <c r="A83" s="222" t="str">
        <f t="shared" si="6"/>
        <v>CIRF  193.7*12</v>
      </c>
      <c r="B83" s="174">
        <f t="shared" si="7"/>
        <v>53.771939681814402</v>
      </c>
      <c r="C83" s="173">
        <v>193.7</v>
      </c>
      <c r="D83" s="173">
        <v>12</v>
      </c>
      <c r="E83" s="173"/>
      <c r="F83" s="173"/>
      <c r="G83" s="173"/>
      <c r="H83" s="174">
        <f t="shared" si="8"/>
        <v>68.499286218871845</v>
      </c>
      <c r="I83" s="185">
        <f t="shared" si="9"/>
        <v>2839.2003710126087</v>
      </c>
      <c r="J83" s="185">
        <f t="shared" si="10"/>
        <v>293.15440072406903</v>
      </c>
      <c r="K83" s="230">
        <v>397</v>
      </c>
      <c r="L83" s="223">
        <f t="shared" si="11"/>
        <v>6.4380596844080271</v>
      </c>
      <c r="M83" s="223"/>
      <c r="N83" s="223"/>
      <c r="O83" s="223"/>
      <c r="P83" s="223"/>
      <c r="Q83" s="223"/>
      <c r="R83" s="223"/>
      <c r="S83" s="173"/>
      <c r="T83" s="224"/>
    </row>
    <row r="84" spans="1:20" x14ac:dyDescent="0.25">
      <c r="A84" s="225" t="str">
        <f t="shared" si="6"/>
        <v>CIRF  193.7*12.5</v>
      </c>
      <c r="B84" s="180">
        <f t="shared" si="7"/>
        <v>55.858302778989916</v>
      </c>
      <c r="C84" s="179">
        <v>193.7</v>
      </c>
      <c r="D84" s="179">
        <v>12.5</v>
      </c>
      <c r="E84" s="179"/>
      <c r="F84" s="179"/>
      <c r="G84" s="179"/>
      <c r="H84" s="180">
        <f t="shared" si="8"/>
        <v>71.157073603808811</v>
      </c>
      <c r="I84" s="186">
        <f t="shared" si="9"/>
        <v>2934.3122493710439</v>
      </c>
      <c r="J84" s="186">
        <f t="shared" si="10"/>
        <v>302.97493540227606</v>
      </c>
      <c r="K84" s="231">
        <v>411</v>
      </c>
      <c r="L84" s="226">
        <f t="shared" si="11"/>
        <v>6.4216129204429624</v>
      </c>
      <c r="M84" s="226"/>
      <c r="N84" s="226"/>
      <c r="O84" s="226"/>
      <c r="P84" s="226"/>
      <c r="Q84" s="226"/>
      <c r="R84" s="226"/>
      <c r="S84" s="179"/>
      <c r="T84" s="227"/>
    </row>
    <row r="85" spans="1:20" x14ac:dyDescent="0.25">
      <c r="A85" s="64" t="str">
        <f t="shared" si="6"/>
        <v>CIRF  219.1*4</v>
      </c>
      <c r="B85" s="163">
        <f t="shared" si="7"/>
        <v>21.218756605316958</v>
      </c>
      <c r="C85" s="64">
        <v>219.1</v>
      </c>
      <c r="D85" s="64">
        <v>4</v>
      </c>
      <c r="E85" s="64"/>
      <c r="F85" s="64"/>
      <c r="G85" s="64"/>
      <c r="H85" s="163">
        <f t="shared" si="8"/>
        <v>27.030263191486569</v>
      </c>
      <c r="I85" s="187">
        <f t="shared" si="9"/>
        <v>1563.8362148217459</v>
      </c>
      <c r="J85" s="187">
        <f t="shared" si="10"/>
        <v>142.7509096140343</v>
      </c>
      <c r="K85" s="228">
        <v>185</v>
      </c>
      <c r="L85" s="218">
        <f t="shared" si="11"/>
        <v>7.6062482539028409</v>
      </c>
      <c r="M85" s="218"/>
      <c r="N85" s="218"/>
      <c r="O85" s="218"/>
      <c r="P85" s="218"/>
      <c r="Q85" s="218"/>
      <c r="R85" s="218"/>
      <c r="S85" s="64"/>
    </row>
    <row r="86" spans="1:20" x14ac:dyDescent="0.25">
      <c r="A86" s="64" t="str">
        <f t="shared" si="6"/>
        <v>CIRF  219.1*5</v>
      </c>
      <c r="B86" s="163">
        <f t="shared" si="7"/>
        <v>26.400138244992807</v>
      </c>
      <c r="C86" s="64">
        <v>219.1</v>
      </c>
      <c r="D86" s="64">
        <v>5</v>
      </c>
      <c r="E86" s="64"/>
      <c r="F86" s="64"/>
      <c r="G86" s="64"/>
      <c r="H86" s="163">
        <f t="shared" si="8"/>
        <v>33.630749356678734</v>
      </c>
      <c r="I86" s="187">
        <f t="shared" si="9"/>
        <v>1928.0428733154195</v>
      </c>
      <c r="J86" s="187">
        <f t="shared" si="10"/>
        <v>175.99661098269462</v>
      </c>
      <c r="K86" s="228">
        <v>229</v>
      </c>
      <c r="L86" s="218">
        <f t="shared" si="11"/>
        <v>7.5716419949704434</v>
      </c>
      <c r="M86" s="218"/>
      <c r="N86" s="218"/>
      <c r="O86" s="218"/>
      <c r="P86" s="218"/>
      <c r="Q86" s="218"/>
      <c r="R86" s="218"/>
      <c r="S86" s="64"/>
    </row>
    <row r="87" spans="1:20" x14ac:dyDescent="0.25">
      <c r="A87" s="64" t="str">
        <f t="shared" si="6"/>
        <v>CIRF  219.1*6</v>
      </c>
      <c r="B87" s="163">
        <f t="shared" si="7"/>
        <v>31.532196880007302</v>
      </c>
      <c r="C87" s="64">
        <v>219.1</v>
      </c>
      <c r="D87" s="64">
        <v>6</v>
      </c>
      <c r="E87" s="64"/>
      <c r="F87" s="64"/>
      <c r="G87" s="64"/>
      <c r="H87" s="163">
        <f t="shared" si="8"/>
        <v>40.168403668799108</v>
      </c>
      <c r="I87" s="187">
        <f t="shared" si="9"/>
        <v>2281.9474303276893</v>
      </c>
      <c r="J87" s="187">
        <f t="shared" si="10"/>
        <v>208.3019105730433</v>
      </c>
      <c r="K87" s="228">
        <v>273</v>
      </c>
      <c r="L87" s="218">
        <f t="shared" si="11"/>
        <v>7.5372085349949032</v>
      </c>
      <c r="M87" s="218"/>
      <c r="N87" s="218"/>
      <c r="O87" s="218"/>
      <c r="P87" s="218"/>
      <c r="Q87" s="218"/>
      <c r="R87" s="218"/>
      <c r="S87" s="64"/>
    </row>
    <row r="88" spans="1:20" x14ac:dyDescent="0.25">
      <c r="A88" s="64" t="str">
        <f t="shared" si="6"/>
        <v>CIRF  219.1*6.3</v>
      </c>
      <c r="B88" s="163">
        <f t="shared" si="7"/>
        <v>33.062196484602651</v>
      </c>
      <c r="C88" s="64">
        <v>219.1</v>
      </c>
      <c r="D88" s="64">
        <v>6.3</v>
      </c>
      <c r="E88" s="64"/>
      <c r="F88" s="64"/>
      <c r="G88" s="64"/>
      <c r="H88" s="163">
        <f t="shared" si="8"/>
        <v>42.117447751086182</v>
      </c>
      <c r="I88" s="187">
        <f t="shared" si="9"/>
        <v>2386.139258337234</v>
      </c>
      <c r="J88" s="187">
        <f t="shared" si="10"/>
        <v>217.81280313438921</v>
      </c>
      <c r="K88" s="228">
        <v>285</v>
      </c>
      <c r="L88" s="218">
        <f t="shared" si="11"/>
        <v>7.5269125476519259</v>
      </c>
      <c r="M88" s="218"/>
      <c r="N88" s="218"/>
      <c r="O88" s="218"/>
      <c r="P88" s="218"/>
      <c r="Q88" s="218"/>
      <c r="R88" s="218"/>
      <c r="S88" s="64"/>
    </row>
    <row r="89" spans="1:20" x14ac:dyDescent="0.25">
      <c r="A89" s="64" t="str">
        <f t="shared" si="6"/>
        <v>CIRF  219.1*8</v>
      </c>
      <c r="B89" s="163">
        <f t="shared" si="7"/>
        <v>41.648345136052157</v>
      </c>
      <c r="C89" s="64">
        <v>219.1</v>
      </c>
      <c r="D89" s="64">
        <v>8</v>
      </c>
      <c r="E89" s="64"/>
      <c r="F89" s="64"/>
      <c r="G89" s="64"/>
      <c r="H89" s="163">
        <f t="shared" si="8"/>
        <v>53.055216733824402</v>
      </c>
      <c r="I89" s="187">
        <f t="shared" si="9"/>
        <v>2959.63287346987</v>
      </c>
      <c r="J89" s="187">
        <f t="shared" si="10"/>
        <v>270.16274518209678</v>
      </c>
      <c r="K89" s="228">
        <v>357</v>
      </c>
      <c r="L89" s="218">
        <f t="shared" si="11"/>
        <v>7.468869559712501</v>
      </c>
      <c r="M89" s="218"/>
      <c r="N89" s="218"/>
      <c r="O89" s="218"/>
      <c r="P89" s="218"/>
      <c r="Q89" s="218"/>
      <c r="R89" s="218"/>
      <c r="S89" s="64"/>
    </row>
    <row r="90" spans="1:20" x14ac:dyDescent="0.25">
      <c r="A90" s="64" t="str">
        <f t="shared" si="6"/>
        <v>CIRF  219.1*10</v>
      </c>
      <c r="B90" s="163">
        <f t="shared" si="7"/>
        <v>51.567201373451624</v>
      </c>
      <c r="C90" s="64">
        <v>219.1</v>
      </c>
      <c r="D90" s="64">
        <v>10</v>
      </c>
      <c r="E90" s="64"/>
      <c r="F90" s="64"/>
      <c r="G90" s="64"/>
      <c r="H90" s="163">
        <f t="shared" si="8"/>
        <v>65.690702386562577</v>
      </c>
      <c r="I90" s="187">
        <f t="shared" si="9"/>
        <v>3598.4389618160981</v>
      </c>
      <c r="J90" s="187">
        <f t="shared" si="10"/>
        <v>328.474574332825</v>
      </c>
      <c r="K90" s="228">
        <v>438</v>
      </c>
      <c r="L90" s="218">
        <f t="shared" si="11"/>
        <v>7.4012507388954196</v>
      </c>
      <c r="M90" s="218"/>
      <c r="N90" s="218"/>
      <c r="O90" s="218"/>
      <c r="P90" s="218"/>
      <c r="Q90" s="218"/>
      <c r="R90" s="218"/>
      <c r="S90" s="64"/>
    </row>
    <row r="91" spans="1:20" x14ac:dyDescent="0.25">
      <c r="A91" s="64" t="str">
        <f t="shared" si="6"/>
        <v>CIRF  219.1*12</v>
      </c>
      <c r="B91" s="163">
        <f t="shared" si="7"/>
        <v>61.28876559220565</v>
      </c>
      <c r="C91" s="64">
        <v>219.1</v>
      </c>
      <c r="D91" s="64">
        <v>12</v>
      </c>
      <c r="E91" s="64"/>
      <c r="F91" s="64"/>
      <c r="G91" s="64"/>
      <c r="H91" s="163">
        <f t="shared" si="8"/>
        <v>78.074860627013564</v>
      </c>
      <c r="I91" s="187">
        <f t="shared" si="9"/>
        <v>4199.8819536446981</v>
      </c>
      <c r="J91" s="187">
        <f t="shared" si="10"/>
        <v>383.37580590093091</v>
      </c>
      <c r="K91" s="228">
        <v>515</v>
      </c>
      <c r="L91" s="218">
        <f t="shared" si="11"/>
        <v>7.3343719908387515</v>
      </c>
      <c r="M91" s="218"/>
      <c r="N91" s="218"/>
      <c r="O91" s="218"/>
      <c r="P91" s="218"/>
      <c r="Q91" s="218"/>
      <c r="R91" s="218"/>
      <c r="S91" s="64"/>
    </row>
    <row r="92" spans="1:20" x14ac:dyDescent="0.25">
      <c r="A92" s="64" t="str">
        <f t="shared" si="6"/>
        <v>CIRF  219.1*12.5</v>
      </c>
      <c r="B92" s="163">
        <f t="shared" si="7"/>
        <v>63.688329768980779</v>
      </c>
      <c r="C92" s="64">
        <v>219.1</v>
      </c>
      <c r="D92" s="64">
        <v>12.5</v>
      </c>
      <c r="E92" s="64"/>
      <c r="F92" s="64"/>
      <c r="G92" s="64"/>
      <c r="H92" s="163">
        <f t="shared" si="8"/>
        <v>81.131630278956408</v>
      </c>
      <c r="I92" s="187">
        <f t="shared" si="9"/>
        <v>4344.5795326759244</v>
      </c>
      <c r="J92" s="187">
        <f t="shared" si="10"/>
        <v>396.58416546562523</v>
      </c>
      <c r="K92" s="228">
        <v>534</v>
      </c>
      <c r="L92" s="218">
        <f t="shared" si="11"/>
        <v>7.3177703229877338</v>
      </c>
      <c r="M92" s="218"/>
      <c r="N92" s="218"/>
      <c r="O92" s="218"/>
      <c r="P92" s="218"/>
      <c r="Q92" s="218"/>
      <c r="R92" s="218"/>
      <c r="S92" s="64"/>
    </row>
    <row r="93" spans="1:20" x14ac:dyDescent="0.25">
      <c r="A93" s="219" t="str">
        <f t="shared" si="6"/>
        <v>CIRF  244.5*5</v>
      </c>
      <c r="B93" s="168">
        <f t="shared" si="7"/>
        <v>29.532149040989154</v>
      </c>
      <c r="C93" s="167">
        <v>244.5</v>
      </c>
      <c r="D93" s="167">
        <v>5</v>
      </c>
      <c r="E93" s="167"/>
      <c r="F93" s="167"/>
      <c r="G93" s="167"/>
      <c r="H93" s="168">
        <f t="shared" si="8"/>
        <v>37.620572026737776</v>
      </c>
      <c r="I93" s="184">
        <f t="shared" si="9"/>
        <v>2698.5824136216925</v>
      </c>
      <c r="J93" s="184">
        <f t="shared" si="10"/>
        <v>220.74293771956582</v>
      </c>
      <c r="K93" s="229">
        <v>287</v>
      </c>
      <c r="L93" s="220">
        <f t="shared" si="11"/>
        <v>8.4694487719095388</v>
      </c>
      <c r="M93" s="220"/>
      <c r="N93" s="220"/>
      <c r="O93" s="220"/>
      <c r="P93" s="220"/>
      <c r="Q93" s="220"/>
      <c r="R93" s="220"/>
      <c r="S93" s="167"/>
      <c r="T93" s="221"/>
    </row>
    <row r="94" spans="1:20" x14ac:dyDescent="0.25">
      <c r="A94" s="222" t="str">
        <f t="shared" si="6"/>
        <v>CIRF  244.5*6</v>
      </c>
      <c r="B94" s="174">
        <f t="shared" si="7"/>
        <v>35.290609835202901</v>
      </c>
      <c r="C94" s="173">
        <v>244.5</v>
      </c>
      <c r="D94" s="173">
        <v>6</v>
      </c>
      <c r="E94" s="173"/>
      <c r="F94" s="173"/>
      <c r="G94" s="173"/>
      <c r="H94" s="174">
        <f t="shared" si="8"/>
        <v>44.956190872869939</v>
      </c>
      <c r="I94" s="185">
        <f t="shared" si="9"/>
        <v>3198.5346389371621</v>
      </c>
      <c r="J94" s="185">
        <f t="shared" si="10"/>
        <v>261.63882527093347</v>
      </c>
      <c r="K94" s="230">
        <v>341</v>
      </c>
      <c r="L94" s="223">
        <f t="shared" si="11"/>
        <v>8.4349162710722858</v>
      </c>
      <c r="M94" s="223"/>
      <c r="N94" s="223"/>
      <c r="O94" s="223"/>
      <c r="P94" s="223"/>
      <c r="Q94" s="223"/>
      <c r="R94" s="223"/>
      <c r="S94" s="173"/>
      <c r="T94" s="224"/>
    </row>
    <row r="95" spans="1:20" x14ac:dyDescent="0.25">
      <c r="A95" s="222" t="str">
        <f t="shared" si="6"/>
        <v>CIRF  244.5*6.3</v>
      </c>
      <c r="B95" s="174">
        <f t="shared" si="7"/>
        <v>37.008530087558064</v>
      </c>
      <c r="C95" s="173">
        <v>244.5</v>
      </c>
      <c r="D95" s="173">
        <v>6.3</v>
      </c>
      <c r="E95" s="173"/>
      <c r="F95" s="173"/>
      <c r="G95" s="173"/>
      <c r="H95" s="174">
        <f t="shared" si="8"/>
        <v>47.144624315360588</v>
      </c>
      <c r="I95" s="185">
        <f t="shared" si="9"/>
        <v>3346.0266548476966</v>
      </c>
      <c r="J95" s="185">
        <f t="shared" si="10"/>
        <v>273.7036118484823</v>
      </c>
      <c r="K95" s="230">
        <v>358</v>
      </c>
      <c r="L95" s="223">
        <f t="shared" si="11"/>
        <v>8.4245867851189011</v>
      </c>
      <c r="M95" s="223"/>
      <c r="N95" s="223"/>
      <c r="O95" s="223"/>
      <c r="P95" s="223"/>
      <c r="Q95" s="223"/>
      <c r="R95" s="223"/>
      <c r="S95" s="173"/>
      <c r="T95" s="224"/>
    </row>
    <row r="96" spans="1:20" x14ac:dyDescent="0.25">
      <c r="A96" s="222" t="str">
        <f t="shared" si="6"/>
        <v>CIRF  244.5*8</v>
      </c>
      <c r="B96" s="174">
        <f t="shared" si="7"/>
        <v>46.659562409646334</v>
      </c>
      <c r="C96" s="173">
        <v>244.5</v>
      </c>
      <c r="D96" s="173">
        <v>8</v>
      </c>
      <c r="E96" s="173"/>
      <c r="F96" s="173"/>
      <c r="G96" s="173"/>
      <c r="H96" s="174">
        <f t="shared" si="8"/>
        <v>59.438933005918891</v>
      </c>
      <c r="I96" s="185">
        <f t="shared" si="9"/>
        <v>4160.4466904158571</v>
      </c>
      <c r="J96" s="185">
        <f t="shared" si="10"/>
        <v>340.32283766182877</v>
      </c>
      <c r="K96" s="230">
        <v>448</v>
      </c>
      <c r="L96" s="223">
        <f t="shared" si="11"/>
        <v>8.3663201289455813</v>
      </c>
      <c r="M96" s="223"/>
      <c r="N96" s="223"/>
      <c r="O96" s="223"/>
      <c r="P96" s="223"/>
      <c r="Q96" s="223"/>
      <c r="R96" s="223"/>
      <c r="S96" s="173"/>
      <c r="T96" s="224"/>
    </row>
    <row r="97" spans="1:20" x14ac:dyDescent="0.25">
      <c r="A97" s="222" t="str">
        <f t="shared" si="6"/>
        <v>CIRF  244.5*10</v>
      </c>
      <c r="B97" s="174">
        <f t="shared" si="7"/>
        <v>57.831222965444312</v>
      </c>
      <c r="C97" s="173">
        <v>244.5</v>
      </c>
      <c r="D97" s="173">
        <v>10</v>
      </c>
      <c r="E97" s="173"/>
      <c r="F97" s="173"/>
      <c r="G97" s="173"/>
      <c r="H97" s="174">
        <f t="shared" si="8"/>
        <v>73.670347726680646</v>
      </c>
      <c r="I97" s="185">
        <f t="shared" si="9"/>
        <v>5073.1473423122106</v>
      </c>
      <c r="J97" s="185">
        <f t="shared" si="10"/>
        <v>414.98137769425028</v>
      </c>
      <c r="K97" s="230">
        <v>550</v>
      </c>
      <c r="L97" s="223">
        <f t="shared" si="11"/>
        <v>8.2983620371733604</v>
      </c>
      <c r="M97" s="223"/>
      <c r="N97" s="223"/>
      <c r="O97" s="223"/>
      <c r="P97" s="223"/>
      <c r="Q97" s="223"/>
      <c r="R97" s="223"/>
      <c r="S97" s="173"/>
      <c r="T97" s="224"/>
    </row>
    <row r="98" spans="1:20" x14ac:dyDescent="0.25">
      <c r="A98" s="222" t="str">
        <f t="shared" si="6"/>
        <v>CIRF  244.5*12</v>
      </c>
      <c r="B98" s="174">
        <f t="shared" si="7"/>
        <v>68.805591502596855</v>
      </c>
      <c r="C98" s="173">
        <v>244.5</v>
      </c>
      <c r="D98" s="173">
        <v>12</v>
      </c>
      <c r="E98" s="173"/>
      <c r="F98" s="173"/>
      <c r="G98" s="173"/>
      <c r="H98" s="174">
        <f t="shared" si="8"/>
        <v>87.650435035155226</v>
      </c>
      <c r="I98" s="185">
        <f t="shared" si="9"/>
        <v>5938.3443643927149</v>
      </c>
      <c r="J98" s="185">
        <f t="shared" si="10"/>
        <v>485.75414023662285</v>
      </c>
      <c r="K98" s="230">
        <v>649</v>
      </c>
      <c r="L98" s="223">
        <f t="shared" si="11"/>
        <v>8.2310577995783749</v>
      </c>
      <c r="M98" s="223"/>
      <c r="N98" s="223"/>
      <c r="O98" s="223"/>
      <c r="P98" s="223"/>
      <c r="Q98" s="223"/>
      <c r="R98" s="223"/>
      <c r="S98" s="173"/>
      <c r="T98" s="224"/>
    </row>
    <row r="99" spans="1:20" x14ac:dyDescent="0.25">
      <c r="A99" s="225" t="str">
        <f t="shared" si="6"/>
        <v>CIRF  244.5*12.5</v>
      </c>
      <c r="B99" s="180">
        <f t="shared" si="7"/>
        <v>71.518356758971649</v>
      </c>
      <c r="C99" s="179">
        <v>244.5</v>
      </c>
      <c r="D99" s="179">
        <v>12.5</v>
      </c>
      <c r="E99" s="179"/>
      <c r="F99" s="179"/>
      <c r="G99" s="179"/>
      <c r="H99" s="180">
        <f t="shared" si="8"/>
        <v>91.106186954104004</v>
      </c>
      <c r="I99" s="186">
        <f t="shared" si="9"/>
        <v>6147.4184354115905</v>
      </c>
      <c r="J99" s="186">
        <f t="shared" si="10"/>
        <v>502.85631373509938</v>
      </c>
      <c r="K99" s="231">
        <v>673</v>
      </c>
      <c r="L99" s="226">
        <f t="shared" si="11"/>
        <v>8.2143357917728199</v>
      </c>
      <c r="M99" s="226"/>
      <c r="N99" s="226"/>
      <c r="O99" s="226"/>
      <c r="P99" s="226"/>
      <c r="Q99" s="226"/>
      <c r="R99" s="226"/>
      <c r="S99" s="179"/>
      <c r="T99" s="227"/>
    </row>
    <row r="100" spans="1:20" x14ac:dyDescent="0.25">
      <c r="A100" s="64" t="str">
        <f t="shared" si="6"/>
        <v>CIRF  273*5</v>
      </c>
      <c r="B100" s="163">
        <f t="shared" si="7"/>
        <v>33.04641312311103</v>
      </c>
      <c r="C100" s="64">
        <v>273</v>
      </c>
      <c r="D100" s="64">
        <v>5</v>
      </c>
      <c r="E100" s="64"/>
      <c r="F100" s="64"/>
      <c r="G100" s="64"/>
      <c r="H100" s="163">
        <f t="shared" si="8"/>
        <v>42.097341558103224</v>
      </c>
      <c r="I100" s="187">
        <f t="shared" si="9"/>
        <v>3780.8148670101987</v>
      </c>
      <c r="J100" s="187">
        <f t="shared" si="10"/>
        <v>276.98277413994128</v>
      </c>
      <c r="K100" s="228">
        <v>359</v>
      </c>
      <c r="L100" s="218">
        <f t="shared" si="11"/>
        <v>9.4768797607651436</v>
      </c>
      <c r="M100" s="218"/>
      <c r="N100" s="218"/>
      <c r="O100" s="218"/>
      <c r="P100" s="218"/>
      <c r="Q100" s="218"/>
      <c r="R100" s="218"/>
      <c r="S100" s="64"/>
    </row>
    <row r="101" spans="1:20" x14ac:dyDescent="0.25">
      <c r="A101" s="64" t="str">
        <f t="shared" si="6"/>
        <v>CIRF  273*6</v>
      </c>
      <c r="B101" s="163">
        <f t="shared" si="7"/>
        <v>39.507726733749166</v>
      </c>
      <c r="C101" s="64">
        <v>273</v>
      </c>
      <c r="D101" s="64">
        <v>6</v>
      </c>
      <c r="E101" s="64"/>
      <c r="F101" s="64"/>
      <c r="G101" s="64"/>
      <c r="H101" s="163">
        <f t="shared" si="8"/>
        <v>50.328314310508489</v>
      </c>
      <c r="I101" s="187">
        <f t="shared" si="9"/>
        <v>4487.0837727462722</v>
      </c>
      <c r="J101" s="187">
        <f t="shared" si="10"/>
        <v>328.72408591547781</v>
      </c>
      <c r="K101" s="228">
        <v>428</v>
      </c>
      <c r="L101" s="218">
        <f t="shared" si="11"/>
        <v>9.442258734010629</v>
      </c>
      <c r="M101" s="218"/>
      <c r="N101" s="218"/>
      <c r="O101" s="218"/>
      <c r="P101" s="218"/>
      <c r="Q101" s="218"/>
      <c r="R101" s="218"/>
      <c r="S101" s="64"/>
    </row>
    <row r="102" spans="1:20" x14ac:dyDescent="0.25">
      <c r="A102" s="64" t="str">
        <f t="shared" si="6"/>
        <v>CIRF  273*6.3</v>
      </c>
      <c r="B102" s="163">
        <f t="shared" si="7"/>
        <v>41.436502831031703</v>
      </c>
      <c r="C102" s="64">
        <v>273</v>
      </c>
      <c r="D102" s="64">
        <v>6.3</v>
      </c>
      <c r="E102" s="64"/>
      <c r="F102" s="64"/>
      <c r="G102" s="64"/>
      <c r="H102" s="163">
        <f t="shared" si="8"/>
        <v>52.78535392488115</v>
      </c>
      <c r="I102" s="187">
        <f t="shared" si="9"/>
        <v>4695.8233545390203</v>
      </c>
      <c r="J102" s="187">
        <f t="shared" si="10"/>
        <v>344.01636296989159</v>
      </c>
      <c r="K102" s="228">
        <v>448</v>
      </c>
      <c r="L102" s="218">
        <f t="shared" si="11"/>
        <v>9.4318993315238444</v>
      </c>
      <c r="M102" s="218"/>
      <c r="N102" s="218"/>
      <c r="O102" s="218"/>
      <c r="P102" s="218"/>
      <c r="Q102" s="218"/>
      <c r="R102" s="218"/>
      <c r="S102" s="64"/>
    </row>
    <row r="103" spans="1:20" x14ac:dyDescent="0.25">
      <c r="A103" s="64" t="str">
        <f t="shared" si="6"/>
        <v>CIRF  273*8</v>
      </c>
      <c r="B103" s="163">
        <f t="shared" si="7"/>
        <v>52.282384941041343</v>
      </c>
      <c r="C103" s="64">
        <v>273</v>
      </c>
      <c r="D103" s="64">
        <v>8</v>
      </c>
      <c r="E103" s="64"/>
      <c r="F103" s="64"/>
      <c r="G103" s="64"/>
      <c r="H103" s="163">
        <f t="shared" si="8"/>
        <v>66.601764256103621</v>
      </c>
      <c r="I103" s="187">
        <f t="shared" si="9"/>
        <v>5851.7142597465836</v>
      </c>
      <c r="J103" s="187">
        <f t="shared" si="10"/>
        <v>428.6970153660501</v>
      </c>
      <c r="K103" s="228">
        <v>562</v>
      </c>
      <c r="L103" s="218">
        <f t="shared" si="11"/>
        <v>9.3734332024077496</v>
      </c>
      <c r="M103" s="218"/>
      <c r="N103" s="218"/>
      <c r="O103" s="218"/>
      <c r="P103" s="218"/>
      <c r="Q103" s="218"/>
      <c r="R103" s="218"/>
      <c r="S103" s="64"/>
    </row>
    <row r="104" spans="1:20" x14ac:dyDescent="0.25">
      <c r="A104" s="64" t="str">
        <f t="shared" si="6"/>
        <v>CIRF  273*10</v>
      </c>
      <c r="B104" s="163">
        <f t="shared" si="7"/>
        <v>64.859751129688078</v>
      </c>
      <c r="C104" s="64">
        <v>273</v>
      </c>
      <c r="D104" s="64">
        <v>10</v>
      </c>
      <c r="E104" s="64"/>
      <c r="F104" s="64"/>
      <c r="G104" s="64"/>
      <c r="H104" s="163">
        <f t="shared" si="8"/>
        <v>82.623886789411557</v>
      </c>
      <c r="I104" s="187">
        <f t="shared" si="9"/>
        <v>7154.0925175196871</v>
      </c>
      <c r="J104" s="187">
        <f t="shared" si="10"/>
        <v>524.10934194283425</v>
      </c>
      <c r="K104" s="228">
        <v>692</v>
      </c>
      <c r="L104" s="218">
        <f t="shared" si="11"/>
        <v>9.3051732923143362</v>
      </c>
      <c r="M104" s="218"/>
      <c r="N104" s="218"/>
      <c r="O104" s="218"/>
      <c r="P104" s="218"/>
      <c r="Q104" s="218"/>
      <c r="R104" s="218"/>
      <c r="S104" s="64"/>
    </row>
    <row r="105" spans="1:20" x14ac:dyDescent="0.25">
      <c r="A105" s="64" t="str">
        <f t="shared" si="6"/>
        <v>CIRF  273*12</v>
      </c>
      <c r="B105" s="163">
        <f t="shared" si="7"/>
        <v>77.239825299689372</v>
      </c>
      <c r="C105" s="64">
        <v>273</v>
      </c>
      <c r="D105" s="64">
        <v>12</v>
      </c>
      <c r="E105" s="64"/>
      <c r="F105" s="64"/>
      <c r="G105" s="64"/>
      <c r="H105" s="163">
        <f t="shared" si="8"/>
        <v>98.394681910432325</v>
      </c>
      <c r="I105" s="187">
        <f t="shared" si="9"/>
        <v>8396.1412007695781</v>
      </c>
      <c r="J105" s="187">
        <f t="shared" si="10"/>
        <v>615.10191947029875</v>
      </c>
      <c r="K105" s="228">
        <v>818</v>
      </c>
      <c r="L105" s="218">
        <f t="shared" si="11"/>
        <v>9.2374915426212976</v>
      </c>
      <c r="M105" s="218"/>
      <c r="N105" s="218"/>
      <c r="O105" s="218"/>
      <c r="P105" s="218"/>
      <c r="Q105" s="218"/>
      <c r="R105" s="218"/>
      <c r="S105" s="64"/>
    </row>
    <row r="106" spans="1:20" x14ac:dyDescent="0.25">
      <c r="A106" s="64" t="str">
        <f t="shared" si="6"/>
        <v>CIRF  273*12.5</v>
      </c>
      <c r="B106" s="163">
        <f t="shared" si="7"/>
        <v>80.304016964276343</v>
      </c>
      <c r="C106" s="64">
        <v>273</v>
      </c>
      <c r="D106" s="64">
        <v>12.5</v>
      </c>
      <c r="E106" s="64"/>
      <c r="F106" s="64"/>
      <c r="G106" s="64"/>
      <c r="H106" s="163">
        <f t="shared" si="8"/>
        <v>102.29811078251764</v>
      </c>
      <c r="I106" s="187">
        <f t="shared" si="9"/>
        <v>8697.4493150488888</v>
      </c>
      <c r="J106" s="187">
        <f t="shared" si="10"/>
        <v>637.17577399625554</v>
      </c>
      <c r="K106" s="228">
        <v>849</v>
      </c>
      <c r="L106" s="218">
        <f t="shared" si="11"/>
        <v>9.220662937121169</v>
      </c>
      <c r="M106" s="218"/>
      <c r="N106" s="218"/>
      <c r="O106" s="218"/>
      <c r="P106" s="218"/>
      <c r="Q106" s="218"/>
      <c r="R106" s="218"/>
      <c r="S106" s="64"/>
    </row>
    <row r="107" spans="1:20" x14ac:dyDescent="0.25">
      <c r="A107" s="219" t="str">
        <f t="shared" si="6"/>
        <v>CIRF  323.9*5</v>
      </c>
      <c r="B107" s="168">
        <f t="shared" si="7"/>
        <v>39.322765466269068</v>
      </c>
      <c r="C107" s="167">
        <v>323.89999999999998</v>
      </c>
      <c r="D107" s="167">
        <v>5</v>
      </c>
      <c r="E107" s="167"/>
      <c r="F107" s="167"/>
      <c r="G107" s="167"/>
      <c r="H107" s="168">
        <f t="shared" si="8"/>
        <v>50.092694861489257</v>
      </c>
      <c r="I107" s="184">
        <f t="shared" si="9"/>
        <v>6369.4245327079143</v>
      </c>
      <c r="J107" s="184">
        <f t="shared" si="10"/>
        <v>393.29574144537906</v>
      </c>
      <c r="K107" s="229">
        <v>509</v>
      </c>
      <c r="L107" s="220">
        <f t="shared" si="11"/>
        <v>11.276203372589553</v>
      </c>
      <c r="M107" s="220"/>
      <c r="N107" s="220"/>
      <c r="O107" s="220"/>
      <c r="P107" s="220"/>
      <c r="Q107" s="220"/>
      <c r="R107" s="220"/>
      <c r="S107" s="167"/>
      <c r="T107" s="221"/>
    </row>
    <row r="108" spans="1:20" x14ac:dyDescent="0.25">
      <c r="A108" s="222" t="str">
        <f t="shared" si="6"/>
        <v>CIRF  323.9*6</v>
      </c>
      <c r="B108" s="174">
        <f t="shared" si="7"/>
        <v>47.039349545538833</v>
      </c>
      <c r="C108" s="173">
        <v>323.89999999999998</v>
      </c>
      <c r="D108" s="173">
        <v>6</v>
      </c>
      <c r="E108" s="173"/>
      <c r="F108" s="173"/>
      <c r="G108" s="173"/>
      <c r="H108" s="174">
        <f t="shared" si="8"/>
        <v>59.922738274571756</v>
      </c>
      <c r="I108" s="185">
        <f t="shared" si="9"/>
        <v>7572.4671461610042</v>
      </c>
      <c r="J108" s="185">
        <f t="shared" si="10"/>
        <v>467.58055857740067</v>
      </c>
      <c r="K108" s="230">
        <v>606</v>
      </c>
      <c r="L108" s="223">
        <f t="shared" si="11"/>
        <v>11.241463983841255</v>
      </c>
      <c r="M108" s="223"/>
      <c r="N108" s="223"/>
      <c r="O108" s="223"/>
      <c r="P108" s="223"/>
      <c r="Q108" s="223"/>
      <c r="R108" s="223"/>
      <c r="S108" s="173"/>
      <c r="T108" s="224"/>
    </row>
    <row r="109" spans="1:20" x14ac:dyDescent="0.25">
      <c r="A109" s="222" t="str">
        <f t="shared" si="6"/>
        <v>CIRF  323.9*6.3</v>
      </c>
      <c r="B109" s="174">
        <f t="shared" si="7"/>
        <v>49.344706783410864</v>
      </c>
      <c r="C109" s="173">
        <v>323.89999999999998</v>
      </c>
      <c r="D109" s="173">
        <v>6.3</v>
      </c>
      <c r="E109" s="173"/>
      <c r="F109" s="173"/>
      <c r="G109" s="173"/>
      <c r="H109" s="174">
        <f t="shared" si="8"/>
        <v>62.859499087147597</v>
      </c>
      <c r="I109" s="185">
        <f t="shared" si="9"/>
        <v>7928.8968501994586</v>
      </c>
      <c r="J109" s="185">
        <f t="shared" si="10"/>
        <v>489.58918494593752</v>
      </c>
      <c r="K109" s="230">
        <v>636</v>
      </c>
      <c r="L109" s="223">
        <f t="shared" si="11"/>
        <v>11.231064620061627</v>
      </c>
      <c r="M109" s="223"/>
      <c r="N109" s="223"/>
      <c r="O109" s="223"/>
      <c r="P109" s="223"/>
      <c r="Q109" s="223"/>
      <c r="R109" s="223"/>
      <c r="S109" s="173"/>
      <c r="T109" s="224"/>
    </row>
    <row r="110" spans="1:20" x14ac:dyDescent="0.25">
      <c r="A110" s="222" t="str">
        <f t="shared" si="6"/>
        <v>CIRF  323.9*8</v>
      </c>
      <c r="B110" s="174">
        <f t="shared" si="7"/>
        <v>62.324548690094204</v>
      </c>
      <c r="C110" s="173">
        <v>323.89999999999998</v>
      </c>
      <c r="D110" s="173">
        <v>8</v>
      </c>
      <c r="E110" s="173"/>
      <c r="F110" s="173"/>
      <c r="G110" s="173"/>
      <c r="H110" s="174">
        <f t="shared" si="8"/>
        <v>79.394329541521273</v>
      </c>
      <c r="I110" s="185">
        <f t="shared" si="9"/>
        <v>9910.0806001313485</v>
      </c>
      <c r="J110" s="185">
        <f t="shared" si="10"/>
        <v>611.92223526590601</v>
      </c>
      <c r="K110" s="230">
        <v>799</v>
      </c>
      <c r="L110" s="223">
        <f t="shared" si="11"/>
        <v>11.172332455669229</v>
      </c>
      <c r="M110" s="223"/>
      <c r="N110" s="223"/>
      <c r="O110" s="223"/>
      <c r="P110" s="223"/>
      <c r="Q110" s="223"/>
      <c r="R110" s="223"/>
      <c r="S110" s="173"/>
      <c r="T110" s="224"/>
    </row>
    <row r="111" spans="1:20" x14ac:dyDescent="0.25">
      <c r="A111" s="222" t="str">
        <f t="shared" si="6"/>
        <v>CIRF  323.9*10</v>
      </c>
      <c r="B111" s="174">
        <f t="shared" si="7"/>
        <v>77.41245581600414</v>
      </c>
      <c r="C111" s="173">
        <v>323.89999999999998</v>
      </c>
      <c r="D111" s="173">
        <v>10</v>
      </c>
      <c r="E111" s="173"/>
      <c r="F111" s="173"/>
      <c r="G111" s="173"/>
      <c r="H111" s="174">
        <f t="shared" si="8"/>
        <v>98.614593396183608</v>
      </c>
      <c r="I111" s="185">
        <f t="shared" si="9"/>
        <v>12158.342374387992</v>
      </c>
      <c r="J111" s="185">
        <f t="shared" si="10"/>
        <v>750.74667331818409</v>
      </c>
      <c r="K111" s="230">
        <v>986</v>
      </c>
      <c r="L111" s="223">
        <f t="shared" si="11"/>
        <v>11.1036711271543</v>
      </c>
      <c r="M111" s="223"/>
      <c r="N111" s="223"/>
      <c r="O111" s="223"/>
      <c r="P111" s="223"/>
      <c r="Q111" s="223"/>
      <c r="R111" s="223"/>
      <c r="S111" s="173"/>
      <c r="T111" s="224"/>
    </row>
    <row r="112" spans="1:20" x14ac:dyDescent="0.25">
      <c r="A112" s="222" t="str">
        <f t="shared" si="6"/>
        <v>CIRF  323.9*12</v>
      </c>
      <c r="B112" s="174">
        <f t="shared" si="7"/>
        <v>92.303070923268706</v>
      </c>
      <c r="C112" s="173">
        <v>323.89999999999998</v>
      </c>
      <c r="D112" s="173">
        <v>12</v>
      </c>
      <c r="E112" s="173"/>
      <c r="F112" s="173"/>
      <c r="G112" s="173"/>
      <c r="H112" s="174">
        <f t="shared" si="8"/>
        <v>117.58352983855886</v>
      </c>
      <c r="I112" s="185">
        <f t="shared" si="9"/>
        <v>14319.5589005935</v>
      </c>
      <c r="J112" s="185">
        <f t="shared" si="10"/>
        <v>884.19628901472674</v>
      </c>
      <c r="K112" s="230">
        <v>1168</v>
      </c>
      <c r="L112" s="223">
        <f t="shared" si="11"/>
        <v>11.035488774857233</v>
      </c>
      <c r="M112" s="223"/>
      <c r="N112" s="223"/>
      <c r="O112" s="223"/>
      <c r="P112" s="223"/>
      <c r="Q112" s="223"/>
      <c r="R112" s="223"/>
      <c r="S112" s="173"/>
      <c r="T112" s="224"/>
    </row>
    <row r="113" spans="1:20" x14ac:dyDescent="0.25">
      <c r="A113" s="225" t="str">
        <f t="shared" si="6"/>
        <v>CIRF  323.9*12.5</v>
      </c>
      <c r="B113" s="180">
        <f t="shared" si="7"/>
        <v>95.99489782217141</v>
      </c>
      <c r="C113" s="179">
        <v>323.89999999999998</v>
      </c>
      <c r="D113" s="179">
        <v>12.5</v>
      </c>
      <c r="E113" s="179"/>
      <c r="F113" s="179"/>
      <c r="G113" s="179"/>
      <c r="H113" s="180">
        <f t="shared" si="8"/>
        <v>122.28649404098269</v>
      </c>
      <c r="I113" s="186">
        <f t="shared" si="9"/>
        <v>14846.529625485296</v>
      </c>
      <c r="J113" s="186">
        <f t="shared" si="10"/>
        <v>916.73538903891915</v>
      </c>
      <c r="K113" s="231">
        <v>1213</v>
      </c>
      <c r="L113" s="226">
        <f t="shared" si="11"/>
        <v>11.018519070183617</v>
      </c>
      <c r="M113" s="226"/>
      <c r="N113" s="226"/>
      <c r="O113" s="226"/>
      <c r="P113" s="226"/>
      <c r="Q113" s="226"/>
      <c r="R113" s="226"/>
      <c r="S113" s="179"/>
      <c r="T113" s="227"/>
    </row>
    <row r="114" spans="1:20" x14ac:dyDescent="0.25">
      <c r="A114" s="64" t="str">
        <f t="shared" si="6"/>
        <v>CIRF  355.6*5</v>
      </c>
      <c r="B114" s="163">
        <f t="shared" si="7"/>
        <v>43.231613585681828</v>
      </c>
      <c r="C114" s="64">
        <v>355.6</v>
      </c>
      <c r="D114" s="64">
        <v>5</v>
      </c>
      <c r="E114" s="64"/>
      <c r="F114" s="64"/>
      <c r="G114" s="64"/>
      <c r="H114" s="163">
        <f t="shared" si="8"/>
        <v>55.072119217429076</v>
      </c>
      <c r="I114" s="187">
        <f t="shared" si="9"/>
        <v>8463.576903937168</v>
      </c>
      <c r="J114" s="187">
        <f t="shared" si="10"/>
        <v>476.0166987591208</v>
      </c>
      <c r="K114" s="228">
        <v>615</v>
      </c>
      <c r="L114" s="218">
        <f t="shared" si="11"/>
        <v>12.396842339886394</v>
      </c>
      <c r="M114" s="218"/>
      <c r="N114" s="218"/>
      <c r="O114" s="218"/>
      <c r="P114" s="218"/>
      <c r="Q114" s="218"/>
      <c r="R114" s="218"/>
      <c r="S114" s="64"/>
    </row>
    <row r="115" spans="1:20" x14ac:dyDescent="0.25">
      <c r="A115" s="64" t="str">
        <f t="shared" si="6"/>
        <v>CIRF  355.6*6</v>
      </c>
      <c r="B115" s="163">
        <f t="shared" si="7"/>
        <v>51.729967288834075</v>
      </c>
      <c r="C115" s="64">
        <v>355.6</v>
      </c>
      <c r="D115" s="64">
        <v>6</v>
      </c>
      <c r="E115" s="64"/>
      <c r="F115" s="64"/>
      <c r="G115" s="64"/>
      <c r="H115" s="163">
        <f t="shared" si="8"/>
        <v>65.898047501699452</v>
      </c>
      <c r="I115" s="187">
        <f t="shared" si="9"/>
        <v>10070.552798819212</v>
      </c>
      <c r="J115" s="187">
        <f t="shared" si="10"/>
        <v>566.39779520917944</v>
      </c>
      <c r="K115" s="228">
        <v>733</v>
      </c>
      <c r="L115" s="218">
        <f t="shared" si="11"/>
        <v>12.362046756099899</v>
      </c>
      <c r="M115" s="218"/>
      <c r="N115" s="218"/>
      <c r="O115" s="218"/>
      <c r="P115" s="218"/>
      <c r="Q115" s="218"/>
      <c r="R115" s="218"/>
      <c r="S115" s="64"/>
    </row>
    <row r="116" spans="1:20" x14ac:dyDescent="0.25">
      <c r="A116" s="64" t="str">
        <f t="shared" si="6"/>
        <v>CIRF  355.6*6.3</v>
      </c>
      <c r="B116" s="163">
        <f t="shared" si="7"/>
        <v>54.269855413870921</v>
      </c>
      <c r="C116" s="64">
        <v>355.6</v>
      </c>
      <c r="D116" s="64">
        <v>6.3</v>
      </c>
      <c r="E116" s="64"/>
      <c r="F116" s="64"/>
      <c r="G116" s="64"/>
      <c r="H116" s="163">
        <f t="shared" si="8"/>
        <v>69.133573775631746</v>
      </c>
      <c r="I116" s="187">
        <f t="shared" si="9"/>
        <v>10547.206404198918</v>
      </c>
      <c r="J116" s="187">
        <f t="shared" si="10"/>
        <v>593.20620946000656</v>
      </c>
      <c r="K116" s="228">
        <v>769</v>
      </c>
      <c r="L116" s="218">
        <f t="shared" si="11"/>
        <v>12.351628435149756</v>
      </c>
      <c r="M116" s="218"/>
      <c r="N116" s="218"/>
      <c r="O116" s="218"/>
      <c r="P116" s="218"/>
      <c r="Q116" s="218"/>
      <c r="R116" s="218"/>
      <c r="S116" s="64"/>
    </row>
    <row r="117" spans="1:20" x14ac:dyDescent="0.25">
      <c r="A117" s="64" t="str">
        <f t="shared" si="6"/>
        <v>CIRF  355.6*8</v>
      </c>
      <c r="B117" s="163">
        <f t="shared" si="7"/>
        <v>68.578705681154588</v>
      </c>
      <c r="C117" s="64">
        <v>355.6</v>
      </c>
      <c r="D117" s="64">
        <v>8</v>
      </c>
      <c r="E117" s="64"/>
      <c r="F117" s="64"/>
      <c r="G117" s="64"/>
      <c r="H117" s="163">
        <f t="shared" si="8"/>
        <v>87.361408511024948</v>
      </c>
      <c r="I117" s="187">
        <f t="shared" si="9"/>
        <v>13201.374635199711</v>
      </c>
      <c r="J117" s="187">
        <f t="shared" si="10"/>
        <v>742.48451266590041</v>
      </c>
      <c r="K117" s="228">
        <v>967</v>
      </c>
      <c r="L117" s="218">
        <f t="shared" si="11"/>
        <v>12.292770232945871</v>
      </c>
      <c r="M117" s="218"/>
      <c r="N117" s="218"/>
      <c r="O117" s="218"/>
      <c r="P117" s="218"/>
      <c r="Q117" s="218"/>
      <c r="R117" s="218"/>
      <c r="S117" s="64"/>
    </row>
    <row r="118" spans="1:20" x14ac:dyDescent="0.25">
      <c r="A118" s="64" t="str">
        <f t="shared" si="6"/>
        <v>CIRF  355.6*10</v>
      </c>
      <c r="B118" s="163">
        <f t="shared" si="7"/>
        <v>85.230152054829659</v>
      </c>
      <c r="C118" s="64">
        <v>355.6</v>
      </c>
      <c r="D118" s="64">
        <v>10</v>
      </c>
      <c r="E118" s="64"/>
      <c r="F118" s="64"/>
      <c r="G118" s="64"/>
      <c r="H118" s="163">
        <f t="shared" si="8"/>
        <v>108.57344210806325</v>
      </c>
      <c r="I118" s="187">
        <f t="shared" si="9"/>
        <v>16223.499728243667</v>
      </c>
      <c r="J118" s="187">
        <f t="shared" si="10"/>
        <v>912.45780248839515</v>
      </c>
      <c r="K118" s="228">
        <v>1195</v>
      </c>
      <c r="L118" s="218">
        <f t="shared" si="11"/>
        <v>12.223919175125465</v>
      </c>
      <c r="M118" s="218"/>
      <c r="N118" s="218"/>
      <c r="O118" s="218"/>
      <c r="P118" s="218"/>
      <c r="Q118" s="218"/>
      <c r="R118" s="218"/>
      <c r="S118" s="64"/>
    </row>
    <row r="119" spans="1:20" x14ac:dyDescent="0.25">
      <c r="A119" s="64" t="str">
        <f t="shared" si="6"/>
        <v>CIRF  355.6*12</v>
      </c>
      <c r="B119" s="163">
        <f t="shared" si="7"/>
        <v>101.68430640985927</v>
      </c>
      <c r="C119" s="64">
        <v>355.6</v>
      </c>
      <c r="D119" s="64">
        <v>12</v>
      </c>
      <c r="E119" s="64"/>
      <c r="F119" s="64"/>
      <c r="G119" s="64"/>
      <c r="H119" s="163">
        <f t="shared" si="8"/>
        <v>129.53414829281436</v>
      </c>
      <c r="I119" s="187">
        <f t="shared" si="9"/>
        <v>19139.473521982738</v>
      </c>
      <c r="J119" s="187">
        <f t="shared" si="10"/>
        <v>1076.4608280080279</v>
      </c>
      <c r="K119" s="228">
        <v>1417</v>
      </c>
      <c r="L119" s="218">
        <f t="shared" si="11"/>
        <v>12.155500812389427</v>
      </c>
      <c r="M119" s="218"/>
      <c r="N119" s="218"/>
      <c r="O119" s="218"/>
      <c r="P119" s="218"/>
      <c r="Q119" s="218"/>
      <c r="R119" s="218"/>
      <c r="S119" s="64"/>
    </row>
    <row r="120" spans="1:20" x14ac:dyDescent="0.25">
      <c r="A120" s="64" t="str">
        <f t="shared" si="6"/>
        <v>CIRF  355.6*12.5</v>
      </c>
      <c r="B120" s="163">
        <f t="shared" si="7"/>
        <v>105.76701812070333</v>
      </c>
      <c r="C120" s="64">
        <v>355.6</v>
      </c>
      <c r="D120" s="64">
        <v>12.5</v>
      </c>
      <c r="E120" s="64"/>
      <c r="F120" s="64"/>
      <c r="G120" s="64"/>
      <c r="H120" s="163">
        <f t="shared" si="8"/>
        <v>134.73505493083226</v>
      </c>
      <c r="I120" s="187">
        <f t="shared" si="9"/>
        <v>19852.176252511541</v>
      </c>
      <c r="J120" s="187">
        <f t="shared" si="10"/>
        <v>1116.5453460355197</v>
      </c>
      <c r="K120" s="228">
        <v>1472</v>
      </c>
      <c r="L120" s="218">
        <f t="shared" si="11"/>
        <v>12.138464688748739</v>
      </c>
      <c r="M120" s="218"/>
      <c r="N120" s="218"/>
      <c r="O120" s="218"/>
      <c r="P120" s="218"/>
      <c r="Q120" s="218"/>
      <c r="R120" s="218"/>
      <c r="S120" s="64"/>
    </row>
    <row r="121" spans="1:20" x14ac:dyDescent="0.25">
      <c r="A121" s="64" t="str">
        <f t="shared" si="6"/>
        <v>CIRF  355.6*16</v>
      </c>
      <c r="B121" s="163">
        <f t="shared" si="7"/>
        <v>134.00073906398211</v>
      </c>
      <c r="C121" s="64">
        <v>355.6</v>
      </c>
      <c r="D121" s="64">
        <v>16</v>
      </c>
      <c r="E121" s="64"/>
      <c r="F121" s="64"/>
      <c r="G121" s="64"/>
      <c r="H121" s="163">
        <f t="shared" si="8"/>
        <v>170.70157842545493</v>
      </c>
      <c r="I121" s="187">
        <f t="shared" si="9"/>
        <v>24662.998191225426</v>
      </c>
      <c r="J121" s="187">
        <f t="shared" si="10"/>
        <v>1387.1202582241522</v>
      </c>
      <c r="K121" s="228">
        <v>1847</v>
      </c>
      <c r="L121" s="218">
        <f t="shared" si="11"/>
        <v>12.01999168052957</v>
      </c>
      <c r="M121" s="218"/>
      <c r="N121" s="218"/>
      <c r="O121" s="218"/>
      <c r="P121" s="218"/>
      <c r="Q121" s="218"/>
      <c r="R121" s="218"/>
      <c r="S121" s="64"/>
    </row>
    <row r="122" spans="1:20" x14ac:dyDescent="0.25">
      <c r="A122" s="64" t="str">
        <f t="shared" si="6"/>
        <v>CIRF  355.6*20</v>
      </c>
      <c r="B122" s="163">
        <f t="shared" si="7"/>
        <v>165.52800364352333</v>
      </c>
      <c r="C122" s="64">
        <v>355.6</v>
      </c>
      <c r="D122" s="64">
        <v>20</v>
      </c>
      <c r="E122" s="64"/>
      <c r="F122" s="64"/>
      <c r="G122" s="64"/>
      <c r="H122" s="163">
        <f t="shared" si="8"/>
        <v>210.8636989089469</v>
      </c>
      <c r="I122" s="187">
        <f t="shared" si="9"/>
        <v>29791.709009391445</v>
      </c>
      <c r="J122" s="187">
        <f t="shared" si="10"/>
        <v>1675.5741850051431</v>
      </c>
      <c r="K122" s="228">
        <v>2255</v>
      </c>
      <c r="L122" s="218">
        <f t="shared" si="11"/>
        <v>11.886303041736738</v>
      </c>
      <c r="M122" s="218"/>
      <c r="N122" s="218"/>
      <c r="O122" s="218"/>
      <c r="P122" s="218"/>
      <c r="Q122" s="218"/>
      <c r="R122" s="218"/>
      <c r="S122" s="64"/>
    </row>
    <row r="123" spans="1:20" x14ac:dyDescent="0.25">
      <c r="A123" s="219" t="str">
        <f t="shared" si="6"/>
        <v>CIRF  406.4*6</v>
      </c>
      <c r="B123" s="168">
        <f t="shared" si="7"/>
        <v>59.246793199225365</v>
      </c>
      <c r="C123" s="167">
        <v>406.4</v>
      </c>
      <c r="D123" s="167">
        <v>6</v>
      </c>
      <c r="E123" s="167"/>
      <c r="F123" s="167"/>
      <c r="G123" s="167"/>
      <c r="H123" s="168">
        <f t="shared" si="8"/>
        <v>75.473621909841228</v>
      </c>
      <c r="I123" s="184">
        <f t="shared" si="9"/>
        <v>15128.325238442518</v>
      </c>
      <c r="J123" s="184">
        <f t="shared" si="10"/>
        <v>744.50419480524204</v>
      </c>
      <c r="K123" s="229">
        <v>962</v>
      </c>
      <c r="L123" s="220">
        <f t="shared" si="11"/>
        <v>14.157867070996257</v>
      </c>
      <c r="M123" s="220"/>
      <c r="N123" s="220"/>
      <c r="O123" s="220"/>
      <c r="P123" s="220"/>
      <c r="Q123" s="220"/>
      <c r="R123" s="220"/>
      <c r="S123" s="167"/>
      <c r="T123" s="221"/>
    </row>
    <row r="124" spans="1:20" x14ac:dyDescent="0.25">
      <c r="A124" s="222" t="str">
        <f t="shared" si="6"/>
        <v>CIRF  406.4*6.3</v>
      </c>
      <c r="B124" s="174">
        <f t="shared" si="7"/>
        <v>62.16252261978174</v>
      </c>
      <c r="C124" s="173">
        <v>406.4</v>
      </c>
      <c r="D124" s="173">
        <v>6.3</v>
      </c>
      <c r="E124" s="173"/>
      <c r="F124" s="173"/>
      <c r="G124" s="173"/>
      <c r="H124" s="174">
        <f t="shared" si="8"/>
        <v>79.187926904180557</v>
      </c>
      <c r="I124" s="185">
        <f t="shared" si="9"/>
        <v>15849.433874399147</v>
      </c>
      <c r="J124" s="185">
        <f t="shared" si="10"/>
        <v>779.991824527517</v>
      </c>
      <c r="K124" s="230">
        <v>1009</v>
      </c>
      <c r="L124" s="223">
        <f t="shared" si="11"/>
        <v>14.147424677304345</v>
      </c>
      <c r="M124" s="223"/>
      <c r="N124" s="223"/>
      <c r="O124" s="223"/>
      <c r="P124" s="223"/>
      <c r="Q124" s="223"/>
      <c r="R124" s="223"/>
      <c r="S124" s="173"/>
      <c r="T124" s="224"/>
    </row>
    <row r="125" spans="1:20" x14ac:dyDescent="0.25">
      <c r="A125" s="222" t="str">
        <f t="shared" si="6"/>
        <v>CIRF  406.4*8</v>
      </c>
      <c r="B125" s="174">
        <f t="shared" si="7"/>
        <v>78.601140228343013</v>
      </c>
      <c r="C125" s="173">
        <v>406.4</v>
      </c>
      <c r="D125" s="173">
        <v>8</v>
      </c>
      <c r="E125" s="173"/>
      <c r="F125" s="173"/>
      <c r="G125" s="173"/>
      <c r="H125" s="174">
        <f t="shared" si="8"/>
        <v>100.12884105521402</v>
      </c>
      <c r="I125" s="185">
        <f t="shared" si="9"/>
        <v>19873.892784930253</v>
      </c>
      <c r="J125" s="185">
        <f t="shared" si="10"/>
        <v>978.04590477018962</v>
      </c>
      <c r="K125" s="230">
        <v>1270</v>
      </c>
      <c r="L125" s="223">
        <f t="shared" si="11"/>
        <v>14.08840658129939</v>
      </c>
      <c r="M125" s="223"/>
      <c r="N125" s="223"/>
      <c r="O125" s="223"/>
      <c r="P125" s="223"/>
      <c r="Q125" s="223"/>
      <c r="R125" s="223"/>
      <c r="S125" s="173"/>
      <c r="T125" s="224"/>
    </row>
    <row r="126" spans="1:20" x14ac:dyDescent="0.25">
      <c r="A126" s="222" t="str">
        <f t="shared" si="6"/>
        <v>CIRF  406.4*10</v>
      </c>
      <c r="B126" s="174">
        <f t="shared" si="7"/>
        <v>97.758195238815034</v>
      </c>
      <c r="C126" s="173">
        <v>406.4</v>
      </c>
      <c r="D126" s="173">
        <v>10</v>
      </c>
      <c r="E126" s="173"/>
      <c r="F126" s="173"/>
      <c r="G126" s="173"/>
      <c r="H126" s="174">
        <f t="shared" si="8"/>
        <v>124.5327327882994</v>
      </c>
      <c r="I126" s="185">
        <f t="shared" si="9"/>
        <v>24475.812741491711</v>
      </c>
      <c r="J126" s="185">
        <f t="shared" si="10"/>
        <v>1204.5183435773479</v>
      </c>
      <c r="K126" s="230">
        <v>1572</v>
      </c>
      <c r="L126" s="223">
        <f t="shared" si="11"/>
        <v>14.019315247186647</v>
      </c>
      <c r="M126" s="223"/>
      <c r="N126" s="223"/>
      <c r="O126" s="223"/>
      <c r="P126" s="223"/>
      <c r="Q126" s="223"/>
      <c r="R126" s="223"/>
      <c r="S126" s="173"/>
      <c r="T126" s="224"/>
    </row>
    <row r="127" spans="1:20" x14ac:dyDescent="0.25">
      <c r="A127" s="222" t="str">
        <f t="shared" si="6"/>
        <v>CIRF  406.4*12</v>
      </c>
      <c r="B127" s="174">
        <f t="shared" si="7"/>
        <v>116.7179582306418</v>
      </c>
      <c r="C127" s="173">
        <v>406.4</v>
      </c>
      <c r="D127" s="173">
        <v>12</v>
      </c>
      <c r="E127" s="173"/>
      <c r="F127" s="173"/>
      <c r="G127" s="173"/>
      <c r="H127" s="174">
        <f t="shared" si="8"/>
        <v>148.68529710909783</v>
      </c>
      <c r="I127" s="185">
        <f t="shared" si="9"/>
        <v>28937.013575134933</v>
      </c>
      <c r="J127" s="185">
        <f t="shared" si="10"/>
        <v>1424.0656286975852</v>
      </c>
      <c r="K127" s="230">
        <v>1867</v>
      </c>
      <c r="L127" s="223">
        <f t="shared" si="11"/>
        <v>13.950598553467159</v>
      </c>
      <c r="M127" s="223"/>
      <c r="N127" s="223"/>
      <c r="O127" s="223"/>
      <c r="P127" s="223"/>
      <c r="Q127" s="223"/>
      <c r="R127" s="223"/>
      <c r="S127" s="173"/>
      <c r="T127" s="224"/>
    </row>
    <row r="128" spans="1:20" x14ac:dyDescent="0.25">
      <c r="A128" s="222" t="str">
        <f t="shared" si="6"/>
        <v>CIRF  406.4*12.5</v>
      </c>
      <c r="B128" s="174">
        <f t="shared" si="7"/>
        <v>121.42707210068505</v>
      </c>
      <c r="C128" s="173">
        <v>406.4</v>
      </c>
      <c r="D128" s="173">
        <v>12.5</v>
      </c>
      <c r="E128" s="173"/>
      <c r="F128" s="173"/>
      <c r="G128" s="173"/>
      <c r="H128" s="174">
        <f t="shared" si="8"/>
        <v>154.68416828112746</v>
      </c>
      <c r="I128" s="185">
        <f t="shared" si="9"/>
        <v>30030.666728705204</v>
      </c>
      <c r="J128" s="185">
        <f t="shared" si="10"/>
        <v>1477.8871421606891</v>
      </c>
      <c r="K128" s="230">
        <v>1940</v>
      </c>
      <c r="L128" s="223">
        <f t="shared" si="11"/>
        <v>13.933478567823617</v>
      </c>
      <c r="M128" s="223"/>
      <c r="N128" s="223"/>
      <c r="O128" s="223"/>
      <c r="P128" s="223"/>
      <c r="Q128" s="223"/>
      <c r="R128" s="223"/>
      <c r="S128" s="173"/>
      <c r="T128" s="224"/>
    </row>
    <row r="129" spans="1:20" x14ac:dyDescent="0.25">
      <c r="A129" s="222" t="str">
        <f t="shared" si="6"/>
        <v>CIRF  406.4*16</v>
      </c>
      <c r="B129" s="174">
        <f t="shared" si="7"/>
        <v>154.04560815835885</v>
      </c>
      <c r="C129" s="173">
        <v>406.4</v>
      </c>
      <c r="D129" s="173">
        <v>16</v>
      </c>
      <c r="E129" s="173"/>
      <c r="F129" s="173"/>
      <c r="G129" s="173"/>
      <c r="H129" s="174">
        <f t="shared" si="8"/>
        <v>196.23644351383291</v>
      </c>
      <c r="I129" s="185">
        <f t="shared" si="9"/>
        <v>37448.820945250998</v>
      </c>
      <c r="J129" s="185">
        <f t="shared" si="10"/>
        <v>1842.953786675738</v>
      </c>
      <c r="K129" s="230">
        <v>2440</v>
      </c>
      <c r="L129" s="223">
        <f t="shared" si="11"/>
        <v>13.814311419683573</v>
      </c>
      <c r="M129" s="223"/>
      <c r="N129" s="223"/>
      <c r="O129" s="223"/>
      <c r="P129" s="223"/>
      <c r="Q129" s="223"/>
      <c r="R129" s="223"/>
      <c r="S129" s="173"/>
      <c r="T129" s="224"/>
    </row>
    <row r="130" spans="1:20" x14ac:dyDescent="0.25">
      <c r="A130" s="222" t="str">
        <f t="shared" si="6"/>
        <v>CIRF  406.4*20</v>
      </c>
      <c r="B130" s="174">
        <f t="shared" si="7"/>
        <v>190.58409001149408</v>
      </c>
      <c r="C130" s="173">
        <v>406.4</v>
      </c>
      <c r="D130" s="173">
        <v>20</v>
      </c>
      <c r="E130" s="173"/>
      <c r="F130" s="173"/>
      <c r="G130" s="173"/>
      <c r="H130" s="174">
        <f t="shared" si="8"/>
        <v>242.7822802694192</v>
      </c>
      <c r="I130" s="185">
        <f t="shared" si="9"/>
        <v>45432.139445552748</v>
      </c>
      <c r="J130" s="185">
        <f t="shared" si="10"/>
        <v>2235.833634131533</v>
      </c>
      <c r="K130" s="230">
        <v>2989</v>
      </c>
      <c r="L130" s="223">
        <f t="shared" si="11"/>
        <v>13.67959063714993</v>
      </c>
      <c r="M130" s="223"/>
      <c r="N130" s="223"/>
      <c r="O130" s="223"/>
      <c r="P130" s="223"/>
      <c r="Q130" s="223"/>
      <c r="R130" s="223"/>
      <c r="S130" s="173"/>
      <c r="T130" s="224"/>
    </row>
    <row r="131" spans="1:20" x14ac:dyDescent="0.25">
      <c r="A131" s="225" t="str">
        <f t="shared" si="6"/>
        <v>CIRF  406.4*25</v>
      </c>
      <c r="B131" s="180">
        <f t="shared" si="7"/>
        <v>235.14742472303274</v>
      </c>
      <c r="C131" s="179">
        <v>406.4</v>
      </c>
      <c r="D131" s="179">
        <v>25</v>
      </c>
      <c r="E131" s="179"/>
      <c r="F131" s="179"/>
      <c r="G131" s="179"/>
      <c r="H131" s="180">
        <f t="shared" si="8"/>
        <v>299.55085951978691</v>
      </c>
      <c r="I131" s="186">
        <f t="shared" si="9"/>
        <v>54702.090795088508</v>
      </c>
      <c r="J131" s="186">
        <f t="shared" si="10"/>
        <v>2692.0320273173479</v>
      </c>
      <c r="K131" s="231">
        <v>3642</v>
      </c>
      <c r="L131" s="226">
        <f t="shared" si="11"/>
        <v>13.513463656664786</v>
      </c>
      <c r="M131" s="226"/>
      <c r="N131" s="226"/>
      <c r="O131" s="226"/>
      <c r="P131" s="226"/>
      <c r="Q131" s="226"/>
      <c r="R131" s="226"/>
      <c r="S131" s="179"/>
      <c r="T131" s="227"/>
    </row>
    <row r="132" spans="1:20" x14ac:dyDescent="0.25">
      <c r="A132" s="64" t="str">
        <f t="shared" ref="A132:A195" si="12">$B$3&amp;"  "&amp;C132&amp;"*"&amp;D132</f>
        <v>CIRF  457*6</v>
      </c>
      <c r="B132" s="163">
        <f t="shared" ref="B132:B195" si="13">H132*0.785</f>
        <v>66.734025306819746</v>
      </c>
      <c r="C132" s="64">
        <v>457</v>
      </c>
      <c r="D132" s="64">
        <v>6</v>
      </c>
      <c r="E132" s="64"/>
      <c r="F132" s="64"/>
      <c r="G132" s="64"/>
      <c r="H132" s="163">
        <f t="shared" ref="H132:H195" si="14">(C132^2-(C132-2*D132)^2)*PI()*0.01/4</f>
        <v>85.011497206139794</v>
      </c>
      <c r="I132" s="187">
        <f t="shared" ref="I132:I195" si="15">(C132^4-(C132-2*D132)^4)*PI()*0.0001/64</f>
        <v>21618.104946406831</v>
      </c>
      <c r="J132" s="187">
        <f t="shared" ref="J132:J195" si="16">I132/(C132*0.5*0.1)</f>
        <v>946.08774382524416</v>
      </c>
      <c r="K132" s="228">
        <v>1220</v>
      </c>
      <c r="L132" s="218">
        <f t="shared" ref="L132:L195" si="17">SQRT(I132/H132)</f>
        <v>15.946668931159261</v>
      </c>
      <c r="M132" s="218"/>
      <c r="N132" s="218"/>
      <c r="O132" s="218"/>
      <c r="P132" s="218"/>
      <c r="Q132" s="218"/>
      <c r="R132" s="218"/>
      <c r="S132" s="64"/>
    </row>
    <row r="133" spans="1:20" x14ac:dyDescent="0.25">
      <c r="A133" s="64" t="str">
        <f t="shared" si="12"/>
        <v>CIRF  457*6.3</v>
      </c>
      <c r="B133" s="163">
        <f t="shared" si="13"/>
        <v>70.024116332755852</v>
      </c>
      <c r="C133" s="64">
        <v>457</v>
      </c>
      <c r="D133" s="64">
        <v>6.3</v>
      </c>
      <c r="E133" s="64"/>
      <c r="F133" s="64"/>
      <c r="G133" s="64"/>
      <c r="H133" s="163">
        <f t="shared" si="14"/>
        <v>89.202695965294069</v>
      </c>
      <c r="I133" s="187">
        <f t="shared" si="15"/>
        <v>22654.15974469257</v>
      </c>
      <c r="J133" s="187">
        <f t="shared" si="16"/>
        <v>991.42931048982791</v>
      </c>
      <c r="K133" s="228">
        <v>1280</v>
      </c>
      <c r="L133" s="218">
        <f t="shared" si="17"/>
        <v>15.936207986845547</v>
      </c>
      <c r="M133" s="218"/>
      <c r="N133" s="218"/>
      <c r="O133" s="218"/>
      <c r="P133" s="218"/>
      <c r="Q133" s="218"/>
      <c r="R133" s="218"/>
      <c r="S133" s="64"/>
    </row>
    <row r="134" spans="1:20" x14ac:dyDescent="0.25">
      <c r="A134" s="64" t="str">
        <f t="shared" si="12"/>
        <v>CIRF  457*8</v>
      </c>
      <c r="B134" s="163">
        <f t="shared" si="13"/>
        <v>88.584116371802125</v>
      </c>
      <c r="C134" s="64">
        <v>457</v>
      </c>
      <c r="D134" s="64">
        <v>8</v>
      </c>
      <c r="E134" s="64"/>
      <c r="F134" s="64"/>
      <c r="G134" s="64"/>
      <c r="H134" s="163">
        <f t="shared" si="14"/>
        <v>112.84600811694538</v>
      </c>
      <c r="I134" s="187">
        <f t="shared" si="15"/>
        <v>28446.362783629735</v>
      </c>
      <c r="J134" s="187">
        <f t="shared" si="16"/>
        <v>1244.9174084739489</v>
      </c>
      <c r="K134" s="228">
        <v>1613</v>
      </c>
      <c r="L134" s="218">
        <f t="shared" si="17"/>
        <v>15.877066794594018</v>
      </c>
      <c r="M134" s="218"/>
      <c r="N134" s="218"/>
      <c r="O134" s="218"/>
      <c r="P134" s="218"/>
      <c r="Q134" s="218"/>
      <c r="R134" s="218"/>
      <c r="S134" s="64"/>
    </row>
    <row r="135" spans="1:20" x14ac:dyDescent="0.25">
      <c r="A135" s="64" t="str">
        <f t="shared" si="12"/>
        <v>CIRF  457*10</v>
      </c>
      <c r="B135" s="163">
        <f t="shared" si="13"/>
        <v>110.23691541813906</v>
      </c>
      <c r="C135" s="64">
        <v>457</v>
      </c>
      <c r="D135" s="64">
        <v>10</v>
      </c>
      <c r="E135" s="64"/>
      <c r="F135" s="64"/>
      <c r="G135" s="64"/>
      <c r="H135" s="163">
        <f t="shared" si="14"/>
        <v>140.42919161546376</v>
      </c>
      <c r="I135" s="187">
        <f t="shared" si="15"/>
        <v>35091.324083319683</v>
      </c>
      <c r="J135" s="187">
        <f t="shared" si="16"/>
        <v>1535.7253428148656</v>
      </c>
      <c r="K135" s="228">
        <v>1998</v>
      </c>
      <c r="L135" s="218">
        <f t="shared" si="17"/>
        <v>15.807790800741261</v>
      </c>
      <c r="M135" s="218"/>
      <c r="N135" s="218"/>
      <c r="O135" s="218"/>
      <c r="P135" s="218"/>
      <c r="Q135" s="218"/>
      <c r="R135" s="218"/>
      <c r="S135" s="64"/>
    </row>
    <row r="136" spans="1:20" x14ac:dyDescent="0.25">
      <c r="A136" s="64" t="str">
        <f t="shared" si="12"/>
        <v>CIRF  457*12</v>
      </c>
      <c r="B136" s="163">
        <f t="shared" si="13"/>
        <v>131.69242244583054</v>
      </c>
      <c r="C136" s="64">
        <v>457</v>
      </c>
      <c r="D136" s="64">
        <v>12</v>
      </c>
      <c r="E136" s="64"/>
      <c r="F136" s="64"/>
      <c r="G136" s="64"/>
      <c r="H136" s="163">
        <f t="shared" si="14"/>
        <v>167.76104770169496</v>
      </c>
      <c r="I136" s="187">
        <f t="shared" si="15"/>
        <v>41556.298827496481</v>
      </c>
      <c r="J136" s="187">
        <f t="shared" si="16"/>
        <v>1818.6564038291676</v>
      </c>
      <c r="K136" s="228">
        <v>2377</v>
      </c>
      <c r="L136" s="218">
        <f t="shared" si="17"/>
        <v>15.738845256244181</v>
      </c>
      <c r="M136" s="218"/>
      <c r="N136" s="218"/>
      <c r="O136" s="218"/>
      <c r="P136" s="218"/>
      <c r="Q136" s="218"/>
      <c r="R136" s="218"/>
      <c r="S136" s="64"/>
    </row>
    <row r="137" spans="1:20" x14ac:dyDescent="0.25">
      <c r="A137" s="64" t="str">
        <f t="shared" si="12"/>
        <v>CIRF  457*12.5</v>
      </c>
      <c r="B137" s="163">
        <f t="shared" si="13"/>
        <v>137.02547232484008</v>
      </c>
      <c r="C137" s="64">
        <v>457</v>
      </c>
      <c r="D137" s="64">
        <v>12.5</v>
      </c>
      <c r="E137" s="64"/>
      <c r="F137" s="64"/>
      <c r="G137" s="64"/>
      <c r="H137" s="163">
        <f t="shared" si="14"/>
        <v>174.55474181508291</v>
      </c>
      <c r="I137" s="187">
        <f t="shared" si="15"/>
        <v>43144.804631147672</v>
      </c>
      <c r="J137" s="187">
        <f t="shared" si="16"/>
        <v>1888.1752573806421</v>
      </c>
      <c r="K137" s="228">
        <v>2470</v>
      </c>
      <c r="L137" s="218">
        <f t="shared" si="17"/>
        <v>15.721661012755616</v>
      </c>
      <c r="M137" s="218"/>
      <c r="N137" s="218"/>
      <c r="O137" s="218"/>
      <c r="P137" s="218"/>
      <c r="Q137" s="218"/>
      <c r="R137" s="218"/>
      <c r="S137" s="64"/>
    </row>
    <row r="138" spans="1:20" x14ac:dyDescent="0.25">
      <c r="A138" s="64" t="str">
        <f t="shared" si="12"/>
        <v>CIRF  457*16</v>
      </c>
      <c r="B138" s="163">
        <f t="shared" si="13"/>
        <v>174.01156044527721</v>
      </c>
      <c r="C138" s="64">
        <v>457</v>
      </c>
      <c r="D138" s="64">
        <v>16</v>
      </c>
      <c r="E138" s="64"/>
      <c r="F138" s="64"/>
      <c r="G138" s="64"/>
      <c r="H138" s="163">
        <f t="shared" si="14"/>
        <v>221.6707776372958</v>
      </c>
      <c r="I138" s="187">
        <f t="shared" si="15"/>
        <v>53959.377780942596</v>
      </c>
      <c r="J138" s="187">
        <f t="shared" si="16"/>
        <v>2361.4607343957373</v>
      </c>
      <c r="K138" s="228">
        <v>3113</v>
      </c>
      <c r="L138" s="218">
        <f t="shared" si="17"/>
        <v>15.60196301751802</v>
      </c>
      <c r="M138" s="218"/>
      <c r="N138" s="218"/>
      <c r="O138" s="218"/>
      <c r="P138" s="218"/>
      <c r="Q138" s="218"/>
      <c r="R138" s="218"/>
      <c r="S138" s="64"/>
    </row>
    <row r="139" spans="1:20" x14ac:dyDescent="0.25">
      <c r="A139" s="64" t="str">
        <f t="shared" si="12"/>
        <v>CIRF  457*20</v>
      </c>
      <c r="B139" s="163">
        <f t="shared" si="13"/>
        <v>215.54153037014211</v>
      </c>
      <c r="C139" s="64">
        <v>457</v>
      </c>
      <c r="D139" s="64">
        <v>20</v>
      </c>
      <c r="E139" s="64"/>
      <c r="F139" s="64"/>
      <c r="G139" s="64"/>
      <c r="H139" s="163">
        <f t="shared" si="14"/>
        <v>274.57519792374791</v>
      </c>
      <c r="I139" s="187">
        <f t="shared" si="15"/>
        <v>65681.476314337153</v>
      </c>
      <c r="J139" s="187">
        <f t="shared" si="16"/>
        <v>2874.4628583954986</v>
      </c>
      <c r="K139" s="228">
        <v>3822</v>
      </c>
      <c r="L139" s="218">
        <f t="shared" si="17"/>
        <v>15.466455637928169</v>
      </c>
      <c r="M139" s="218"/>
      <c r="N139" s="218"/>
      <c r="O139" s="218"/>
      <c r="P139" s="218"/>
      <c r="Q139" s="218"/>
      <c r="R139" s="218"/>
      <c r="S139" s="64"/>
    </row>
    <row r="140" spans="1:20" x14ac:dyDescent="0.25">
      <c r="A140" s="64" t="str">
        <f t="shared" si="12"/>
        <v>CIRF  457*25</v>
      </c>
      <c r="B140" s="163">
        <f t="shared" si="13"/>
        <v>266.34422517134271</v>
      </c>
      <c r="C140" s="64">
        <v>457</v>
      </c>
      <c r="D140" s="64">
        <v>25</v>
      </c>
      <c r="E140" s="64"/>
      <c r="F140" s="64"/>
      <c r="G140" s="64"/>
      <c r="H140" s="163">
        <f t="shared" si="14"/>
        <v>339.2920065876977</v>
      </c>
      <c r="I140" s="187">
        <f t="shared" si="15"/>
        <v>79415.111176924751</v>
      </c>
      <c r="J140" s="187">
        <f t="shared" si="16"/>
        <v>3475.4972068676038</v>
      </c>
      <c r="K140" s="228">
        <v>4671</v>
      </c>
      <c r="L140" s="218">
        <f t="shared" si="17"/>
        <v>15.299060428666852</v>
      </c>
      <c r="M140" s="218"/>
      <c r="N140" s="218"/>
      <c r="O140" s="218"/>
      <c r="P140" s="218"/>
      <c r="Q140" s="218"/>
      <c r="R140" s="218"/>
      <c r="S140" s="64"/>
    </row>
    <row r="141" spans="1:20" x14ac:dyDescent="0.25">
      <c r="A141" s="64" t="str">
        <f t="shared" si="12"/>
        <v>CIRF  457*30</v>
      </c>
      <c r="B141" s="163">
        <f t="shared" si="13"/>
        <v>315.91384485600923</v>
      </c>
      <c r="C141" s="64">
        <v>457</v>
      </c>
      <c r="D141" s="64">
        <v>30</v>
      </c>
      <c r="E141" s="64"/>
      <c r="F141" s="64"/>
      <c r="G141" s="64"/>
      <c r="H141" s="163">
        <f t="shared" si="14"/>
        <v>402.43801892485254</v>
      </c>
      <c r="I141" s="187">
        <f t="shared" si="15"/>
        <v>92172.894711977249</v>
      </c>
      <c r="J141" s="187">
        <f t="shared" si="16"/>
        <v>4033.8247138720894</v>
      </c>
      <c r="K141" s="228">
        <v>5479</v>
      </c>
      <c r="L141" s="218">
        <f t="shared" si="17"/>
        <v>15.133943636739234</v>
      </c>
      <c r="M141" s="218"/>
      <c r="N141" s="218"/>
      <c r="O141" s="218"/>
      <c r="P141" s="218"/>
      <c r="Q141" s="218"/>
      <c r="R141" s="218"/>
      <c r="S141" s="64"/>
    </row>
    <row r="142" spans="1:20" x14ac:dyDescent="0.25">
      <c r="A142" s="219" t="str">
        <f t="shared" si="12"/>
        <v>CIRF  508*6</v>
      </c>
      <c r="B142" s="168">
        <f t="shared" si="13"/>
        <v>74.280445020007789</v>
      </c>
      <c r="C142" s="167">
        <v>508</v>
      </c>
      <c r="D142" s="167">
        <v>6</v>
      </c>
      <c r="E142" s="167"/>
      <c r="F142" s="167"/>
      <c r="G142" s="167"/>
      <c r="H142" s="168">
        <f t="shared" si="14"/>
        <v>94.624770726124567</v>
      </c>
      <c r="I142" s="184">
        <f t="shared" si="15"/>
        <v>29811.534017265549</v>
      </c>
      <c r="J142" s="184">
        <f t="shared" si="16"/>
        <v>1173.6824416246277</v>
      </c>
      <c r="K142" s="229">
        <v>1512</v>
      </c>
      <c r="L142" s="220">
        <f t="shared" si="17"/>
        <v>17.749647883831386</v>
      </c>
      <c r="M142" s="220"/>
      <c r="N142" s="220"/>
      <c r="O142" s="220"/>
      <c r="P142" s="220"/>
      <c r="Q142" s="220"/>
      <c r="R142" s="220"/>
      <c r="S142" s="167"/>
      <c r="T142" s="221"/>
    </row>
    <row r="143" spans="1:20" x14ac:dyDescent="0.25">
      <c r="A143" s="222" t="str">
        <f t="shared" si="12"/>
        <v>CIRF  508*6.3</v>
      </c>
      <c r="B143" s="174">
        <f t="shared" si="13"/>
        <v>77.947857031603348</v>
      </c>
      <c r="C143" s="173">
        <v>508</v>
      </c>
      <c r="D143" s="173">
        <v>6.3</v>
      </c>
      <c r="E143" s="173"/>
      <c r="F143" s="173"/>
      <c r="G143" s="173"/>
      <c r="H143" s="174">
        <f t="shared" si="14"/>
        <v>99.296633161278152</v>
      </c>
      <c r="I143" s="185">
        <f t="shared" si="15"/>
        <v>31246.488271667135</v>
      </c>
      <c r="J143" s="185">
        <f t="shared" si="16"/>
        <v>1230.1767036089423</v>
      </c>
      <c r="K143" s="230">
        <v>1586</v>
      </c>
      <c r="L143" s="223">
        <f t="shared" si="17"/>
        <v>17.739172049450332</v>
      </c>
      <c r="M143" s="223"/>
      <c r="N143" s="223"/>
      <c r="O143" s="223"/>
      <c r="P143" s="223"/>
      <c r="Q143" s="223"/>
      <c r="R143" s="223"/>
      <c r="S143" s="173"/>
      <c r="T143" s="224"/>
    </row>
    <row r="144" spans="1:20" x14ac:dyDescent="0.25">
      <c r="A144" s="222" t="str">
        <f t="shared" si="12"/>
        <v>CIRF  508*8</v>
      </c>
      <c r="B144" s="174">
        <f t="shared" si="13"/>
        <v>98.646009322719507</v>
      </c>
      <c r="C144" s="173">
        <v>508</v>
      </c>
      <c r="D144" s="173">
        <v>8</v>
      </c>
      <c r="E144" s="173"/>
      <c r="F144" s="173"/>
      <c r="G144" s="173"/>
      <c r="H144" s="174">
        <f t="shared" si="14"/>
        <v>125.66370614359172</v>
      </c>
      <c r="I144" s="185">
        <f t="shared" si="15"/>
        <v>39279.961266363905</v>
      </c>
      <c r="J144" s="185">
        <f t="shared" si="16"/>
        <v>1546.4551679670828</v>
      </c>
      <c r="K144" s="230">
        <v>2000</v>
      </c>
      <c r="L144" s="223">
        <f t="shared" si="17"/>
        <v>17.679932126566552</v>
      </c>
      <c r="M144" s="223"/>
      <c r="N144" s="223"/>
      <c r="O144" s="223"/>
      <c r="P144" s="223"/>
      <c r="Q144" s="223"/>
      <c r="R144" s="223"/>
      <c r="S144" s="173"/>
      <c r="T144" s="224"/>
    </row>
    <row r="145" spans="1:20" x14ac:dyDescent="0.25">
      <c r="A145" s="222" t="str">
        <f t="shared" si="12"/>
        <v>CIRF  508*10</v>
      </c>
      <c r="B145" s="174">
        <f t="shared" si="13"/>
        <v>122.81428160678578</v>
      </c>
      <c r="C145" s="173">
        <v>508</v>
      </c>
      <c r="D145" s="173">
        <v>10</v>
      </c>
      <c r="E145" s="173"/>
      <c r="F145" s="173"/>
      <c r="G145" s="173"/>
      <c r="H145" s="174">
        <f t="shared" si="14"/>
        <v>156.4513141487717</v>
      </c>
      <c r="I145" s="185">
        <f t="shared" si="15"/>
        <v>48520.246056958567</v>
      </c>
      <c r="J145" s="185">
        <f t="shared" si="16"/>
        <v>1910.2459077542742</v>
      </c>
      <c r="K145" s="230">
        <v>2480</v>
      </c>
      <c r="L145" s="223">
        <f t="shared" si="17"/>
        <v>17.610508226624241</v>
      </c>
      <c r="M145" s="223"/>
      <c r="N145" s="223"/>
      <c r="O145" s="223"/>
      <c r="P145" s="223"/>
      <c r="Q145" s="223"/>
      <c r="R145" s="223"/>
      <c r="S145" s="173"/>
      <c r="T145" s="224"/>
    </row>
    <row r="146" spans="1:20" x14ac:dyDescent="0.25">
      <c r="A146" s="222" t="str">
        <f t="shared" si="12"/>
        <v>CIRF  508*12</v>
      </c>
      <c r="B146" s="174">
        <f t="shared" si="13"/>
        <v>146.78526187220663</v>
      </c>
      <c r="C146" s="173">
        <v>508</v>
      </c>
      <c r="D146" s="173">
        <v>12</v>
      </c>
      <c r="E146" s="173"/>
      <c r="F146" s="173"/>
      <c r="G146" s="173"/>
      <c r="H146" s="174">
        <f t="shared" si="14"/>
        <v>186.98759474166448</v>
      </c>
      <c r="I146" s="185">
        <f t="shared" si="15"/>
        <v>57536.082902010166</v>
      </c>
      <c r="J146" s="185">
        <f t="shared" si="16"/>
        <v>2265.2001142523686</v>
      </c>
      <c r="K146" s="230">
        <v>2953</v>
      </c>
      <c r="L146" s="223">
        <f t="shared" si="17"/>
        <v>17.541379649275026</v>
      </c>
      <c r="M146" s="223"/>
      <c r="N146" s="223"/>
      <c r="O146" s="223"/>
      <c r="P146" s="223"/>
      <c r="Q146" s="223"/>
      <c r="R146" s="223"/>
      <c r="S146" s="173"/>
      <c r="T146" s="224"/>
    </row>
    <row r="147" spans="1:20" x14ac:dyDescent="0.25">
      <c r="A147" s="222" t="str">
        <f t="shared" si="12"/>
        <v>CIRF  508*12.5</v>
      </c>
      <c r="B147" s="174">
        <f t="shared" si="13"/>
        <v>152.74718006064847</v>
      </c>
      <c r="C147" s="173">
        <v>508</v>
      </c>
      <c r="D147" s="173">
        <v>12.5</v>
      </c>
      <c r="E147" s="173"/>
      <c r="F147" s="173"/>
      <c r="G147" s="173"/>
      <c r="H147" s="174">
        <f t="shared" si="14"/>
        <v>194.58239498171781</v>
      </c>
      <c r="I147" s="185">
        <f t="shared" si="15"/>
        <v>59755.402200907498</v>
      </c>
      <c r="J147" s="185">
        <f t="shared" si="16"/>
        <v>2352.5748897995077</v>
      </c>
      <c r="K147" s="230">
        <v>3070</v>
      </c>
      <c r="L147" s="223">
        <f t="shared" si="17"/>
        <v>17.52414405898331</v>
      </c>
      <c r="M147" s="223"/>
      <c r="N147" s="223"/>
      <c r="O147" s="223"/>
      <c r="P147" s="223"/>
      <c r="Q147" s="223"/>
      <c r="R147" s="223"/>
      <c r="S147" s="173"/>
      <c r="T147" s="224"/>
    </row>
    <row r="148" spans="1:20" x14ac:dyDescent="0.25">
      <c r="A148" s="222" t="str">
        <f t="shared" si="12"/>
        <v>CIRF  508*16</v>
      </c>
      <c r="B148" s="174">
        <f t="shared" si="13"/>
        <v>194.13534634711198</v>
      </c>
      <c r="C148" s="173">
        <v>508</v>
      </c>
      <c r="D148" s="173">
        <v>16</v>
      </c>
      <c r="E148" s="173"/>
      <c r="F148" s="173"/>
      <c r="G148" s="173"/>
      <c r="H148" s="174">
        <f t="shared" si="14"/>
        <v>247.30617369058851</v>
      </c>
      <c r="I148" s="185">
        <f t="shared" si="15"/>
        <v>74909.040010879267</v>
      </c>
      <c r="J148" s="185">
        <f t="shared" si="16"/>
        <v>2949.1748035779237</v>
      </c>
      <c r="K148" s="230">
        <v>3874</v>
      </c>
      <c r="L148" s="223">
        <f t="shared" si="17"/>
        <v>17.40402252354323</v>
      </c>
      <c r="M148" s="223"/>
      <c r="N148" s="223"/>
      <c r="O148" s="223"/>
      <c r="P148" s="223"/>
      <c r="Q148" s="223"/>
      <c r="R148" s="223"/>
      <c r="S148" s="173"/>
      <c r="T148" s="224"/>
    </row>
    <row r="149" spans="1:20" x14ac:dyDescent="0.25">
      <c r="A149" s="222" t="str">
        <f t="shared" si="12"/>
        <v>CIRF  508*20</v>
      </c>
      <c r="B149" s="174">
        <f t="shared" si="13"/>
        <v>240.69626274743561</v>
      </c>
      <c r="C149" s="173">
        <v>508</v>
      </c>
      <c r="D149" s="173">
        <v>20</v>
      </c>
      <c r="E149" s="173"/>
      <c r="F149" s="173"/>
      <c r="G149" s="173"/>
      <c r="H149" s="174">
        <f t="shared" si="14"/>
        <v>306.61944299036384</v>
      </c>
      <c r="I149" s="185">
        <f t="shared" si="15"/>
        <v>91427.785510866684</v>
      </c>
      <c r="J149" s="185">
        <f t="shared" si="16"/>
        <v>3599.5191146010502</v>
      </c>
      <c r="K149" s="230">
        <v>4766</v>
      </c>
      <c r="L149" s="223">
        <f t="shared" si="17"/>
        <v>17.267889274604467</v>
      </c>
      <c r="M149" s="223"/>
      <c r="N149" s="223"/>
      <c r="O149" s="223"/>
      <c r="P149" s="223"/>
      <c r="Q149" s="223"/>
      <c r="R149" s="223"/>
      <c r="S149" s="173"/>
      <c r="T149" s="224"/>
    </row>
    <row r="150" spans="1:20" x14ac:dyDescent="0.25">
      <c r="A150" s="222" t="str">
        <f t="shared" si="12"/>
        <v>CIRF  508*25</v>
      </c>
      <c r="B150" s="174">
        <f t="shared" si="13"/>
        <v>297.7876406429595</v>
      </c>
      <c r="C150" s="173">
        <v>508</v>
      </c>
      <c r="D150" s="173">
        <v>25</v>
      </c>
      <c r="E150" s="173"/>
      <c r="F150" s="173"/>
      <c r="G150" s="173"/>
      <c r="H150" s="174">
        <f t="shared" si="14"/>
        <v>379.34731292096751</v>
      </c>
      <c r="I150" s="185">
        <f t="shared" si="15"/>
        <v>110918.30919324401</v>
      </c>
      <c r="J150" s="185">
        <f t="shared" si="16"/>
        <v>4366.8625666631497</v>
      </c>
      <c r="K150" s="230">
        <v>5837</v>
      </c>
      <c r="L150" s="223">
        <f t="shared" si="17"/>
        <v>17.099488296437414</v>
      </c>
      <c r="M150" s="223"/>
      <c r="N150" s="223"/>
      <c r="O150" s="223"/>
      <c r="P150" s="223"/>
      <c r="Q150" s="223"/>
      <c r="R150" s="223"/>
      <c r="S150" s="173"/>
      <c r="T150" s="224"/>
    </row>
    <row r="151" spans="1:20" x14ac:dyDescent="0.25">
      <c r="A151" s="225" t="str">
        <f t="shared" si="12"/>
        <v>CIRF  508*30</v>
      </c>
      <c r="B151" s="180">
        <f t="shared" si="13"/>
        <v>353.64594342194943</v>
      </c>
      <c r="C151" s="179">
        <v>508</v>
      </c>
      <c r="D151" s="179">
        <v>30</v>
      </c>
      <c r="E151" s="179"/>
      <c r="F151" s="179"/>
      <c r="G151" s="179"/>
      <c r="H151" s="180">
        <f t="shared" si="14"/>
        <v>450.50438652477635</v>
      </c>
      <c r="I151" s="186">
        <f t="shared" si="15"/>
        <v>129173.12274824914</v>
      </c>
      <c r="J151" s="186">
        <f t="shared" si="16"/>
        <v>5085.5560137105958</v>
      </c>
      <c r="K151" s="231">
        <v>6864</v>
      </c>
      <c r="L151" s="226">
        <f t="shared" si="17"/>
        <v>16.933103672983286</v>
      </c>
      <c r="M151" s="226"/>
      <c r="N151" s="226"/>
      <c r="O151" s="226"/>
      <c r="P151" s="226"/>
      <c r="Q151" s="226"/>
      <c r="R151" s="226"/>
      <c r="S151" s="179"/>
      <c r="T151" s="227"/>
    </row>
    <row r="152" spans="1:20" x14ac:dyDescent="0.25">
      <c r="A152" s="64" t="str">
        <f t="shared" si="12"/>
        <v>CIRF  610*6</v>
      </c>
      <c r="B152" s="163">
        <f t="shared" si="13"/>
        <v>89.373284446383877</v>
      </c>
      <c r="C152" s="64">
        <v>610</v>
      </c>
      <c r="D152" s="64">
        <v>6</v>
      </c>
      <c r="E152" s="64"/>
      <c r="F152" s="64"/>
      <c r="G152" s="64"/>
      <c r="H152" s="163">
        <f t="shared" si="14"/>
        <v>113.85131776609411</v>
      </c>
      <c r="I152" s="187">
        <f t="shared" si="15"/>
        <v>51923.601236993709</v>
      </c>
      <c r="J152" s="187">
        <f t="shared" si="16"/>
        <v>1702.4131553112691</v>
      </c>
      <c r="K152" s="228">
        <v>2189</v>
      </c>
      <c r="L152" s="218">
        <f t="shared" si="17"/>
        <v>21.355678401774082</v>
      </c>
      <c r="M152" s="218"/>
      <c r="N152" s="218"/>
      <c r="O152" s="218"/>
      <c r="P152" s="218"/>
      <c r="Q152" s="218"/>
      <c r="R152" s="218"/>
      <c r="S152" s="64"/>
    </row>
    <row r="153" spans="1:20" x14ac:dyDescent="0.25">
      <c r="A153" s="64" t="str">
        <f t="shared" si="12"/>
        <v>CIRF  610*6.3</v>
      </c>
      <c r="B153" s="163">
        <f t="shared" si="13"/>
        <v>93.795338429298383</v>
      </c>
      <c r="C153" s="64">
        <v>610</v>
      </c>
      <c r="D153" s="64">
        <v>6.3</v>
      </c>
      <c r="E153" s="64"/>
      <c r="F153" s="64"/>
      <c r="G153" s="64"/>
      <c r="H153" s="163">
        <f t="shared" si="14"/>
        <v>119.48450755324635</v>
      </c>
      <c r="I153" s="187">
        <f t="shared" si="15"/>
        <v>54439.140019647872</v>
      </c>
      <c r="J153" s="187">
        <f t="shared" si="16"/>
        <v>1784.8898367097663</v>
      </c>
      <c r="K153" s="228">
        <v>2296</v>
      </c>
      <c r="L153" s="218">
        <f t="shared" si="17"/>
        <v>21.345180369348022</v>
      </c>
      <c r="M153" s="218"/>
      <c r="N153" s="218"/>
      <c r="O153" s="218"/>
      <c r="P153" s="218"/>
      <c r="Q153" s="218"/>
      <c r="R153" s="218"/>
      <c r="S153" s="64"/>
    </row>
    <row r="154" spans="1:20" x14ac:dyDescent="0.25">
      <c r="A154" s="64" t="str">
        <f t="shared" si="12"/>
        <v>CIRF  610*8</v>
      </c>
      <c r="B154" s="163">
        <f t="shared" si="13"/>
        <v>118.76979522455429</v>
      </c>
      <c r="C154" s="64">
        <v>610</v>
      </c>
      <c r="D154" s="64">
        <v>8</v>
      </c>
      <c r="E154" s="64"/>
      <c r="F154" s="64"/>
      <c r="G154" s="64"/>
      <c r="H154" s="163">
        <f t="shared" si="14"/>
        <v>151.29910219688443</v>
      </c>
      <c r="I154" s="187">
        <f t="shared" si="15"/>
        <v>68551.353718875383</v>
      </c>
      <c r="J154" s="187">
        <f t="shared" si="16"/>
        <v>2247.58536783198</v>
      </c>
      <c r="K154" s="228">
        <v>2899</v>
      </c>
      <c r="L154" s="218">
        <f t="shared" si="17"/>
        <v>21.285793384320915</v>
      </c>
      <c r="M154" s="218"/>
      <c r="N154" s="218"/>
      <c r="O154" s="218"/>
      <c r="P154" s="218"/>
      <c r="Q154" s="218"/>
      <c r="R154" s="218"/>
      <c r="S154" s="64"/>
    </row>
    <row r="155" spans="1:20" x14ac:dyDescent="0.25">
      <c r="A155" s="64" t="str">
        <f t="shared" si="12"/>
        <v>CIRF  610*10</v>
      </c>
      <c r="B155" s="163">
        <f t="shared" si="13"/>
        <v>147.96901398407928</v>
      </c>
      <c r="C155" s="64">
        <v>610</v>
      </c>
      <c r="D155" s="64">
        <v>10</v>
      </c>
      <c r="E155" s="64"/>
      <c r="F155" s="64"/>
      <c r="G155" s="64"/>
      <c r="H155" s="163">
        <f t="shared" si="14"/>
        <v>188.4955592153876</v>
      </c>
      <c r="I155" s="187">
        <f t="shared" si="15"/>
        <v>84846.563591826343</v>
      </c>
      <c r="J155" s="187">
        <f t="shared" si="16"/>
        <v>2781.8545439943064</v>
      </c>
      <c r="K155" s="228">
        <v>3600</v>
      </c>
      <c r="L155" s="218">
        <f t="shared" si="17"/>
        <v>21.216149509277127</v>
      </c>
      <c r="M155" s="218"/>
      <c r="N155" s="218"/>
      <c r="O155" s="218"/>
      <c r="P155" s="218"/>
      <c r="Q155" s="218"/>
      <c r="R155" s="218"/>
      <c r="S155" s="64"/>
    </row>
    <row r="156" spans="1:20" x14ac:dyDescent="0.25">
      <c r="A156" s="64" t="str">
        <f t="shared" si="12"/>
        <v>CIRF  610*12</v>
      </c>
      <c r="B156" s="163">
        <f t="shared" si="13"/>
        <v>176.97094072495878</v>
      </c>
      <c r="C156" s="64">
        <v>610</v>
      </c>
      <c r="D156" s="64">
        <v>12</v>
      </c>
      <c r="E156" s="64"/>
      <c r="F156" s="64"/>
      <c r="G156" s="64"/>
      <c r="H156" s="163">
        <f t="shared" si="14"/>
        <v>225.44068882160354</v>
      </c>
      <c r="I156" s="187">
        <f t="shared" si="15"/>
        <v>100813.69443068879</v>
      </c>
      <c r="J156" s="187">
        <f t="shared" si="16"/>
        <v>3305.3670305143864</v>
      </c>
      <c r="K156" s="228">
        <v>4292</v>
      </c>
      <c r="L156" s="218">
        <f t="shared" si="17"/>
        <v>21.146749159149735</v>
      </c>
      <c r="M156" s="218"/>
      <c r="N156" s="218"/>
      <c r="O156" s="218"/>
      <c r="P156" s="218"/>
      <c r="Q156" s="218"/>
      <c r="R156" s="218"/>
      <c r="S156" s="64"/>
    </row>
    <row r="157" spans="1:20" x14ac:dyDescent="0.25">
      <c r="A157" s="64" t="str">
        <f t="shared" si="12"/>
        <v>CIRF  610*12.5</v>
      </c>
      <c r="B157" s="163">
        <f t="shared" si="13"/>
        <v>184.19059553226535</v>
      </c>
      <c r="C157" s="64">
        <v>610</v>
      </c>
      <c r="D157" s="64">
        <v>12.5</v>
      </c>
      <c r="E157" s="64"/>
      <c r="F157" s="64"/>
      <c r="G157" s="64"/>
      <c r="H157" s="163">
        <f t="shared" si="14"/>
        <v>234.63770131498768</v>
      </c>
      <c r="I157" s="187">
        <f t="shared" si="15"/>
        <v>104754.73499489286</v>
      </c>
      <c r="J157" s="187">
        <f t="shared" si="16"/>
        <v>3434.5814752423889</v>
      </c>
      <c r="K157" s="228">
        <v>4463</v>
      </c>
      <c r="L157" s="218">
        <f t="shared" si="17"/>
        <v>21.12943740377391</v>
      </c>
      <c r="M157" s="218"/>
      <c r="N157" s="218"/>
      <c r="O157" s="218"/>
      <c r="P157" s="218"/>
      <c r="Q157" s="218"/>
      <c r="R157" s="218"/>
      <c r="S157" s="64"/>
    </row>
    <row r="158" spans="1:20" x14ac:dyDescent="0.25">
      <c r="A158" s="64" t="str">
        <f t="shared" si="12"/>
        <v>CIRF  610*16</v>
      </c>
      <c r="B158" s="163">
        <f t="shared" si="13"/>
        <v>234.38291815078156</v>
      </c>
      <c r="C158" s="64">
        <v>610</v>
      </c>
      <c r="D158" s="64">
        <v>16</v>
      </c>
      <c r="E158" s="64"/>
      <c r="F158" s="64"/>
      <c r="G158" s="64"/>
      <c r="H158" s="163">
        <f t="shared" si="14"/>
        <v>298.57696579717395</v>
      </c>
      <c r="I158" s="187">
        <f t="shared" si="15"/>
        <v>131781.4225090697</v>
      </c>
      <c r="J158" s="187">
        <f t="shared" si="16"/>
        <v>4320.7023773465471</v>
      </c>
      <c r="K158" s="228">
        <v>5647</v>
      </c>
      <c r="L158" s="218">
        <f t="shared" si="17"/>
        <v>21.008688678734806</v>
      </c>
      <c r="M158" s="218"/>
      <c r="N158" s="218"/>
      <c r="O158" s="218"/>
      <c r="P158" s="218"/>
      <c r="Q158" s="218"/>
      <c r="R158" s="218"/>
      <c r="S158" s="64"/>
    </row>
    <row r="159" spans="1:20" x14ac:dyDescent="0.25">
      <c r="A159" s="64" t="str">
        <f t="shared" si="12"/>
        <v>CIRF  610*20</v>
      </c>
      <c r="B159" s="163">
        <f t="shared" si="13"/>
        <v>291.00572750202252</v>
      </c>
      <c r="C159" s="64">
        <v>610</v>
      </c>
      <c r="D159" s="64">
        <v>20</v>
      </c>
      <c r="E159" s="64"/>
      <c r="F159" s="64"/>
      <c r="G159" s="64"/>
      <c r="H159" s="163">
        <f t="shared" si="14"/>
        <v>370.70793312359558</v>
      </c>
      <c r="I159" s="187">
        <f t="shared" si="15"/>
        <v>161489.64336696634</v>
      </c>
      <c r="J159" s="187">
        <f t="shared" si="16"/>
        <v>5294.742405474306</v>
      </c>
      <c r="K159" s="228">
        <v>6965</v>
      </c>
      <c r="L159" s="218">
        <f t="shared" si="17"/>
        <v>20.871631464741803</v>
      </c>
      <c r="M159" s="218"/>
      <c r="N159" s="218"/>
      <c r="O159" s="218"/>
      <c r="P159" s="218"/>
      <c r="Q159" s="218"/>
      <c r="R159" s="218"/>
      <c r="S159" s="64"/>
    </row>
    <row r="160" spans="1:20" x14ac:dyDescent="0.25">
      <c r="A160" s="64" t="str">
        <f t="shared" si="12"/>
        <v>CIRF  610*25</v>
      </c>
      <c r="B160" s="163">
        <f t="shared" si="13"/>
        <v>360.67447158619325</v>
      </c>
      <c r="C160" s="64">
        <v>610</v>
      </c>
      <c r="D160" s="64">
        <v>25</v>
      </c>
      <c r="E160" s="64"/>
      <c r="F160" s="64"/>
      <c r="G160" s="64"/>
      <c r="H160" s="163">
        <f t="shared" si="14"/>
        <v>459.4579255875073</v>
      </c>
      <c r="I160" s="187">
        <f t="shared" si="15"/>
        <v>196906.43723459606</v>
      </c>
      <c r="J160" s="187">
        <f t="shared" si="16"/>
        <v>6455.948761790035</v>
      </c>
      <c r="K160" s="228">
        <v>8561</v>
      </c>
      <c r="L160" s="218">
        <f t="shared" si="17"/>
        <v>20.701751133660164</v>
      </c>
      <c r="M160" s="218"/>
      <c r="N160" s="218"/>
      <c r="O160" s="218"/>
      <c r="P160" s="218"/>
      <c r="Q160" s="218"/>
      <c r="R160" s="218"/>
      <c r="S160" s="64"/>
    </row>
    <row r="161" spans="1:20" x14ac:dyDescent="0.25">
      <c r="A161" s="64" t="str">
        <f t="shared" si="12"/>
        <v>CIRF  610*30</v>
      </c>
      <c r="B161" s="163">
        <f t="shared" si="13"/>
        <v>429.11014055382981</v>
      </c>
      <c r="C161" s="64">
        <v>610</v>
      </c>
      <c r="D161" s="64">
        <v>30</v>
      </c>
      <c r="E161" s="64"/>
      <c r="F161" s="64"/>
      <c r="G161" s="64"/>
      <c r="H161" s="163">
        <f t="shared" si="14"/>
        <v>546.63712172462397</v>
      </c>
      <c r="I161" s="187">
        <f t="shared" si="15"/>
        <v>230475.8764471446</v>
      </c>
      <c r="J161" s="187">
        <f t="shared" si="16"/>
        <v>7556.5861130211342</v>
      </c>
      <c r="K161" s="228">
        <v>10101</v>
      </c>
      <c r="L161" s="218">
        <f t="shared" si="17"/>
        <v>20.533509198381072</v>
      </c>
      <c r="M161" s="218"/>
      <c r="N161" s="218"/>
      <c r="O161" s="218"/>
      <c r="P161" s="218"/>
      <c r="Q161" s="218"/>
      <c r="R161" s="218"/>
      <c r="S161" s="64"/>
    </row>
    <row r="162" spans="1:20" x14ac:dyDescent="0.25">
      <c r="A162" s="219" t="str">
        <f t="shared" si="12"/>
        <v>CIRF  711*6</v>
      </c>
      <c r="B162" s="168">
        <f t="shared" si="13"/>
        <v>104.31815485877588</v>
      </c>
      <c r="C162" s="167">
        <v>711</v>
      </c>
      <c r="D162" s="167">
        <v>6</v>
      </c>
      <c r="E162" s="167"/>
      <c r="F162" s="167"/>
      <c r="G162" s="167"/>
      <c r="H162" s="168">
        <f t="shared" si="14"/>
        <v>132.88936924684825</v>
      </c>
      <c r="I162" s="184">
        <f t="shared" si="15"/>
        <v>82567.653459009554</v>
      </c>
      <c r="J162" s="184">
        <f t="shared" si="16"/>
        <v>2322.5781563715764</v>
      </c>
      <c r="K162" s="229">
        <v>2982</v>
      </c>
      <c r="L162" s="220">
        <f t="shared" si="17"/>
        <v>24.926416709988622</v>
      </c>
      <c r="M162" s="220"/>
      <c r="N162" s="220"/>
      <c r="O162" s="220"/>
      <c r="P162" s="220"/>
      <c r="Q162" s="220"/>
      <c r="R162" s="220"/>
      <c r="S162" s="167"/>
      <c r="T162" s="221"/>
    </row>
    <row r="163" spans="1:20" x14ac:dyDescent="0.25">
      <c r="A163" s="222" t="str">
        <f t="shared" si="12"/>
        <v>CIRF  711*6.3</v>
      </c>
      <c r="B163" s="174">
        <f t="shared" si="13"/>
        <v>109.48745236231007</v>
      </c>
      <c r="C163" s="173">
        <v>711</v>
      </c>
      <c r="D163" s="173">
        <v>6.3</v>
      </c>
      <c r="E163" s="173"/>
      <c r="F163" s="173"/>
      <c r="G163" s="173"/>
      <c r="H163" s="174">
        <f t="shared" si="14"/>
        <v>139.4744616080383</v>
      </c>
      <c r="I163" s="185">
        <f t="shared" si="15"/>
        <v>86586.056096947257</v>
      </c>
      <c r="J163" s="185">
        <f t="shared" si="16"/>
        <v>2435.613392319191</v>
      </c>
      <c r="K163" s="230">
        <v>3129</v>
      </c>
      <c r="L163" s="223">
        <f t="shared" si="17"/>
        <v>24.915903054073716</v>
      </c>
      <c r="M163" s="223"/>
      <c r="N163" s="223"/>
      <c r="O163" s="223"/>
      <c r="P163" s="223"/>
      <c r="Q163" s="223"/>
      <c r="R163" s="223"/>
      <c r="S163" s="173"/>
      <c r="T163" s="224"/>
    </row>
    <row r="164" spans="1:20" x14ac:dyDescent="0.25">
      <c r="A164" s="222" t="str">
        <f t="shared" si="12"/>
        <v>CIRF  711*8</v>
      </c>
      <c r="B164" s="174">
        <f t="shared" si="13"/>
        <v>138.69628910774361</v>
      </c>
      <c r="C164" s="173">
        <v>711</v>
      </c>
      <c r="D164" s="173">
        <v>8</v>
      </c>
      <c r="E164" s="173"/>
      <c r="F164" s="173"/>
      <c r="G164" s="173"/>
      <c r="H164" s="174">
        <f t="shared" si="14"/>
        <v>176.68317083788995</v>
      </c>
      <c r="I164" s="185">
        <f t="shared" si="15"/>
        <v>109162.15112444549</v>
      </c>
      <c r="J164" s="185">
        <f t="shared" si="16"/>
        <v>3070.6652918268769</v>
      </c>
      <c r="K164" s="230">
        <v>3954</v>
      </c>
      <c r="L164" s="223">
        <f t="shared" si="17"/>
        <v>24.85641265347838</v>
      </c>
      <c r="M164" s="223"/>
      <c r="N164" s="223"/>
      <c r="O164" s="223"/>
      <c r="P164" s="223"/>
      <c r="Q164" s="223"/>
      <c r="R164" s="223"/>
      <c r="S164" s="173"/>
      <c r="T164" s="224"/>
    </row>
    <row r="165" spans="1:20" x14ac:dyDescent="0.25">
      <c r="A165" s="222" t="str">
        <f t="shared" si="12"/>
        <v>CIRF  711*10</v>
      </c>
      <c r="B165" s="174">
        <f t="shared" si="13"/>
        <v>172.87713133806591</v>
      </c>
      <c r="C165" s="173">
        <v>711</v>
      </c>
      <c r="D165" s="173">
        <v>10</v>
      </c>
      <c r="E165" s="173"/>
      <c r="F165" s="173"/>
      <c r="G165" s="173"/>
      <c r="H165" s="174">
        <f t="shared" si="14"/>
        <v>220.22564501664448</v>
      </c>
      <c r="I165" s="185">
        <f t="shared" si="15"/>
        <v>135301.40593915724</v>
      </c>
      <c r="J165" s="185">
        <f t="shared" si="16"/>
        <v>3805.9467212139866</v>
      </c>
      <c r="K165" s="230">
        <v>4914</v>
      </c>
      <c r="L165" s="223">
        <f t="shared" si="17"/>
        <v>24.786614331126387</v>
      </c>
      <c r="M165" s="223"/>
      <c r="N165" s="223"/>
      <c r="O165" s="223"/>
      <c r="P165" s="223"/>
      <c r="Q165" s="223"/>
      <c r="R165" s="223"/>
      <c r="S165" s="173"/>
      <c r="T165" s="224"/>
    </row>
    <row r="166" spans="1:20" x14ac:dyDescent="0.25">
      <c r="A166" s="222" t="str">
        <f t="shared" si="12"/>
        <v>CIRF  711*12</v>
      </c>
      <c r="B166" s="174">
        <f t="shared" si="13"/>
        <v>206.86068154974279</v>
      </c>
      <c r="C166" s="173">
        <v>711</v>
      </c>
      <c r="D166" s="173">
        <v>12</v>
      </c>
      <c r="E166" s="173"/>
      <c r="F166" s="173"/>
      <c r="G166" s="173"/>
      <c r="H166" s="174">
        <f t="shared" si="14"/>
        <v>263.51679178311184</v>
      </c>
      <c r="I166" s="185">
        <f t="shared" si="15"/>
        <v>160990.64300004626</v>
      </c>
      <c r="J166" s="185">
        <f t="shared" si="16"/>
        <v>4528.5694233486984</v>
      </c>
      <c r="K166" s="230">
        <v>5864</v>
      </c>
      <c r="L166" s="223">
        <f t="shared" si="17"/>
        <v>24.717023485848777</v>
      </c>
      <c r="M166" s="223"/>
      <c r="N166" s="223"/>
      <c r="O166" s="223"/>
      <c r="P166" s="223"/>
      <c r="Q166" s="223"/>
      <c r="R166" s="223"/>
      <c r="S166" s="173"/>
      <c r="T166" s="224"/>
    </row>
    <row r="167" spans="1:20" x14ac:dyDescent="0.25">
      <c r="A167" s="222" t="str">
        <f t="shared" si="12"/>
        <v>CIRF  711*12.5</v>
      </c>
      <c r="B167" s="174">
        <f t="shared" si="13"/>
        <v>215.32574222474869</v>
      </c>
      <c r="C167" s="173">
        <v>711</v>
      </c>
      <c r="D167" s="173">
        <v>12.5</v>
      </c>
      <c r="E167" s="173"/>
      <c r="F167" s="173"/>
      <c r="G167" s="173"/>
      <c r="H167" s="174">
        <f t="shared" si="14"/>
        <v>274.30030856655884</v>
      </c>
      <c r="I167" s="185">
        <f t="shared" si="15"/>
        <v>167343.2464356648</v>
      </c>
      <c r="J167" s="185">
        <f t="shared" si="16"/>
        <v>4707.2643160524549</v>
      </c>
      <c r="K167" s="230">
        <v>6099</v>
      </c>
      <c r="L167" s="223">
        <f t="shared" si="17"/>
        <v>24.699658398447536</v>
      </c>
      <c r="M167" s="223"/>
      <c r="N167" s="223"/>
      <c r="O167" s="223"/>
      <c r="P167" s="223"/>
      <c r="Q167" s="223"/>
      <c r="R167" s="223"/>
      <c r="S167" s="173"/>
      <c r="T167" s="224"/>
    </row>
    <row r="168" spans="1:20" x14ac:dyDescent="0.25">
      <c r="A168" s="222" t="str">
        <f t="shared" si="12"/>
        <v>CIRF  711*16</v>
      </c>
      <c r="B168" s="174">
        <f t="shared" si="13"/>
        <v>274.23590591716021</v>
      </c>
      <c r="C168" s="173">
        <v>711</v>
      </c>
      <c r="D168" s="173">
        <v>16</v>
      </c>
      <c r="E168" s="173"/>
      <c r="F168" s="173"/>
      <c r="G168" s="173"/>
      <c r="H168" s="174">
        <f t="shared" si="14"/>
        <v>349.34510307918498</v>
      </c>
      <c r="I168" s="185">
        <f t="shared" si="15"/>
        <v>211039.81345151452</v>
      </c>
      <c r="J168" s="185">
        <f t="shared" si="16"/>
        <v>5936.4223193112375</v>
      </c>
      <c r="K168" s="230">
        <v>7730</v>
      </c>
      <c r="L168" s="223">
        <f t="shared" si="17"/>
        <v>24.57847127060591</v>
      </c>
      <c r="M168" s="223"/>
      <c r="N168" s="223"/>
      <c r="O168" s="223"/>
      <c r="P168" s="223"/>
      <c r="Q168" s="223"/>
      <c r="R168" s="223"/>
      <c r="S168" s="173"/>
      <c r="T168" s="224"/>
    </row>
    <row r="169" spans="1:20" x14ac:dyDescent="0.25">
      <c r="A169" s="222" t="str">
        <f t="shared" si="12"/>
        <v>CIRF  711*20</v>
      </c>
      <c r="B169" s="174">
        <f t="shared" si="13"/>
        <v>340.82196220999589</v>
      </c>
      <c r="C169" s="173">
        <v>711</v>
      </c>
      <c r="D169" s="173">
        <v>20</v>
      </c>
      <c r="E169" s="173"/>
      <c r="F169" s="173"/>
      <c r="G169" s="173"/>
      <c r="H169" s="174">
        <f t="shared" si="14"/>
        <v>434.16810472610939</v>
      </c>
      <c r="I169" s="185">
        <f t="shared" si="15"/>
        <v>259350.86006827236</v>
      </c>
      <c r="J169" s="185">
        <f t="shared" si="16"/>
        <v>7295.3828429893765</v>
      </c>
      <c r="K169" s="230">
        <v>9552</v>
      </c>
      <c r="L169" s="223">
        <f t="shared" si="17"/>
        <v>24.440770241545174</v>
      </c>
      <c r="M169" s="223"/>
      <c r="N169" s="223"/>
      <c r="O169" s="223"/>
      <c r="P169" s="223"/>
      <c r="Q169" s="223"/>
      <c r="R169" s="223"/>
      <c r="S169" s="173"/>
      <c r="T169" s="224"/>
    </row>
    <row r="170" spans="1:20" x14ac:dyDescent="0.25">
      <c r="A170" s="222" t="str">
        <f t="shared" si="12"/>
        <v>CIRF  711*25</v>
      </c>
      <c r="B170" s="174">
        <f t="shared" si="13"/>
        <v>422.94476497115994</v>
      </c>
      <c r="C170" s="173">
        <v>711</v>
      </c>
      <c r="D170" s="173">
        <v>25</v>
      </c>
      <c r="E170" s="173"/>
      <c r="F170" s="173"/>
      <c r="G170" s="173"/>
      <c r="H170" s="174">
        <f t="shared" si="14"/>
        <v>538.78314009064957</v>
      </c>
      <c r="I170" s="185">
        <f t="shared" si="15"/>
        <v>317357.41257081996</v>
      </c>
      <c r="J170" s="185">
        <f t="shared" si="16"/>
        <v>8927.0720835673674</v>
      </c>
      <c r="K170" s="230">
        <v>11770</v>
      </c>
      <c r="L170" s="223">
        <f t="shared" si="17"/>
        <v>24.269862999201294</v>
      </c>
      <c r="M170" s="223"/>
      <c r="N170" s="223"/>
      <c r="O170" s="223"/>
      <c r="P170" s="223"/>
      <c r="Q170" s="223"/>
      <c r="R170" s="223"/>
      <c r="S170" s="173"/>
      <c r="T170" s="224"/>
    </row>
    <row r="171" spans="1:20" x14ac:dyDescent="0.25">
      <c r="A171" s="225" t="str">
        <f t="shared" si="12"/>
        <v>CIRF  711*30</v>
      </c>
      <c r="B171" s="180">
        <f t="shared" si="13"/>
        <v>503.83449261578994</v>
      </c>
      <c r="C171" s="179">
        <v>711</v>
      </c>
      <c r="D171" s="179">
        <v>30</v>
      </c>
      <c r="E171" s="179"/>
      <c r="F171" s="179"/>
      <c r="G171" s="179"/>
      <c r="H171" s="180">
        <f t="shared" si="14"/>
        <v>641.8273791283948</v>
      </c>
      <c r="I171" s="186">
        <f t="shared" si="15"/>
        <v>372790.18976647378</v>
      </c>
      <c r="J171" s="186">
        <f t="shared" si="16"/>
        <v>10486.362581335407</v>
      </c>
      <c r="K171" s="231">
        <v>13922</v>
      </c>
      <c r="L171" s="226">
        <f t="shared" si="17"/>
        <v>24.100337134571376</v>
      </c>
      <c r="M171" s="226"/>
      <c r="N171" s="226"/>
      <c r="O171" s="226"/>
      <c r="P171" s="226"/>
      <c r="Q171" s="226"/>
      <c r="R171" s="226"/>
      <c r="S171" s="179"/>
      <c r="T171" s="227"/>
    </row>
    <row r="172" spans="1:20" x14ac:dyDescent="0.25">
      <c r="A172" s="64" t="str">
        <f t="shared" si="12"/>
        <v>CIRF  762*6</v>
      </c>
      <c r="B172" s="163">
        <f t="shared" si="13"/>
        <v>111.86457457196393</v>
      </c>
      <c r="C172" s="64">
        <v>762</v>
      </c>
      <c r="D172" s="64">
        <v>6</v>
      </c>
      <c r="E172" s="64"/>
      <c r="F172" s="64"/>
      <c r="G172" s="64"/>
      <c r="H172" s="163">
        <f t="shared" si="14"/>
        <v>142.50264276683302</v>
      </c>
      <c r="I172" s="187">
        <f t="shared" si="15"/>
        <v>101813.15066440534</v>
      </c>
      <c r="J172" s="187">
        <f t="shared" si="16"/>
        <v>2672.2611722941033</v>
      </c>
      <c r="K172" s="228">
        <v>3429</v>
      </c>
      <c r="L172" s="218">
        <f t="shared" si="17"/>
        <v>26.72947810938328</v>
      </c>
      <c r="M172" s="218"/>
      <c r="N172" s="218"/>
      <c r="O172" s="218"/>
      <c r="P172" s="218"/>
      <c r="Q172" s="218"/>
      <c r="R172" s="218"/>
      <c r="S172" s="64"/>
    </row>
    <row r="173" spans="1:20" x14ac:dyDescent="0.25">
      <c r="A173" s="64" t="str">
        <f t="shared" si="12"/>
        <v>CIRF  762*6.3</v>
      </c>
      <c r="B173" s="163">
        <f t="shared" si="13"/>
        <v>117.41119306115722</v>
      </c>
      <c r="C173" s="64">
        <v>762</v>
      </c>
      <c r="D173" s="64">
        <v>6.3</v>
      </c>
      <c r="E173" s="64"/>
      <c r="F173" s="64"/>
      <c r="G173" s="64"/>
      <c r="H173" s="163">
        <f t="shared" si="14"/>
        <v>149.56839880402194</v>
      </c>
      <c r="I173" s="187">
        <f t="shared" si="15"/>
        <v>106777.28748007804</v>
      </c>
      <c r="J173" s="187">
        <f t="shared" si="16"/>
        <v>2802.5534771674024</v>
      </c>
      <c r="K173" s="228">
        <v>3598</v>
      </c>
      <c r="L173" s="218">
        <f t="shared" si="17"/>
        <v>26.7189581570839</v>
      </c>
      <c r="M173" s="218"/>
      <c r="N173" s="218"/>
      <c r="O173" s="218"/>
      <c r="P173" s="218"/>
      <c r="Q173" s="218"/>
      <c r="R173" s="218"/>
      <c r="S173" s="64"/>
    </row>
    <row r="174" spans="1:20" x14ac:dyDescent="0.25">
      <c r="A174" s="64" t="str">
        <f t="shared" si="12"/>
        <v>CIRF  762*8</v>
      </c>
      <c r="B174" s="163">
        <f t="shared" si="13"/>
        <v>148.75818205866102</v>
      </c>
      <c r="C174" s="64">
        <v>762</v>
      </c>
      <c r="D174" s="64">
        <v>8</v>
      </c>
      <c r="E174" s="64"/>
      <c r="F174" s="64"/>
      <c r="G174" s="64"/>
      <c r="H174" s="163">
        <f t="shared" si="14"/>
        <v>189.50086886453633</v>
      </c>
      <c r="I174" s="187">
        <f t="shared" si="15"/>
        <v>134683.0050237476</v>
      </c>
      <c r="J174" s="187">
        <f t="shared" si="16"/>
        <v>3534.9870084973122</v>
      </c>
      <c r="K174" s="228">
        <v>4548</v>
      </c>
      <c r="L174" s="218">
        <f t="shared" si="17"/>
        <v>26.659426100349574</v>
      </c>
      <c r="M174" s="218"/>
      <c r="N174" s="218"/>
      <c r="O174" s="218"/>
      <c r="P174" s="218"/>
      <c r="Q174" s="218"/>
      <c r="R174" s="218"/>
      <c r="S174" s="64"/>
    </row>
    <row r="175" spans="1:20" x14ac:dyDescent="0.25">
      <c r="A175" s="64" t="str">
        <f t="shared" si="12"/>
        <v>CIRF  762*10</v>
      </c>
      <c r="B175" s="163">
        <f t="shared" si="13"/>
        <v>185.45449752671269</v>
      </c>
      <c r="C175" s="64">
        <v>762</v>
      </c>
      <c r="D175" s="64">
        <v>10</v>
      </c>
      <c r="E175" s="64"/>
      <c r="F175" s="64"/>
      <c r="G175" s="64"/>
      <c r="H175" s="163">
        <f t="shared" si="14"/>
        <v>236.24776754995244</v>
      </c>
      <c r="I175" s="187">
        <f t="shared" si="15"/>
        <v>167028.35289665413</v>
      </c>
      <c r="J175" s="187">
        <f t="shared" si="16"/>
        <v>4383.9462702533892</v>
      </c>
      <c r="K175" s="228">
        <v>5655</v>
      </c>
      <c r="L175" s="218">
        <f t="shared" si="17"/>
        <v>26.589565622627234</v>
      </c>
      <c r="M175" s="218"/>
      <c r="N175" s="218"/>
      <c r="O175" s="218"/>
      <c r="P175" s="218"/>
      <c r="Q175" s="218"/>
      <c r="R175" s="218"/>
      <c r="S175" s="64"/>
    </row>
    <row r="176" spans="1:20" x14ac:dyDescent="0.25">
      <c r="A176" s="64" t="str">
        <f t="shared" si="12"/>
        <v>CIRF  762*12</v>
      </c>
      <c r="B176" s="163">
        <f t="shared" si="13"/>
        <v>221.95352097611891</v>
      </c>
      <c r="C176" s="64">
        <v>762</v>
      </c>
      <c r="D176" s="64">
        <v>12</v>
      </c>
      <c r="E176" s="64"/>
      <c r="F176" s="64"/>
      <c r="G176" s="64"/>
      <c r="H176" s="163">
        <f t="shared" si="14"/>
        <v>282.74333882308139</v>
      </c>
      <c r="I176" s="187">
        <f t="shared" si="15"/>
        <v>198854.80391096725</v>
      </c>
      <c r="J176" s="187">
        <f t="shared" si="16"/>
        <v>5219.2861918889039</v>
      </c>
      <c r="K176" s="228">
        <v>6751</v>
      </c>
      <c r="L176" s="218">
        <f t="shared" si="17"/>
        <v>26.519898189849823</v>
      </c>
      <c r="M176" s="218"/>
      <c r="N176" s="218"/>
      <c r="O176" s="218"/>
      <c r="P176" s="218"/>
      <c r="Q176" s="218"/>
      <c r="R176" s="218"/>
      <c r="S176" s="64"/>
    </row>
    <row r="177" spans="1:20" x14ac:dyDescent="0.25">
      <c r="A177" s="64" t="str">
        <f t="shared" si="12"/>
        <v>CIRF  762*12.5</v>
      </c>
      <c r="B177" s="163">
        <f t="shared" si="13"/>
        <v>231.04744996055709</v>
      </c>
      <c r="C177" s="64">
        <v>762</v>
      </c>
      <c r="D177" s="64">
        <v>12.5</v>
      </c>
      <c r="E177" s="64"/>
      <c r="F177" s="64"/>
      <c r="G177" s="64"/>
      <c r="H177" s="163">
        <f t="shared" si="14"/>
        <v>294.32796173319372</v>
      </c>
      <c r="I177" s="187">
        <f t="shared" si="15"/>
        <v>206730.99353704107</v>
      </c>
      <c r="J177" s="187">
        <f t="shared" si="16"/>
        <v>5426.0103290561956</v>
      </c>
      <c r="K177" s="228">
        <v>7023</v>
      </c>
      <c r="L177" s="218">
        <f t="shared" si="17"/>
        <v>26.502511673424468</v>
      </c>
      <c r="M177" s="218"/>
      <c r="N177" s="218"/>
      <c r="O177" s="218"/>
      <c r="P177" s="218"/>
      <c r="Q177" s="218"/>
      <c r="R177" s="218"/>
      <c r="S177" s="64"/>
    </row>
    <row r="178" spans="1:20" x14ac:dyDescent="0.25">
      <c r="A178" s="64" t="str">
        <f t="shared" si="12"/>
        <v>CIRF  762*16</v>
      </c>
      <c r="B178" s="163">
        <f t="shared" si="13"/>
        <v>294.35969181899497</v>
      </c>
      <c r="C178" s="64">
        <v>762</v>
      </c>
      <c r="D178" s="64">
        <v>16</v>
      </c>
      <c r="E178" s="64"/>
      <c r="F178" s="64"/>
      <c r="G178" s="64"/>
      <c r="H178" s="163">
        <f t="shared" si="14"/>
        <v>374.98049913247769</v>
      </c>
      <c r="I178" s="187">
        <f t="shared" si="15"/>
        <v>260973.30307873484</v>
      </c>
      <c r="J178" s="187">
        <f t="shared" si="16"/>
        <v>6849.6929941925155</v>
      </c>
      <c r="K178" s="228">
        <v>8906</v>
      </c>
      <c r="L178" s="218">
        <f t="shared" si="17"/>
        <v>26.381148572418148</v>
      </c>
      <c r="M178" s="218"/>
      <c r="N178" s="218"/>
      <c r="O178" s="218"/>
      <c r="P178" s="218"/>
      <c r="Q178" s="218"/>
      <c r="R178" s="218"/>
      <c r="S178" s="64"/>
    </row>
    <row r="179" spans="1:20" x14ac:dyDescent="0.25">
      <c r="A179" s="64" t="str">
        <f t="shared" si="12"/>
        <v>CIRF  762*20</v>
      </c>
      <c r="B179" s="163">
        <f t="shared" si="13"/>
        <v>365.97669458728939</v>
      </c>
      <c r="C179" s="64">
        <v>762</v>
      </c>
      <c r="D179" s="64">
        <v>20</v>
      </c>
      <c r="E179" s="64"/>
      <c r="F179" s="64"/>
      <c r="G179" s="64"/>
      <c r="H179" s="163">
        <f t="shared" si="14"/>
        <v>466.21234979272532</v>
      </c>
      <c r="I179" s="187">
        <f t="shared" si="15"/>
        <v>321082.77636399888</v>
      </c>
      <c r="J179" s="187">
        <f t="shared" si="16"/>
        <v>8427.3694583726738</v>
      </c>
      <c r="K179" s="228">
        <v>11014</v>
      </c>
      <c r="L179" s="218">
        <f t="shared" si="17"/>
        <v>26.243189592730531</v>
      </c>
      <c r="M179" s="218"/>
      <c r="N179" s="218"/>
      <c r="O179" s="218"/>
      <c r="P179" s="218"/>
      <c r="Q179" s="218"/>
      <c r="R179" s="218"/>
      <c r="S179" s="64"/>
    </row>
    <row r="180" spans="1:20" x14ac:dyDescent="0.25">
      <c r="A180" s="64" t="str">
        <f t="shared" si="12"/>
        <v>CIRF  762*25</v>
      </c>
      <c r="B180" s="163">
        <f t="shared" si="13"/>
        <v>454.38818044277679</v>
      </c>
      <c r="C180" s="64">
        <v>762</v>
      </c>
      <c r="D180" s="64">
        <v>25</v>
      </c>
      <c r="E180" s="64"/>
      <c r="F180" s="64"/>
      <c r="G180" s="64"/>
      <c r="H180" s="163">
        <f t="shared" si="14"/>
        <v>578.83844642391944</v>
      </c>
      <c r="I180" s="187">
        <f t="shared" si="15"/>
        <v>393461.09266831103</v>
      </c>
      <c r="J180" s="187">
        <f t="shared" si="16"/>
        <v>10327.062799693202</v>
      </c>
      <c r="K180" s="228">
        <v>13584</v>
      </c>
      <c r="L180" s="218">
        <f t="shared" si="17"/>
        <v>26.071871816193021</v>
      </c>
      <c r="M180" s="218"/>
      <c r="N180" s="218"/>
      <c r="O180" s="218"/>
      <c r="P180" s="218"/>
      <c r="Q180" s="218"/>
      <c r="R180" s="218"/>
      <c r="S180" s="64"/>
    </row>
    <row r="181" spans="1:20" x14ac:dyDescent="0.25">
      <c r="A181" s="64" t="str">
        <f t="shared" si="12"/>
        <v>CIRF  762*30</v>
      </c>
      <c r="B181" s="163">
        <f t="shared" si="13"/>
        <v>541.56659118173013</v>
      </c>
      <c r="C181" s="64">
        <v>762</v>
      </c>
      <c r="D181" s="64">
        <v>30</v>
      </c>
      <c r="E181" s="64"/>
      <c r="F181" s="64"/>
      <c r="G181" s="64"/>
      <c r="H181" s="163">
        <f t="shared" si="14"/>
        <v>689.89374672831855</v>
      </c>
      <c r="I181" s="187">
        <f t="shared" si="15"/>
        <v>462853.16414876265</v>
      </c>
      <c r="J181" s="187">
        <f t="shared" si="16"/>
        <v>12148.377011778546</v>
      </c>
      <c r="K181" s="228">
        <v>16084</v>
      </c>
      <c r="L181" s="218">
        <f t="shared" si="17"/>
        <v>25.901833911906703</v>
      </c>
      <c r="M181" s="218"/>
      <c r="N181" s="218"/>
      <c r="O181" s="218"/>
      <c r="P181" s="218"/>
      <c r="Q181" s="218"/>
      <c r="R181" s="218"/>
      <c r="S181" s="64"/>
    </row>
    <row r="182" spans="1:20" x14ac:dyDescent="0.25">
      <c r="A182" s="219" t="str">
        <f t="shared" si="12"/>
        <v>CIRF  813*8</v>
      </c>
      <c r="B182" s="168">
        <f t="shared" si="13"/>
        <v>158.8200750095784</v>
      </c>
      <c r="C182" s="167">
        <v>813</v>
      </c>
      <c r="D182" s="167">
        <v>8</v>
      </c>
      <c r="E182" s="167"/>
      <c r="F182" s="167"/>
      <c r="G182" s="167"/>
      <c r="H182" s="168">
        <f t="shared" si="14"/>
        <v>202.31856689118268</v>
      </c>
      <c r="I182" s="184">
        <f t="shared" si="15"/>
        <v>163900.54712242461</v>
      </c>
      <c r="J182" s="184">
        <f t="shared" si="16"/>
        <v>4031.9937791494363</v>
      </c>
      <c r="K182" s="229">
        <v>5184</v>
      </c>
      <c r="L182" s="220">
        <f t="shared" si="17"/>
        <v>28.462453337686824</v>
      </c>
      <c r="M182" s="220"/>
      <c r="N182" s="220"/>
      <c r="O182" s="220"/>
      <c r="P182" s="220"/>
      <c r="Q182" s="220"/>
      <c r="R182" s="220"/>
      <c r="S182" s="167"/>
      <c r="T182" s="221"/>
    </row>
    <row r="183" spans="1:20" x14ac:dyDescent="0.25">
      <c r="A183" s="222" t="str">
        <f t="shared" si="12"/>
        <v>CIRF  813*10</v>
      </c>
      <c r="B183" s="174">
        <f t="shared" si="13"/>
        <v>198.03186371535944</v>
      </c>
      <c r="C183" s="173">
        <v>813</v>
      </c>
      <c r="D183" s="173">
        <v>10</v>
      </c>
      <c r="E183" s="173"/>
      <c r="F183" s="173"/>
      <c r="G183" s="173"/>
      <c r="H183" s="174">
        <f t="shared" si="14"/>
        <v>252.26989008326041</v>
      </c>
      <c r="I183" s="185">
        <f t="shared" si="15"/>
        <v>203363.90317963171</v>
      </c>
      <c r="J183" s="185">
        <f t="shared" si="16"/>
        <v>5002.8020462394015</v>
      </c>
      <c r="K183" s="230">
        <v>6448</v>
      </c>
      <c r="L183" s="223">
        <f t="shared" si="17"/>
        <v>28.392538632535132</v>
      </c>
      <c r="M183" s="223"/>
      <c r="N183" s="223"/>
      <c r="O183" s="223"/>
      <c r="P183" s="223"/>
      <c r="Q183" s="223"/>
      <c r="R183" s="223"/>
      <c r="S183" s="173"/>
      <c r="T183" s="224"/>
    </row>
    <row r="184" spans="1:20" x14ac:dyDescent="0.25">
      <c r="A184" s="222" t="str">
        <f t="shared" si="12"/>
        <v>CIRF  813*12</v>
      </c>
      <c r="B184" s="174">
        <f t="shared" si="13"/>
        <v>237.046360402495</v>
      </c>
      <c r="C184" s="173">
        <v>813</v>
      </c>
      <c r="D184" s="173">
        <v>12</v>
      </c>
      <c r="E184" s="173"/>
      <c r="F184" s="173"/>
      <c r="G184" s="173"/>
      <c r="H184" s="174">
        <f t="shared" si="14"/>
        <v>301.96988586305093</v>
      </c>
      <c r="I184" s="185">
        <f t="shared" si="15"/>
        <v>242234.58050397949</v>
      </c>
      <c r="J184" s="185">
        <f t="shared" si="16"/>
        <v>5959.0302707006022</v>
      </c>
      <c r="K184" s="230">
        <v>7700</v>
      </c>
      <c r="L184" s="223">
        <f t="shared" si="17"/>
        <v>28.322804416229687</v>
      </c>
      <c r="M184" s="223"/>
      <c r="N184" s="223"/>
      <c r="O184" s="223"/>
      <c r="P184" s="223"/>
      <c r="Q184" s="223"/>
      <c r="R184" s="223"/>
      <c r="S184" s="173"/>
      <c r="T184" s="224"/>
    </row>
    <row r="185" spans="1:20" x14ac:dyDescent="0.25">
      <c r="A185" s="222" t="str">
        <f t="shared" si="12"/>
        <v>CIRF  813*12.5</v>
      </c>
      <c r="B185" s="174">
        <f t="shared" si="13"/>
        <v>246.76915769636554</v>
      </c>
      <c r="C185" s="173">
        <v>813</v>
      </c>
      <c r="D185" s="173">
        <v>12.5</v>
      </c>
      <c r="E185" s="173"/>
      <c r="F185" s="173"/>
      <c r="G185" s="173"/>
      <c r="H185" s="174">
        <f t="shared" si="14"/>
        <v>314.35561489982871</v>
      </c>
      <c r="I185" s="185">
        <f t="shared" si="15"/>
        <v>251860.34335192759</v>
      </c>
      <c r="J185" s="185">
        <f t="shared" si="16"/>
        <v>6195.8264047214652</v>
      </c>
      <c r="K185" s="230">
        <v>8011</v>
      </c>
      <c r="L185" s="223">
        <f t="shared" si="17"/>
        <v>28.305399219936824</v>
      </c>
      <c r="M185" s="223"/>
      <c r="N185" s="223"/>
      <c r="O185" s="223"/>
      <c r="P185" s="223"/>
      <c r="Q185" s="223"/>
      <c r="R185" s="223"/>
      <c r="S185" s="173"/>
      <c r="T185" s="224"/>
    </row>
    <row r="186" spans="1:20" x14ac:dyDescent="0.25">
      <c r="A186" s="222" t="str">
        <f t="shared" si="12"/>
        <v>CIRF  813*16</v>
      </c>
      <c r="B186" s="174">
        <f t="shared" si="13"/>
        <v>314.4834777208298</v>
      </c>
      <c r="C186" s="173">
        <v>813</v>
      </c>
      <c r="D186" s="173">
        <v>16</v>
      </c>
      <c r="E186" s="173"/>
      <c r="F186" s="173"/>
      <c r="G186" s="173"/>
      <c r="H186" s="174">
        <f t="shared" si="14"/>
        <v>400.61589518577046</v>
      </c>
      <c r="I186" s="185">
        <f t="shared" si="15"/>
        <v>318221.72479278204</v>
      </c>
      <c r="J186" s="185">
        <f t="shared" si="16"/>
        <v>7828.3327132295699</v>
      </c>
      <c r="K186" s="230">
        <v>10165</v>
      </c>
      <c r="L186" s="223">
        <f t="shared" si="17"/>
        <v>28.183882805603631</v>
      </c>
      <c r="M186" s="223"/>
      <c r="N186" s="223"/>
      <c r="O186" s="223"/>
      <c r="P186" s="223"/>
      <c r="Q186" s="223"/>
      <c r="R186" s="223"/>
      <c r="S186" s="173"/>
      <c r="T186" s="224"/>
    </row>
    <row r="187" spans="1:20" x14ac:dyDescent="0.25">
      <c r="A187" s="222" t="str">
        <f t="shared" si="12"/>
        <v>CIRF  813*20</v>
      </c>
      <c r="B187" s="174">
        <f t="shared" si="13"/>
        <v>391.13142696458283</v>
      </c>
      <c r="C187" s="173">
        <v>813</v>
      </c>
      <c r="D187" s="173">
        <v>20</v>
      </c>
      <c r="E187" s="173"/>
      <c r="F187" s="173"/>
      <c r="G187" s="173"/>
      <c r="H187" s="174">
        <f t="shared" si="14"/>
        <v>498.25659485934119</v>
      </c>
      <c r="I187" s="185">
        <f t="shared" si="15"/>
        <v>391909.33007330704</v>
      </c>
      <c r="J187" s="185">
        <f t="shared" si="16"/>
        <v>9641.065930462657</v>
      </c>
      <c r="K187" s="230">
        <v>12580</v>
      </c>
      <c r="L187" s="223">
        <f t="shared" si="17"/>
        <v>28.045699313798544</v>
      </c>
      <c r="M187" s="223"/>
      <c r="N187" s="223"/>
      <c r="O187" s="223"/>
      <c r="P187" s="223"/>
      <c r="Q187" s="223"/>
      <c r="R187" s="223"/>
      <c r="S187" s="173"/>
      <c r="T187" s="224"/>
    </row>
    <row r="188" spans="1:20" x14ac:dyDescent="0.25">
      <c r="A188" s="222" t="str">
        <f t="shared" si="12"/>
        <v>CIRF  813*25</v>
      </c>
      <c r="B188" s="174">
        <f t="shared" si="13"/>
        <v>485.83159591439352</v>
      </c>
      <c r="C188" s="173">
        <v>813</v>
      </c>
      <c r="D188" s="173">
        <v>25</v>
      </c>
      <c r="E188" s="173"/>
      <c r="F188" s="173"/>
      <c r="G188" s="173"/>
      <c r="H188" s="174">
        <f t="shared" si="14"/>
        <v>618.89375275718919</v>
      </c>
      <c r="I188" s="185">
        <f t="shared" si="15"/>
        <v>480856.46375941671</v>
      </c>
      <c r="J188" s="185">
        <f t="shared" si="16"/>
        <v>11829.187300354653</v>
      </c>
      <c r="K188" s="230">
        <v>15529</v>
      </c>
      <c r="L188" s="223">
        <f t="shared" si="17"/>
        <v>27.874024646613197</v>
      </c>
      <c r="M188" s="223"/>
      <c r="N188" s="223"/>
      <c r="O188" s="223"/>
      <c r="P188" s="223"/>
      <c r="Q188" s="223"/>
      <c r="R188" s="223"/>
      <c r="S188" s="173"/>
      <c r="T188" s="224"/>
    </row>
    <row r="189" spans="1:20" x14ac:dyDescent="0.25">
      <c r="A189" s="225" t="str">
        <f t="shared" si="12"/>
        <v>CIRF  813*30</v>
      </c>
      <c r="B189" s="180">
        <f t="shared" si="13"/>
        <v>579.29868974767032</v>
      </c>
      <c r="C189" s="179">
        <v>813</v>
      </c>
      <c r="D189" s="179">
        <v>30</v>
      </c>
      <c r="E189" s="179"/>
      <c r="F189" s="179"/>
      <c r="G189" s="179"/>
      <c r="H189" s="180">
        <f t="shared" si="14"/>
        <v>737.96011432824241</v>
      </c>
      <c r="I189" s="186">
        <f t="shared" si="15"/>
        <v>566374.24079535401</v>
      </c>
      <c r="J189" s="186">
        <f t="shared" si="16"/>
        <v>13932.945653022236</v>
      </c>
      <c r="K189" s="231">
        <v>18402</v>
      </c>
      <c r="L189" s="226">
        <f t="shared" si="17"/>
        <v>27.70354219229014</v>
      </c>
      <c r="M189" s="226"/>
      <c r="N189" s="226"/>
      <c r="O189" s="226"/>
      <c r="P189" s="226"/>
      <c r="Q189" s="226"/>
      <c r="R189" s="226"/>
      <c r="S189" s="179"/>
      <c r="T189" s="227"/>
    </row>
    <row r="190" spans="1:20" x14ac:dyDescent="0.25">
      <c r="A190" s="64" t="str">
        <f t="shared" si="12"/>
        <v>CIRF  914*8</v>
      </c>
      <c r="B190" s="163">
        <f t="shared" si="13"/>
        <v>178.74656889276775</v>
      </c>
      <c r="C190" s="64">
        <v>914</v>
      </c>
      <c r="D190" s="64">
        <v>8</v>
      </c>
      <c r="E190" s="64"/>
      <c r="F190" s="64"/>
      <c r="G190" s="64"/>
      <c r="H190" s="163">
        <f t="shared" si="14"/>
        <v>227.70263553218822</v>
      </c>
      <c r="I190" s="187">
        <f t="shared" si="15"/>
        <v>233651.36688546665</v>
      </c>
      <c r="J190" s="187">
        <f t="shared" si="16"/>
        <v>5112.7213760495979</v>
      </c>
      <c r="K190" s="228">
        <v>6567</v>
      </c>
      <c r="L190" s="218">
        <f t="shared" si="17"/>
        <v>32.0331859171079</v>
      </c>
      <c r="M190" s="218"/>
      <c r="N190" s="218"/>
      <c r="O190" s="218"/>
      <c r="P190" s="218"/>
      <c r="Q190" s="218"/>
      <c r="R190" s="218"/>
      <c r="S190" s="64"/>
    </row>
    <row r="191" spans="1:20" x14ac:dyDescent="0.25">
      <c r="A191" s="64" t="str">
        <f t="shared" si="12"/>
        <v>CIRF  914*10</v>
      </c>
      <c r="B191" s="163">
        <f t="shared" si="13"/>
        <v>222.93998106934609</v>
      </c>
      <c r="C191" s="64">
        <v>914</v>
      </c>
      <c r="D191" s="64">
        <v>10</v>
      </c>
      <c r="E191" s="64"/>
      <c r="F191" s="64"/>
      <c r="G191" s="64"/>
      <c r="H191" s="163">
        <f t="shared" si="14"/>
        <v>283.99997588451731</v>
      </c>
      <c r="I191" s="187">
        <f t="shared" si="15"/>
        <v>290147.15536253771</v>
      </c>
      <c r="J191" s="187">
        <f t="shared" si="16"/>
        <v>6348.9530713903214</v>
      </c>
      <c r="K191" s="228">
        <v>8172</v>
      </c>
      <c r="L191" s="218">
        <f t="shared" si="17"/>
        <v>31.963181944230772</v>
      </c>
      <c r="M191" s="218"/>
      <c r="N191" s="218"/>
      <c r="O191" s="218"/>
      <c r="P191" s="218"/>
      <c r="Q191" s="218"/>
      <c r="R191" s="218"/>
      <c r="S191" s="64"/>
    </row>
    <row r="192" spans="1:20" x14ac:dyDescent="0.25">
      <c r="A192" s="64" t="str">
        <f t="shared" si="12"/>
        <v>CIRF  914*12</v>
      </c>
      <c r="B192" s="163">
        <f t="shared" si="13"/>
        <v>266.93610122727898</v>
      </c>
      <c r="C192" s="64">
        <v>914</v>
      </c>
      <c r="D192" s="64">
        <v>12</v>
      </c>
      <c r="E192" s="64"/>
      <c r="F192" s="64"/>
      <c r="G192" s="64"/>
      <c r="H192" s="163">
        <f t="shared" si="14"/>
        <v>340.04598882455917</v>
      </c>
      <c r="I192" s="187">
        <f t="shared" si="15"/>
        <v>345889.6791425093</v>
      </c>
      <c r="J192" s="187">
        <f t="shared" si="16"/>
        <v>7568.7019506019533</v>
      </c>
      <c r="K192" s="228">
        <v>9764</v>
      </c>
      <c r="L192" s="218">
        <f t="shared" si="17"/>
        <v>31.893337862318521</v>
      </c>
      <c r="M192" s="218"/>
      <c r="N192" s="218"/>
      <c r="O192" s="218"/>
      <c r="P192" s="218"/>
      <c r="Q192" s="218"/>
      <c r="R192" s="218"/>
      <c r="S192" s="64"/>
    </row>
    <row r="193" spans="1:20" x14ac:dyDescent="0.25">
      <c r="A193" s="64" t="str">
        <f t="shared" si="12"/>
        <v>CIRF  914*12.5</v>
      </c>
      <c r="B193" s="163">
        <f t="shared" si="13"/>
        <v>277.90430438884886</v>
      </c>
      <c r="C193" s="64">
        <v>914</v>
      </c>
      <c r="D193" s="64">
        <v>12.5</v>
      </c>
      <c r="E193" s="64"/>
      <c r="F193" s="64"/>
      <c r="G193" s="64"/>
      <c r="H193" s="163">
        <f t="shared" si="14"/>
        <v>354.01822215139981</v>
      </c>
      <c r="I193" s="187">
        <f t="shared" si="15"/>
        <v>359708.40128831705</v>
      </c>
      <c r="J193" s="187">
        <f t="shared" si="16"/>
        <v>7871.0809909916197</v>
      </c>
      <c r="K193" s="228">
        <v>10159</v>
      </c>
      <c r="L193" s="218">
        <f t="shared" si="17"/>
        <v>31.875901948023369</v>
      </c>
      <c r="M193" s="218"/>
      <c r="N193" s="218"/>
      <c r="O193" s="218"/>
      <c r="P193" s="218"/>
      <c r="Q193" s="218"/>
      <c r="R193" s="218"/>
      <c r="S193" s="64"/>
    </row>
    <row r="194" spans="1:20" x14ac:dyDescent="0.25">
      <c r="A194" s="64" t="str">
        <f t="shared" si="12"/>
        <v>CIRF  914*16</v>
      </c>
      <c r="B194" s="163">
        <f t="shared" si="13"/>
        <v>354.3364654872085</v>
      </c>
      <c r="C194" s="64">
        <v>914</v>
      </c>
      <c r="D194" s="64">
        <v>16</v>
      </c>
      <c r="E194" s="64"/>
      <c r="F194" s="64"/>
      <c r="G194" s="64"/>
      <c r="H194" s="163">
        <f t="shared" si="14"/>
        <v>451.38403246778154</v>
      </c>
      <c r="I194" s="187">
        <f t="shared" si="15"/>
        <v>455141.80453807575</v>
      </c>
      <c r="J194" s="187">
        <f t="shared" si="16"/>
        <v>9959.3392677915908</v>
      </c>
      <c r="K194" s="228">
        <v>12904</v>
      </c>
      <c r="L194" s="218">
        <f t="shared" si="17"/>
        <v>31.754133589188037</v>
      </c>
      <c r="M194" s="218"/>
      <c r="N194" s="218"/>
      <c r="O194" s="218"/>
      <c r="P194" s="218"/>
      <c r="Q194" s="218"/>
      <c r="R194" s="218"/>
      <c r="S194" s="64"/>
    </row>
    <row r="195" spans="1:20" x14ac:dyDescent="0.25">
      <c r="A195" s="64" t="str">
        <f t="shared" si="12"/>
        <v>CIRF  914*20</v>
      </c>
      <c r="B195" s="163">
        <f t="shared" si="13"/>
        <v>440.94766167255625</v>
      </c>
      <c r="C195" s="64">
        <v>914</v>
      </c>
      <c r="D195" s="64">
        <v>20</v>
      </c>
      <c r="E195" s="64"/>
      <c r="F195" s="64"/>
      <c r="G195" s="64"/>
      <c r="H195" s="163">
        <f t="shared" si="14"/>
        <v>561.71676646185506</v>
      </c>
      <c r="I195" s="187">
        <f t="shared" si="15"/>
        <v>561461.18533311493</v>
      </c>
      <c r="J195" s="187">
        <f t="shared" si="16"/>
        <v>12285.802742518925</v>
      </c>
      <c r="K195" s="228">
        <v>15987</v>
      </c>
      <c r="L195" s="218">
        <f t="shared" si="17"/>
        <v>31.615581601482521</v>
      </c>
      <c r="M195" s="218"/>
      <c r="N195" s="218"/>
      <c r="O195" s="218"/>
      <c r="P195" s="218"/>
      <c r="Q195" s="218"/>
      <c r="R195" s="218"/>
      <c r="S195" s="64"/>
    </row>
    <row r="196" spans="1:20" x14ac:dyDescent="0.25">
      <c r="A196" s="64" t="str">
        <f t="shared" ref="A196:A224" si="18">$B$3&amp;"  "&amp;C196&amp;"*"&amp;D196</f>
        <v>CIRF  914*25</v>
      </c>
      <c r="B196" s="163">
        <f t="shared" ref="B196:B224" si="19">H196*0.785</f>
        <v>548.10188929936032</v>
      </c>
      <c r="C196" s="64">
        <v>914</v>
      </c>
      <c r="D196" s="64">
        <v>25</v>
      </c>
      <c r="E196" s="64"/>
      <c r="F196" s="64"/>
      <c r="G196" s="64"/>
      <c r="H196" s="163">
        <f t="shared" ref="H196:H224" si="20">(C196^2-(C196-2*D196)^2)*PI()*0.01/4</f>
        <v>698.21896726033162</v>
      </c>
      <c r="I196" s="187">
        <f t="shared" ref="I196:I224" si="21">(C196^4-(C196-2*D196)^4)*PI()*0.0001/64</f>
        <v>690316.87409836275</v>
      </c>
      <c r="J196" s="187">
        <f t="shared" ref="J196:J224" si="22">I196/(C196*0.5*0.1)</f>
        <v>15105.402059045136</v>
      </c>
      <c r="K196" s="228">
        <v>19763</v>
      </c>
      <c r="L196" s="218">
        <f t="shared" ref="L196:L224" si="23">SQRT(I196/H196)</f>
        <v>31.443322025511232</v>
      </c>
      <c r="M196" s="218"/>
      <c r="N196" s="218"/>
      <c r="O196" s="218"/>
      <c r="P196" s="218"/>
      <c r="Q196" s="218"/>
      <c r="R196" s="218"/>
      <c r="S196" s="64"/>
    </row>
    <row r="197" spans="1:20" x14ac:dyDescent="0.25">
      <c r="A197" s="64" t="str">
        <f t="shared" si="18"/>
        <v>CIRF  914*30</v>
      </c>
      <c r="B197" s="163">
        <f t="shared" si="19"/>
        <v>654.02304180963029</v>
      </c>
      <c r="C197" s="64">
        <v>914</v>
      </c>
      <c r="D197" s="64">
        <v>30</v>
      </c>
      <c r="E197" s="64"/>
      <c r="F197" s="64"/>
      <c r="G197" s="64"/>
      <c r="H197" s="163">
        <f t="shared" si="20"/>
        <v>833.15037173201313</v>
      </c>
      <c r="I197" s="187">
        <f t="shared" si="21"/>
        <v>814775.24028346362</v>
      </c>
      <c r="J197" s="187">
        <f t="shared" si="22"/>
        <v>17828.779874911674</v>
      </c>
      <c r="K197" s="228">
        <v>23453</v>
      </c>
      <c r="L197" s="218">
        <f t="shared" si="23"/>
        <v>31.272112176826177</v>
      </c>
      <c r="M197" s="218"/>
      <c r="N197" s="218"/>
      <c r="O197" s="218"/>
      <c r="P197" s="218"/>
      <c r="Q197" s="218"/>
      <c r="R197" s="218"/>
      <c r="S197" s="64"/>
    </row>
    <row r="198" spans="1:20" x14ac:dyDescent="0.25">
      <c r="A198" s="219" t="str">
        <f t="shared" si="18"/>
        <v>CIRF  1016*8</v>
      </c>
      <c r="B198" s="168">
        <f t="shared" si="19"/>
        <v>198.87035479460255</v>
      </c>
      <c r="C198" s="167">
        <v>1016</v>
      </c>
      <c r="D198" s="167">
        <v>8</v>
      </c>
      <c r="E198" s="167"/>
      <c r="F198" s="167"/>
      <c r="G198" s="167"/>
      <c r="H198" s="168">
        <f t="shared" si="20"/>
        <v>253.33803158548093</v>
      </c>
      <c r="I198" s="184">
        <f t="shared" si="21"/>
        <v>321779.83419861447</v>
      </c>
      <c r="J198" s="184">
        <f t="shared" si="22"/>
        <v>6334.2487046971346</v>
      </c>
      <c r="K198" s="229">
        <v>8129</v>
      </c>
      <c r="L198" s="220">
        <f t="shared" si="23"/>
        <v>35.639304145844378</v>
      </c>
      <c r="M198" s="220"/>
      <c r="N198" s="220"/>
      <c r="O198" s="220"/>
      <c r="P198" s="220"/>
      <c r="Q198" s="220"/>
      <c r="R198" s="220"/>
      <c r="S198" s="167"/>
      <c r="T198" s="221"/>
    </row>
    <row r="199" spans="1:20" x14ac:dyDescent="0.25">
      <c r="A199" s="222" t="str">
        <f t="shared" si="18"/>
        <v>CIRF  1016*10</v>
      </c>
      <c r="B199" s="174">
        <f t="shared" si="19"/>
        <v>248.09471344663956</v>
      </c>
      <c r="C199" s="173">
        <v>1016</v>
      </c>
      <c r="D199" s="173">
        <v>10</v>
      </c>
      <c r="E199" s="173"/>
      <c r="F199" s="173"/>
      <c r="G199" s="173"/>
      <c r="H199" s="174">
        <f t="shared" si="20"/>
        <v>316.04422095113318</v>
      </c>
      <c r="I199" s="185">
        <f t="shared" si="21"/>
        <v>399849.66702074523</v>
      </c>
      <c r="J199" s="185">
        <f t="shared" si="22"/>
        <v>7871.0564374162441</v>
      </c>
      <c r="K199" s="230">
        <v>10121</v>
      </c>
      <c r="L199" s="223">
        <f t="shared" si="23"/>
        <v>35.569228273888655</v>
      </c>
      <c r="M199" s="223"/>
      <c r="N199" s="223"/>
      <c r="O199" s="223"/>
      <c r="P199" s="223"/>
      <c r="Q199" s="223"/>
      <c r="R199" s="223"/>
      <c r="S199" s="173"/>
      <c r="T199" s="224"/>
    </row>
    <row r="200" spans="1:20" x14ac:dyDescent="0.25">
      <c r="A200" s="222" t="str">
        <f t="shared" si="18"/>
        <v>CIRF  1016*12</v>
      </c>
      <c r="B200" s="174">
        <f t="shared" si="19"/>
        <v>297.12178008003116</v>
      </c>
      <c r="C200" s="173">
        <v>1016</v>
      </c>
      <c r="D200" s="173">
        <v>12</v>
      </c>
      <c r="E200" s="173"/>
      <c r="F200" s="173"/>
      <c r="G200" s="173"/>
      <c r="H200" s="174">
        <f t="shared" si="20"/>
        <v>378.49908290449827</v>
      </c>
      <c r="I200" s="185">
        <f t="shared" si="21"/>
        <v>476984.54427624878</v>
      </c>
      <c r="J200" s="185">
        <f t="shared" si="22"/>
        <v>9389.4595329970216</v>
      </c>
      <c r="K200" s="230">
        <v>12097</v>
      </c>
      <c r="L200" s="223">
        <f t="shared" si="23"/>
        <v>35.499295767662773</v>
      </c>
      <c r="M200" s="223"/>
      <c r="N200" s="223"/>
      <c r="O200" s="223"/>
      <c r="P200" s="223"/>
      <c r="Q200" s="223"/>
      <c r="R200" s="223"/>
      <c r="S200" s="173"/>
      <c r="T200" s="224"/>
    </row>
    <row r="201" spans="1:20" x14ac:dyDescent="0.25">
      <c r="A201" s="222" t="str">
        <f t="shared" si="18"/>
        <v>CIRF  1016*12.5</v>
      </c>
      <c r="B201" s="174">
        <f t="shared" si="19"/>
        <v>309.3477198604657</v>
      </c>
      <c r="C201" s="173">
        <v>1016</v>
      </c>
      <c r="D201" s="173">
        <v>12.5</v>
      </c>
      <c r="E201" s="173"/>
      <c r="F201" s="173"/>
      <c r="G201" s="173"/>
      <c r="H201" s="174">
        <f t="shared" si="20"/>
        <v>394.07352848466968</v>
      </c>
      <c r="I201" s="185">
        <f t="shared" si="21"/>
        <v>496123.05571701512</v>
      </c>
      <c r="J201" s="185">
        <f t="shared" si="22"/>
        <v>9766.2018841932095</v>
      </c>
      <c r="K201" s="230">
        <v>12588</v>
      </c>
      <c r="L201" s="223">
        <f t="shared" si="23"/>
        <v>35.481835141379037</v>
      </c>
      <c r="M201" s="223"/>
      <c r="N201" s="223"/>
      <c r="O201" s="223"/>
      <c r="P201" s="223"/>
      <c r="Q201" s="223"/>
      <c r="R201" s="223"/>
      <c r="S201" s="173"/>
      <c r="T201" s="224"/>
    </row>
    <row r="202" spans="1:20" x14ac:dyDescent="0.25">
      <c r="A202" s="222" t="str">
        <f t="shared" si="18"/>
        <v>CIRF  1016*16</v>
      </c>
      <c r="B202" s="174">
        <f t="shared" si="19"/>
        <v>394.58403729087803</v>
      </c>
      <c r="C202" s="173">
        <v>1016</v>
      </c>
      <c r="D202" s="173">
        <v>16</v>
      </c>
      <c r="E202" s="173"/>
      <c r="F202" s="173"/>
      <c r="G202" s="173"/>
      <c r="H202" s="174">
        <f t="shared" si="20"/>
        <v>502.6548245743669</v>
      </c>
      <c r="I202" s="185">
        <f t="shared" si="21"/>
        <v>628479.38026182249</v>
      </c>
      <c r="J202" s="185">
        <f t="shared" si="22"/>
        <v>12371.641343736663</v>
      </c>
      <c r="K202" s="230">
        <v>16001</v>
      </c>
      <c r="L202" s="223">
        <f t="shared" si="23"/>
        <v>35.359864253133104</v>
      </c>
      <c r="M202" s="223"/>
      <c r="N202" s="223"/>
      <c r="O202" s="223"/>
      <c r="P202" s="223"/>
      <c r="Q202" s="223"/>
      <c r="R202" s="223"/>
      <c r="S202" s="173"/>
      <c r="T202" s="224"/>
    </row>
    <row r="203" spans="1:20" x14ac:dyDescent="0.25">
      <c r="A203" s="222" t="str">
        <f t="shared" si="18"/>
        <v>CIRF  1016*20</v>
      </c>
      <c r="B203" s="174">
        <f t="shared" si="19"/>
        <v>491.25712642714313</v>
      </c>
      <c r="C203" s="173">
        <v>1016</v>
      </c>
      <c r="D203" s="173">
        <v>20</v>
      </c>
      <c r="E203" s="173"/>
      <c r="F203" s="173"/>
      <c r="G203" s="173"/>
      <c r="H203" s="174">
        <f t="shared" si="20"/>
        <v>625.8052565950868</v>
      </c>
      <c r="I203" s="185">
        <f t="shared" si="21"/>
        <v>776323.93691133708</v>
      </c>
      <c r="J203" s="185">
        <f t="shared" si="22"/>
        <v>15281.967262034193</v>
      </c>
      <c r="K203" s="230">
        <v>19843</v>
      </c>
      <c r="L203" s="223">
        <f t="shared" si="23"/>
        <v>35.221016453248481</v>
      </c>
      <c r="M203" s="223"/>
      <c r="N203" s="223"/>
      <c r="O203" s="223"/>
      <c r="P203" s="223"/>
      <c r="Q203" s="223"/>
      <c r="R203" s="223"/>
      <c r="S203" s="173"/>
      <c r="T203" s="224"/>
    </row>
    <row r="204" spans="1:20" x14ac:dyDescent="0.25">
      <c r="A204" s="222" t="str">
        <f t="shared" si="18"/>
        <v>CIRF  1016*25</v>
      </c>
      <c r="B204" s="174">
        <f t="shared" si="19"/>
        <v>610.9887202425939</v>
      </c>
      <c r="C204" s="173">
        <v>1016</v>
      </c>
      <c r="D204" s="173">
        <v>25</v>
      </c>
      <c r="E204" s="173"/>
      <c r="F204" s="173"/>
      <c r="G204" s="173"/>
      <c r="H204" s="174">
        <f t="shared" si="20"/>
        <v>778.32957992687125</v>
      </c>
      <c r="I204" s="185">
        <f t="shared" si="21"/>
        <v>956086.43521451997</v>
      </c>
      <c r="J204" s="185">
        <f t="shared" si="22"/>
        <v>18820.599118396061</v>
      </c>
      <c r="K204" s="230">
        <v>24557</v>
      </c>
      <c r="L204" s="223">
        <f t="shared" si="23"/>
        <v>35.048288117966621</v>
      </c>
      <c r="M204" s="223"/>
      <c r="N204" s="223"/>
      <c r="O204" s="223"/>
      <c r="P204" s="223"/>
      <c r="Q204" s="223"/>
      <c r="R204" s="223"/>
      <c r="S204" s="173"/>
      <c r="T204" s="224"/>
    </row>
    <row r="205" spans="1:20" x14ac:dyDescent="0.25">
      <c r="A205" s="225" t="str">
        <f t="shared" si="18"/>
        <v>CIRF  1016*30</v>
      </c>
      <c r="B205" s="180">
        <f t="shared" si="19"/>
        <v>729.48723894151078</v>
      </c>
      <c r="C205" s="179">
        <v>1016</v>
      </c>
      <c r="D205" s="179">
        <v>30</v>
      </c>
      <c r="E205" s="179"/>
      <c r="F205" s="179"/>
      <c r="G205" s="179"/>
      <c r="H205" s="180">
        <f t="shared" si="20"/>
        <v>929.28310693186086</v>
      </c>
      <c r="I205" s="186">
        <f t="shared" si="21"/>
        <v>1130352.0927787076</v>
      </c>
      <c r="J205" s="186">
        <f t="shared" si="22"/>
        <v>22251.025448399756</v>
      </c>
      <c r="K205" s="231">
        <v>29175</v>
      </c>
      <c r="L205" s="226">
        <f t="shared" si="23"/>
        <v>34.876496383667899</v>
      </c>
      <c r="M205" s="226"/>
      <c r="N205" s="226"/>
      <c r="O205" s="226"/>
      <c r="P205" s="226"/>
      <c r="Q205" s="226"/>
      <c r="R205" s="226"/>
      <c r="S205" s="179"/>
      <c r="T205" s="227"/>
    </row>
    <row r="206" spans="1:20" x14ac:dyDescent="0.25">
      <c r="A206" s="64" t="str">
        <f t="shared" si="18"/>
        <v>CIRF  1067*10</v>
      </c>
      <c r="B206" s="163">
        <f t="shared" si="19"/>
        <v>260.67207963528631</v>
      </c>
      <c r="C206" s="64">
        <v>1067</v>
      </c>
      <c r="D206" s="64">
        <v>10</v>
      </c>
      <c r="E206" s="64"/>
      <c r="F206" s="64"/>
      <c r="G206" s="64"/>
      <c r="H206" s="163">
        <f t="shared" si="20"/>
        <v>332.06634348444118</v>
      </c>
      <c r="I206" s="187">
        <f t="shared" si="21"/>
        <v>463792.49603249598</v>
      </c>
      <c r="J206" s="187">
        <f t="shared" si="22"/>
        <v>8693.3926154169822</v>
      </c>
      <c r="K206" s="228">
        <v>11173</v>
      </c>
      <c r="L206" s="218">
        <f t="shared" si="23"/>
        <v>37.37226578627525</v>
      </c>
      <c r="M206" s="218"/>
      <c r="N206" s="218"/>
      <c r="O206" s="218"/>
      <c r="P206" s="218"/>
      <c r="Q206" s="218"/>
      <c r="R206" s="218"/>
      <c r="S206" s="64"/>
    </row>
    <row r="207" spans="1:20" x14ac:dyDescent="0.25">
      <c r="A207" s="64" t="str">
        <f t="shared" si="18"/>
        <v>CIRF  1067*12</v>
      </c>
      <c r="B207" s="163">
        <f t="shared" si="19"/>
        <v>312.21461950640725</v>
      </c>
      <c r="C207" s="64">
        <v>1067</v>
      </c>
      <c r="D207" s="64">
        <v>12</v>
      </c>
      <c r="E207" s="64"/>
      <c r="F207" s="64"/>
      <c r="G207" s="64"/>
      <c r="H207" s="163">
        <f t="shared" si="20"/>
        <v>397.72562994446781</v>
      </c>
      <c r="I207" s="187">
        <f t="shared" si="21"/>
        <v>553419.80219956662</v>
      </c>
      <c r="J207" s="187">
        <f t="shared" si="22"/>
        <v>10373.379610113714</v>
      </c>
      <c r="K207" s="228">
        <v>13357</v>
      </c>
      <c r="L207" s="218">
        <f t="shared" si="23"/>
        <v>37.302295505772832</v>
      </c>
      <c r="M207" s="218"/>
      <c r="N207" s="218"/>
      <c r="O207" s="218"/>
      <c r="P207" s="218"/>
      <c r="Q207" s="218"/>
      <c r="R207" s="218"/>
      <c r="S207" s="64"/>
    </row>
    <row r="208" spans="1:20" x14ac:dyDescent="0.25">
      <c r="A208" s="64" t="str">
        <f t="shared" si="18"/>
        <v>CIRF  1067*12.5</v>
      </c>
      <c r="B208" s="163">
        <f t="shared" si="19"/>
        <v>325.06942759627412</v>
      </c>
      <c r="C208" s="64">
        <v>1067</v>
      </c>
      <c r="D208" s="64">
        <v>12.5</v>
      </c>
      <c r="E208" s="64"/>
      <c r="F208" s="64"/>
      <c r="G208" s="64"/>
      <c r="H208" s="163">
        <f t="shared" si="20"/>
        <v>414.10118165130461</v>
      </c>
      <c r="I208" s="187">
        <f t="shared" si="21"/>
        <v>575666.12224466202</v>
      </c>
      <c r="J208" s="187">
        <f t="shared" si="22"/>
        <v>10790.367802149241</v>
      </c>
      <c r="K208" s="228">
        <v>13900</v>
      </c>
      <c r="L208" s="218">
        <f t="shared" si="23"/>
        <v>37.284824325722653</v>
      </c>
      <c r="M208" s="218"/>
      <c r="N208" s="218"/>
      <c r="O208" s="218"/>
      <c r="P208" s="218"/>
      <c r="Q208" s="218"/>
      <c r="R208" s="218"/>
      <c r="S208" s="64"/>
    </row>
    <row r="209" spans="1:20" x14ac:dyDescent="0.25">
      <c r="A209" s="64" t="str">
        <f t="shared" si="18"/>
        <v>CIRF  1067*16</v>
      </c>
      <c r="B209" s="163">
        <f t="shared" si="19"/>
        <v>414.70782319271274</v>
      </c>
      <c r="C209" s="64">
        <v>1067</v>
      </c>
      <c r="D209" s="64">
        <v>16</v>
      </c>
      <c r="E209" s="64"/>
      <c r="F209" s="64"/>
      <c r="G209" s="64"/>
      <c r="H209" s="163">
        <f t="shared" si="20"/>
        <v>528.29022062765955</v>
      </c>
      <c r="I209" s="187">
        <f t="shared" si="21"/>
        <v>729606.43536501762</v>
      </c>
      <c r="J209" s="187">
        <f t="shared" si="22"/>
        <v>13675.846960918792</v>
      </c>
      <c r="K209" s="228">
        <v>17675</v>
      </c>
      <c r="L209" s="218">
        <f t="shared" si="23"/>
        <v>37.162766985250173</v>
      </c>
      <c r="M209" s="218"/>
      <c r="N209" s="218"/>
      <c r="O209" s="218"/>
      <c r="P209" s="218"/>
      <c r="Q209" s="218"/>
      <c r="R209" s="218"/>
      <c r="S209" s="64"/>
    </row>
    <row r="210" spans="1:20" x14ac:dyDescent="0.25">
      <c r="A210" s="64" t="str">
        <f t="shared" si="18"/>
        <v>CIRF  1067*20</v>
      </c>
      <c r="B210" s="163">
        <f t="shared" si="19"/>
        <v>516.41185880443663</v>
      </c>
      <c r="C210" s="64">
        <v>1067</v>
      </c>
      <c r="D210" s="64">
        <v>20</v>
      </c>
      <c r="E210" s="64"/>
      <c r="F210" s="64"/>
      <c r="G210" s="64"/>
      <c r="H210" s="163">
        <f t="shared" si="20"/>
        <v>657.84950166170267</v>
      </c>
      <c r="I210" s="187">
        <f t="shared" si="21"/>
        <v>901754.60520967259</v>
      </c>
      <c r="J210" s="187">
        <f t="shared" si="22"/>
        <v>16902.616779937631</v>
      </c>
      <c r="K210" s="228">
        <v>21927</v>
      </c>
      <c r="L210" s="218">
        <f t="shared" si="23"/>
        <v>37.023793025566683</v>
      </c>
      <c r="M210" s="218"/>
      <c r="N210" s="218"/>
      <c r="O210" s="218"/>
      <c r="P210" s="218"/>
      <c r="Q210" s="218"/>
      <c r="R210" s="218"/>
      <c r="S210" s="64"/>
    </row>
    <row r="211" spans="1:20" x14ac:dyDescent="0.25">
      <c r="A211" s="64" t="str">
        <f t="shared" si="18"/>
        <v>CIRF  1067*25</v>
      </c>
      <c r="B211" s="163">
        <f t="shared" si="19"/>
        <v>642.43213571421074</v>
      </c>
      <c r="C211" s="64">
        <v>1067</v>
      </c>
      <c r="D211" s="64">
        <v>25</v>
      </c>
      <c r="E211" s="64"/>
      <c r="F211" s="64"/>
      <c r="G211" s="64"/>
      <c r="H211" s="163">
        <f t="shared" si="20"/>
        <v>818.38488626014112</v>
      </c>
      <c r="I211" s="187">
        <f t="shared" si="21"/>
        <v>1111355.4227490856</v>
      </c>
      <c r="J211" s="187">
        <f t="shared" si="22"/>
        <v>20831.404362682017</v>
      </c>
      <c r="K211" s="228">
        <v>27149</v>
      </c>
      <c r="L211" s="218">
        <f t="shared" si="23"/>
        <v>36.850864983063829</v>
      </c>
      <c r="M211" s="218"/>
      <c r="N211" s="218"/>
      <c r="O211" s="218"/>
      <c r="P211" s="218"/>
      <c r="Q211" s="218"/>
      <c r="R211" s="218"/>
      <c r="S211" s="64"/>
    </row>
    <row r="212" spans="1:20" x14ac:dyDescent="0.25">
      <c r="A212" s="64" t="str">
        <f t="shared" si="18"/>
        <v>CIRF  1067*30</v>
      </c>
      <c r="B212" s="163">
        <f t="shared" si="19"/>
        <v>767.21933750745109</v>
      </c>
      <c r="C212" s="64">
        <v>1067</v>
      </c>
      <c r="D212" s="64">
        <v>30</v>
      </c>
      <c r="E212" s="64"/>
      <c r="F212" s="64"/>
      <c r="G212" s="64"/>
      <c r="H212" s="163">
        <f t="shared" si="20"/>
        <v>977.34947453178472</v>
      </c>
      <c r="I212" s="187">
        <f t="shared" si="21"/>
        <v>1314863.6770060619</v>
      </c>
      <c r="J212" s="187">
        <f t="shared" si="22"/>
        <v>24645.992071341367</v>
      </c>
      <c r="K212" s="228">
        <v>32270</v>
      </c>
      <c r="L212" s="218">
        <f t="shared" si="23"/>
        <v>36.678825635508019</v>
      </c>
      <c r="M212" s="218"/>
      <c r="N212" s="218"/>
      <c r="O212" s="218"/>
      <c r="P212" s="218"/>
      <c r="Q212" s="218"/>
      <c r="R212" s="218"/>
      <c r="S212" s="64"/>
    </row>
    <row r="213" spans="1:20" x14ac:dyDescent="0.25">
      <c r="A213" s="219" t="str">
        <f t="shared" si="18"/>
        <v>CIRF  1168*10</v>
      </c>
      <c r="B213" s="168">
        <f t="shared" si="19"/>
        <v>285.58019698927296</v>
      </c>
      <c r="C213" s="167">
        <v>1168</v>
      </c>
      <c r="D213" s="167">
        <v>10</v>
      </c>
      <c r="E213" s="167"/>
      <c r="F213" s="167"/>
      <c r="G213" s="167"/>
      <c r="H213" s="168">
        <f t="shared" si="20"/>
        <v>363.79642928569803</v>
      </c>
      <c r="I213" s="184">
        <f t="shared" si="21"/>
        <v>609842.86830449419</v>
      </c>
      <c r="J213" s="184">
        <f t="shared" si="22"/>
        <v>10442.514868227639</v>
      </c>
      <c r="K213" s="229">
        <v>13410</v>
      </c>
      <c r="L213" s="220">
        <f t="shared" si="23"/>
        <v>40.943009171285887</v>
      </c>
      <c r="M213" s="220"/>
      <c r="N213" s="220"/>
      <c r="O213" s="220"/>
      <c r="P213" s="220"/>
      <c r="Q213" s="220"/>
      <c r="R213" s="220"/>
      <c r="S213" s="167"/>
      <c r="T213" s="221"/>
    </row>
    <row r="214" spans="1:20" x14ac:dyDescent="0.25">
      <c r="A214" s="222" t="str">
        <f t="shared" si="18"/>
        <v>CIRF  1168*12</v>
      </c>
      <c r="B214" s="174">
        <f t="shared" si="19"/>
        <v>342.10436033119129</v>
      </c>
      <c r="C214" s="173">
        <v>1168</v>
      </c>
      <c r="D214" s="173">
        <v>12</v>
      </c>
      <c r="E214" s="173"/>
      <c r="F214" s="173"/>
      <c r="G214" s="173"/>
      <c r="H214" s="174">
        <f t="shared" si="20"/>
        <v>435.80173290597611</v>
      </c>
      <c r="I214" s="185">
        <f t="shared" si="21"/>
        <v>728050.37499272369</v>
      </c>
      <c r="J214" s="185">
        <f t="shared" si="22"/>
        <v>12466.616010149377</v>
      </c>
      <c r="K214" s="230">
        <v>16037</v>
      </c>
      <c r="L214" s="223">
        <f t="shared" si="23"/>
        <v>40.872973955903916</v>
      </c>
      <c r="M214" s="223"/>
      <c r="N214" s="223"/>
      <c r="O214" s="223"/>
      <c r="P214" s="223"/>
      <c r="Q214" s="223"/>
      <c r="R214" s="223"/>
      <c r="S214" s="173"/>
      <c r="T214" s="224"/>
    </row>
    <row r="215" spans="1:20" x14ac:dyDescent="0.25">
      <c r="A215" s="222" t="str">
        <f t="shared" si="18"/>
        <v>CIRF  1168*12.5</v>
      </c>
      <c r="B215" s="174">
        <f t="shared" si="19"/>
        <v>356.2045742887575</v>
      </c>
      <c r="C215" s="173">
        <v>1168</v>
      </c>
      <c r="D215" s="173">
        <v>12.5</v>
      </c>
      <c r="E215" s="173"/>
      <c r="F215" s="173"/>
      <c r="G215" s="173"/>
      <c r="H215" s="174">
        <f t="shared" si="20"/>
        <v>453.76378890287577</v>
      </c>
      <c r="I215" s="185">
        <f t="shared" si="21"/>
        <v>757409.1871253812</v>
      </c>
      <c r="J215" s="185">
        <f t="shared" si="22"/>
        <v>12969.335395982553</v>
      </c>
      <c r="K215" s="230">
        <v>16690</v>
      </c>
      <c r="L215" s="223">
        <f t="shared" si="23"/>
        <v>40.855484637928356</v>
      </c>
      <c r="M215" s="223"/>
      <c r="N215" s="223"/>
      <c r="O215" s="223"/>
      <c r="P215" s="223"/>
      <c r="Q215" s="223"/>
      <c r="R215" s="223"/>
      <c r="S215" s="173"/>
      <c r="T215" s="224"/>
    </row>
    <row r="216" spans="1:20" x14ac:dyDescent="0.25">
      <c r="A216" s="222" t="str">
        <f t="shared" si="18"/>
        <v>CIRF  1168*16</v>
      </c>
      <c r="B216" s="174">
        <f t="shared" si="19"/>
        <v>454.5608109590915</v>
      </c>
      <c r="C216" s="173">
        <v>1168</v>
      </c>
      <c r="D216" s="173">
        <v>16</v>
      </c>
      <c r="E216" s="173"/>
      <c r="F216" s="173"/>
      <c r="G216" s="173"/>
      <c r="H216" s="174">
        <f t="shared" si="20"/>
        <v>579.05835790967069</v>
      </c>
      <c r="I216" s="185">
        <f t="shared" si="21"/>
        <v>960773.62744372559</v>
      </c>
      <c r="J216" s="185">
        <f t="shared" si="22"/>
        <v>16451.603209652832</v>
      </c>
      <c r="K216" s="230">
        <v>21235</v>
      </c>
      <c r="L216" s="223">
        <f t="shared" si="23"/>
        <v>40.733278777923097</v>
      </c>
      <c r="M216" s="223"/>
      <c r="N216" s="223"/>
      <c r="O216" s="223"/>
      <c r="P216" s="223"/>
      <c r="Q216" s="223"/>
      <c r="R216" s="223"/>
      <c r="S216" s="173"/>
      <c r="T216" s="224"/>
    </row>
    <row r="217" spans="1:20" x14ac:dyDescent="0.25">
      <c r="A217" s="222" t="str">
        <f t="shared" si="18"/>
        <v>CIRF  1168*20</v>
      </c>
      <c r="B217" s="174">
        <f t="shared" si="19"/>
        <v>566.22809351241006</v>
      </c>
      <c r="C217" s="173">
        <v>1168</v>
      </c>
      <c r="D217" s="173">
        <v>20</v>
      </c>
      <c r="E217" s="173"/>
      <c r="F217" s="173"/>
      <c r="G217" s="173"/>
      <c r="H217" s="174">
        <f t="shared" si="20"/>
        <v>721.3096732642166</v>
      </c>
      <c r="I217" s="185">
        <f t="shared" si="21"/>
        <v>1188631.7843786371</v>
      </c>
      <c r="J217" s="185">
        <f t="shared" si="22"/>
        <v>20353.283979086249</v>
      </c>
      <c r="K217" s="230">
        <v>26361</v>
      </c>
      <c r="L217" s="223">
        <f t="shared" si="23"/>
        <v>40.594088239545421</v>
      </c>
      <c r="M217" s="223"/>
      <c r="N217" s="223"/>
      <c r="O217" s="223"/>
      <c r="P217" s="223"/>
      <c r="Q217" s="223"/>
      <c r="R217" s="223"/>
      <c r="S217" s="173"/>
      <c r="T217" s="224"/>
    </row>
    <row r="218" spans="1:20" x14ac:dyDescent="0.25">
      <c r="A218" s="225" t="str">
        <f t="shared" si="18"/>
        <v>CIRF  1168*25</v>
      </c>
      <c r="B218" s="180">
        <f t="shared" si="19"/>
        <v>704.70242909917749</v>
      </c>
      <c r="C218" s="179">
        <v>1168</v>
      </c>
      <c r="D218" s="179">
        <v>25</v>
      </c>
      <c r="E218" s="179"/>
      <c r="F218" s="179"/>
      <c r="G218" s="179"/>
      <c r="H218" s="180">
        <f t="shared" si="20"/>
        <v>897.71010076328344</v>
      </c>
      <c r="I218" s="186">
        <f t="shared" si="21"/>
        <v>1466716.9153063348</v>
      </c>
      <c r="J218" s="186">
        <f t="shared" si="22"/>
        <v>25115.015673053676</v>
      </c>
      <c r="K218" s="231">
        <v>32666</v>
      </c>
      <c r="L218" s="226">
        <f t="shared" si="23"/>
        <v>40.420817656252325</v>
      </c>
      <c r="M218" s="226"/>
      <c r="N218" s="226"/>
      <c r="O218" s="226"/>
      <c r="P218" s="226"/>
      <c r="Q218" s="226"/>
      <c r="R218" s="226"/>
      <c r="S218" s="179"/>
      <c r="T218" s="227"/>
    </row>
    <row r="219" spans="1:20" x14ac:dyDescent="0.25">
      <c r="A219" s="64" t="str">
        <f t="shared" si="18"/>
        <v>CIRF  1219*10</v>
      </c>
      <c r="B219" s="163">
        <f t="shared" si="19"/>
        <v>298.15756317791971</v>
      </c>
      <c r="C219" s="64">
        <v>1219</v>
      </c>
      <c r="D219" s="64">
        <v>10</v>
      </c>
      <c r="E219" s="64"/>
      <c r="F219" s="64"/>
      <c r="G219" s="64"/>
      <c r="H219" s="163">
        <f t="shared" si="20"/>
        <v>379.81855181900596</v>
      </c>
      <c r="I219" s="187">
        <f t="shared" si="21"/>
        <v>694014.42812067305</v>
      </c>
      <c r="J219" s="187">
        <f t="shared" si="22"/>
        <v>11386.619001159524</v>
      </c>
      <c r="K219" s="228">
        <v>14617</v>
      </c>
      <c r="L219" s="218">
        <f t="shared" si="23"/>
        <v>42.746067070550481</v>
      </c>
      <c r="M219" s="218"/>
      <c r="N219" s="218"/>
      <c r="O219" s="218"/>
      <c r="P219" s="218"/>
      <c r="Q219" s="218"/>
      <c r="R219" s="218"/>
      <c r="S219" s="64"/>
    </row>
    <row r="220" spans="1:20" x14ac:dyDescent="0.25">
      <c r="A220" s="64" t="str">
        <f t="shared" si="18"/>
        <v>CIRF  1219*12</v>
      </c>
      <c r="B220" s="163">
        <f t="shared" si="19"/>
        <v>357.19719975756732</v>
      </c>
      <c r="C220" s="64">
        <v>1219</v>
      </c>
      <c r="D220" s="64">
        <v>12</v>
      </c>
      <c r="E220" s="64"/>
      <c r="F220" s="64"/>
      <c r="G220" s="64"/>
      <c r="H220" s="163">
        <f t="shared" si="20"/>
        <v>455.0282799459456</v>
      </c>
      <c r="I220" s="187">
        <f t="shared" si="21"/>
        <v>828716.27335410402</v>
      </c>
      <c r="J220" s="187">
        <f t="shared" si="22"/>
        <v>13596.657479148547</v>
      </c>
      <c r="K220" s="228">
        <v>17483</v>
      </c>
      <c r="L220" s="218">
        <f t="shared" si="23"/>
        <v>42.676003210235145</v>
      </c>
      <c r="M220" s="218"/>
      <c r="N220" s="218"/>
      <c r="O220" s="218"/>
      <c r="P220" s="218"/>
      <c r="Q220" s="218"/>
      <c r="R220" s="218"/>
      <c r="S220" s="64"/>
    </row>
    <row r="221" spans="1:20" x14ac:dyDescent="0.25">
      <c r="A221" s="64" t="str">
        <f t="shared" si="18"/>
        <v>CIRF  1219*12.5</v>
      </c>
      <c r="B221" s="163">
        <f t="shared" si="19"/>
        <v>371.92628202456586</v>
      </c>
      <c r="C221" s="64">
        <v>1219</v>
      </c>
      <c r="D221" s="64">
        <v>12.5</v>
      </c>
      <c r="E221" s="64"/>
      <c r="F221" s="64"/>
      <c r="G221" s="64"/>
      <c r="H221" s="163">
        <f t="shared" si="20"/>
        <v>473.79144206951065</v>
      </c>
      <c r="I221" s="187">
        <f t="shared" si="21"/>
        <v>862181.08834703814</v>
      </c>
      <c r="J221" s="187">
        <f t="shared" si="22"/>
        <v>14145.711047531388</v>
      </c>
      <c r="K221" s="228">
        <v>18196</v>
      </c>
      <c r="L221" s="218">
        <f t="shared" si="23"/>
        <v>42.65850589272906</v>
      </c>
      <c r="M221" s="218"/>
      <c r="N221" s="218"/>
      <c r="O221" s="218"/>
      <c r="P221" s="218"/>
      <c r="Q221" s="218"/>
      <c r="R221" s="218"/>
      <c r="S221" s="64"/>
    </row>
    <row r="222" spans="1:20" x14ac:dyDescent="0.25">
      <c r="A222" s="64" t="str">
        <f t="shared" si="18"/>
        <v>CIRF  1219*16</v>
      </c>
      <c r="B222" s="163">
        <f t="shared" si="19"/>
        <v>474.68459686092626</v>
      </c>
      <c r="C222" s="64">
        <v>1219</v>
      </c>
      <c r="D222" s="64">
        <v>16</v>
      </c>
      <c r="E222" s="64"/>
      <c r="F222" s="64"/>
      <c r="G222" s="64"/>
      <c r="H222" s="163">
        <f t="shared" si="20"/>
        <v>604.69375396296334</v>
      </c>
      <c r="I222" s="187">
        <f t="shared" si="21"/>
        <v>1094091.305725001</v>
      </c>
      <c r="J222" s="187">
        <f t="shared" si="22"/>
        <v>17950.636681296161</v>
      </c>
      <c r="K222" s="228">
        <v>23157</v>
      </c>
      <c r="L222" s="218">
        <f t="shared" si="23"/>
        <v>42.536234553613234</v>
      </c>
      <c r="M222" s="218"/>
      <c r="N222" s="218"/>
      <c r="O222" s="218"/>
      <c r="P222" s="218"/>
      <c r="Q222" s="218"/>
      <c r="R222" s="218"/>
      <c r="S222" s="64"/>
    </row>
    <row r="223" spans="1:20" x14ac:dyDescent="0.25">
      <c r="A223" s="64" t="str">
        <f t="shared" si="18"/>
        <v>CIRF  1219*20</v>
      </c>
      <c r="B223" s="163">
        <f t="shared" si="19"/>
        <v>591.38282588970344</v>
      </c>
      <c r="C223" s="64">
        <v>1219</v>
      </c>
      <c r="D223" s="64">
        <v>20</v>
      </c>
      <c r="E223" s="64"/>
      <c r="F223" s="64"/>
      <c r="G223" s="64"/>
      <c r="H223" s="163">
        <f t="shared" si="20"/>
        <v>753.35391833083236</v>
      </c>
      <c r="I223" s="187">
        <f t="shared" si="21"/>
        <v>1354154.6098920691</v>
      </c>
      <c r="J223" s="187">
        <f t="shared" si="22"/>
        <v>22217.466938344038</v>
      </c>
      <c r="K223" s="228">
        <v>28755</v>
      </c>
      <c r="L223" s="218">
        <f t="shared" si="23"/>
        <v>42.396948593029663</v>
      </c>
      <c r="M223" s="218"/>
      <c r="N223" s="218"/>
      <c r="O223" s="218"/>
      <c r="P223" s="218"/>
      <c r="Q223" s="218"/>
      <c r="R223" s="218"/>
      <c r="S223" s="64"/>
    </row>
    <row r="224" spans="1:20" ht="15.75" thickBot="1" x14ac:dyDescent="0.3">
      <c r="A224" s="64" t="str">
        <f t="shared" si="18"/>
        <v>CIRF  1219*25</v>
      </c>
      <c r="B224" s="163">
        <f t="shared" si="19"/>
        <v>736.14584457079434</v>
      </c>
      <c r="C224" s="64">
        <v>1219</v>
      </c>
      <c r="D224" s="64">
        <v>25</v>
      </c>
      <c r="E224" s="64"/>
      <c r="F224" s="64"/>
      <c r="G224" s="64"/>
      <c r="H224" s="163">
        <f t="shared" si="20"/>
        <v>937.7654070965533</v>
      </c>
      <c r="I224" s="187">
        <f t="shared" si="21"/>
        <v>1671872.7841136716</v>
      </c>
      <c r="J224" s="187">
        <f t="shared" si="22"/>
        <v>27430.234357894529</v>
      </c>
      <c r="K224" s="228">
        <v>35646</v>
      </c>
      <c r="L224" s="218">
        <f t="shared" si="23"/>
        <v>42.223527209365159</v>
      </c>
      <c r="M224" s="218"/>
      <c r="N224" s="218"/>
      <c r="O224" s="218"/>
      <c r="P224" s="218"/>
      <c r="Q224" s="218"/>
      <c r="R224" s="218"/>
      <c r="S224" s="64"/>
    </row>
    <row r="225" spans="1:20" ht="16.5" thickBot="1" x14ac:dyDescent="0.3">
      <c r="A225" s="217"/>
      <c r="B225" s="158" t="s">
        <v>422</v>
      </c>
      <c r="C225" s="159"/>
      <c r="D225" s="159"/>
      <c r="E225" s="159"/>
      <c r="F225" s="159"/>
      <c r="G225" s="159"/>
      <c r="H225" s="159"/>
      <c r="I225" s="159"/>
      <c r="J225" s="159"/>
      <c r="K225" s="159"/>
      <c r="L225" s="159"/>
      <c r="M225" s="159"/>
      <c r="N225" s="159"/>
      <c r="O225" s="159"/>
      <c r="P225" s="159"/>
      <c r="Q225" s="159"/>
      <c r="R225" s="159"/>
      <c r="S225" s="159"/>
      <c r="T225" s="160"/>
    </row>
    <row r="226" spans="1:20" x14ac:dyDescent="0.25">
      <c r="A226" s="222" t="str">
        <f>$B$225&amp;"  "&amp;C226&amp;"*"&amp;D226</f>
        <v>CIRC  21.3*2.3</v>
      </c>
      <c r="B226" s="174">
        <f t="shared" ref="B226:B289" si="24">H226*0.785</f>
        <v>1.0777076518507103</v>
      </c>
      <c r="C226" s="173">
        <v>21.3</v>
      </c>
      <c r="D226" s="173">
        <v>2.2999999999999998</v>
      </c>
      <c r="E226" s="173"/>
      <c r="F226" s="173"/>
      <c r="G226" s="173"/>
      <c r="H226" s="174">
        <f t="shared" ref="H226:H289" si="25">(C226^2-(C226-2*D226)^2)*PI()*0.01/4</f>
        <v>1.3728759896187392</v>
      </c>
      <c r="I226" s="174">
        <f t="shared" ref="I226:I289" si="26">(C226^4-(C226-2*D226)^4)*PI()*0.0001/64</f>
        <v>0.62858843279681009</v>
      </c>
      <c r="J226" s="174">
        <f t="shared" ref="J226:J289" si="27">I226/(C226*0.5*0.1)</f>
        <v>0.59022388056038499</v>
      </c>
      <c r="K226" s="175">
        <v>0.83399999999999996</v>
      </c>
      <c r="L226" s="223">
        <f t="shared" ref="L226:L289" si="28">SQRT(I226/H226)</f>
        <v>0.67665537757413863</v>
      </c>
      <c r="M226" s="223"/>
      <c r="N226" s="223"/>
      <c r="O226" s="223"/>
      <c r="P226" s="223"/>
      <c r="Q226" s="223"/>
      <c r="R226" s="223"/>
      <c r="S226" s="173"/>
      <c r="T226" s="224"/>
    </row>
    <row r="227" spans="1:20" x14ac:dyDescent="0.25">
      <c r="A227" s="222" t="str">
        <f t="shared" ref="A227:A290" si="29">$B$225&amp;"  "&amp;C227&amp;"*"&amp;D227</f>
        <v>CIRC  21.3*2.6</v>
      </c>
      <c r="B227" s="174">
        <f t="shared" si="24"/>
        <v>1.1990422433176557</v>
      </c>
      <c r="C227" s="173">
        <v>21.3</v>
      </c>
      <c r="D227" s="173">
        <v>2.6</v>
      </c>
      <c r="E227" s="173"/>
      <c r="F227" s="173"/>
      <c r="G227" s="173"/>
      <c r="H227" s="174">
        <f t="shared" si="25"/>
        <v>1.5274423481753576</v>
      </c>
      <c r="I227" s="174">
        <f t="shared" si="26"/>
        <v>0.68057103125888285</v>
      </c>
      <c r="J227" s="174">
        <f t="shared" si="27"/>
        <v>0.63903383216796505</v>
      </c>
      <c r="K227" s="175">
        <v>0.91500000000000004</v>
      </c>
      <c r="L227" s="223">
        <f t="shared" si="28"/>
        <v>0.66750468163152232</v>
      </c>
      <c r="M227" s="223"/>
      <c r="N227" s="223"/>
      <c r="O227" s="223"/>
      <c r="P227" s="223"/>
      <c r="Q227" s="223"/>
      <c r="R227" s="223"/>
      <c r="S227" s="173"/>
      <c r="T227" s="224"/>
    </row>
    <row r="228" spans="1:20" x14ac:dyDescent="0.25">
      <c r="A228" s="225" t="str">
        <f t="shared" si="29"/>
        <v>CIRC  21.3*3.2</v>
      </c>
      <c r="B228" s="180">
        <f t="shared" si="24"/>
        <v>1.4283942149929787</v>
      </c>
      <c r="C228" s="179">
        <v>21.3</v>
      </c>
      <c r="D228" s="179">
        <v>3.2</v>
      </c>
      <c r="E228" s="179"/>
      <c r="F228" s="179"/>
      <c r="G228" s="179"/>
      <c r="H228" s="180">
        <f t="shared" si="25"/>
        <v>1.8196104649592084</v>
      </c>
      <c r="I228" s="180">
        <f t="shared" si="26"/>
        <v>0.7684442444830859</v>
      </c>
      <c r="J228" s="180">
        <f t="shared" si="27"/>
        <v>0.72154389153341392</v>
      </c>
      <c r="K228" s="180">
        <v>1.06</v>
      </c>
      <c r="L228" s="226">
        <f t="shared" si="28"/>
        <v>0.64985575322528311</v>
      </c>
      <c r="M228" s="226"/>
      <c r="N228" s="226"/>
      <c r="O228" s="226"/>
      <c r="P228" s="226"/>
      <c r="Q228" s="226"/>
      <c r="R228" s="226"/>
      <c r="S228" s="179"/>
      <c r="T228" s="227"/>
    </row>
    <row r="229" spans="1:20" x14ac:dyDescent="0.25">
      <c r="A229" s="64" t="str">
        <f t="shared" si="29"/>
        <v>CIRC  26.9*2.3</v>
      </c>
      <c r="B229" s="163">
        <f t="shared" si="24"/>
        <v>1.3953478018698677</v>
      </c>
      <c r="C229" s="64">
        <v>26.9</v>
      </c>
      <c r="D229" s="64">
        <v>2.2999999999999998</v>
      </c>
      <c r="E229" s="64"/>
      <c r="F229" s="64"/>
      <c r="G229" s="64"/>
      <c r="H229" s="163">
        <f t="shared" si="25"/>
        <v>1.7775131234011052</v>
      </c>
      <c r="I229" s="163">
        <f t="shared" si="26"/>
        <v>1.3563536077252558</v>
      </c>
      <c r="J229" s="163">
        <f t="shared" si="27"/>
        <v>1.0084413440336475</v>
      </c>
      <c r="K229" s="163">
        <v>1.4</v>
      </c>
      <c r="L229" s="218">
        <f t="shared" si="28"/>
        <v>0.87353448701239034</v>
      </c>
      <c r="M229" s="218"/>
      <c r="N229" s="218"/>
      <c r="O229" s="218"/>
      <c r="P229" s="218"/>
      <c r="Q229" s="218"/>
      <c r="R229" s="218"/>
      <c r="S229" s="64"/>
    </row>
    <row r="230" spans="1:20" x14ac:dyDescent="0.25">
      <c r="A230" s="64" t="str">
        <f t="shared" si="29"/>
        <v>CIRC  26.9*2.6</v>
      </c>
      <c r="B230" s="163">
        <f t="shared" si="24"/>
        <v>1.558113717252354</v>
      </c>
      <c r="C230" s="64">
        <v>26.9</v>
      </c>
      <c r="D230" s="64">
        <v>2.6</v>
      </c>
      <c r="E230" s="64"/>
      <c r="F230" s="64"/>
      <c r="G230" s="64"/>
      <c r="H230" s="163">
        <f t="shared" si="25"/>
        <v>1.9848582385380307</v>
      </c>
      <c r="I230" s="163">
        <f t="shared" si="26"/>
        <v>1.4818207287085483</v>
      </c>
      <c r="J230" s="163">
        <f t="shared" si="27"/>
        <v>1.1017254488539392</v>
      </c>
      <c r="K230" s="163">
        <v>1.54</v>
      </c>
      <c r="L230" s="218">
        <f t="shared" si="28"/>
        <v>0.86403848293927277</v>
      </c>
      <c r="M230" s="218"/>
      <c r="N230" s="218"/>
      <c r="O230" s="218"/>
      <c r="P230" s="218"/>
      <c r="Q230" s="218"/>
      <c r="R230" s="218"/>
      <c r="S230" s="64"/>
    </row>
    <row r="231" spans="1:20" x14ac:dyDescent="0.25">
      <c r="A231" s="64" t="str">
        <f t="shared" si="29"/>
        <v>CIRC  26.9*3.2</v>
      </c>
      <c r="B231" s="163">
        <f t="shared" si="24"/>
        <v>1.8703283367587613</v>
      </c>
      <c r="C231" s="64">
        <v>26.9</v>
      </c>
      <c r="D231" s="64">
        <v>3.2</v>
      </c>
      <c r="E231" s="64"/>
      <c r="F231" s="64"/>
      <c r="G231" s="64"/>
      <c r="H231" s="163">
        <f t="shared" si="25"/>
        <v>2.3825838684824983</v>
      </c>
      <c r="I231" s="163">
        <f t="shared" si="26"/>
        <v>1.7033389898764941</v>
      </c>
      <c r="J231" s="163">
        <f t="shared" si="27"/>
        <v>1.2664230408003674</v>
      </c>
      <c r="K231" s="163">
        <v>1.81</v>
      </c>
      <c r="L231" s="218">
        <f t="shared" si="28"/>
        <v>0.84552498484669281</v>
      </c>
      <c r="M231" s="218"/>
      <c r="N231" s="218"/>
      <c r="O231" s="218"/>
      <c r="P231" s="218"/>
      <c r="Q231" s="218"/>
      <c r="R231" s="218"/>
      <c r="S231" s="64"/>
    </row>
    <row r="232" spans="1:20" x14ac:dyDescent="0.25">
      <c r="A232" s="219" t="str">
        <f t="shared" si="29"/>
        <v>CIRC  33.7*2.6</v>
      </c>
      <c r="B232" s="168">
        <f t="shared" si="24"/>
        <v>1.9941290784587753</v>
      </c>
      <c r="C232" s="167">
        <v>33.700000000000003</v>
      </c>
      <c r="D232" s="167">
        <v>2.6</v>
      </c>
      <c r="E232" s="167"/>
      <c r="F232" s="167"/>
      <c r="G232" s="167"/>
      <c r="H232" s="168">
        <f t="shared" si="25"/>
        <v>2.5402918196927073</v>
      </c>
      <c r="I232" s="168">
        <f t="shared" si="26"/>
        <v>3.0927100295326331</v>
      </c>
      <c r="J232" s="168">
        <f t="shared" si="27"/>
        <v>1.8354362193072002</v>
      </c>
      <c r="K232" s="168">
        <v>2.52</v>
      </c>
      <c r="L232" s="220">
        <f t="shared" si="28"/>
        <v>1.1033868315328039</v>
      </c>
      <c r="M232" s="220"/>
      <c r="N232" s="220"/>
      <c r="O232" s="220"/>
      <c r="P232" s="220"/>
      <c r="Q232" s="220"/>
      <c r="R232" s="220"/>
      <c r="S232" s="167"/>
      <c r="T232" s="221"/>
    </row>
    <row r="233" spans="1:20" x14ac:dyDescent="0.25">
      <c r="A233" s="222" t="str">
        <f t="shared" si="29"/>
        <v>CIRC  33.7*3.2</v>
      </c>
      <c r="B233" s="174">
        <f t="shared" si="24"/>
        <v>2.406962627474357</v>
      </c>
      <c r="C233" s="173">
        <v>33.700000000000003</v>
      </c>
      <c r="D233" s="173">
        <v>3.2</v>
      </c>
      <c r="E233" s="173"/>
      <c r="F233" s="173"/>
      <c r="G233" s="173"/>
      <c r="H233" s="174">
        <f t="shared" si="25"/>
        <v>3.0661944299036392</v>
      </c>
      <c r="I233" s="174">
        <f t="shared" si="26"/>
        <v>3.6046564992250918</v>
      </c>
      <c r="J233" s="174">
        <f t="shared" si="27"/>
        <v>2.1392620173442678</v>
      </c>
      <c r="K233" s="174">
        <v>2.99</v>
      </c>
      <c r="L233" s="223">
        <f t="shared" si="28"/>
        <v>1.0842566578075505</v>
      </c>
      <c r="M233" s="223"/>
      <c r="N233" s="223"/>
      <c r="O233" s="223"/>
      <c r="P233" s="223"/>
      <c r="Q233" s="223"/>
      <c r="R233" s="223"/>
      <c r="S233" s="173"/>
      <c r="T233" s="224"/>
    </row>
    <row r="234" spans="1:20" x14ac:dyDescent="0.25">
      <c r="A234" s="225" t="str">
        <f t="shared" si="29"/>
        <v>CIRC  33.7*4</v>
      </c>
      <c r="B234" s="180">
        <f t="shared" si="24"/>
        <v>2.9297864768847703</v>
      </c>
      <c r="C234" s="179">
        <v>33.700000000000003</v>
      </c>
      <c r="D234" s="179">
        <v>4</v>
      </c>
      <c r="E234" s="179"/>
      <c r="F234" s="179"/>
      <c r="G234" s="179"/>
      <c r="H234" s="180">
        <f t="shared" si="25"/>
        <v>3.7322120724646757</v>
      </c>
      <c r="I234" s="180">
        <f t="shared" si="26"/>
        <v>4.1898279251997517</v>
      </c>
      <c r="J234" s="180">
        <f t="shared" si="27"/>
        <v>2.4865447627298227</v>
      </c>
      <c r="K234" s="180">
        <v>3.55</v>
      </c>
      <c r="L234" s="226">
        <f t="shared" si="28"/>
        <v>1.05953409572321</v>
      </c>
      <c r="M234" s="226"/>
      <c r="N234" s="226"/>
      <c r="O234" s="226"/>
      <c r="P234" s="226"/>
      <c r="Q234" s="226"/>
      <c r="R234" s="226"/>
      <c r="S234" s="179"/>
      <c r="T234" s="227"/>
    </row>
    <row r="235" spans="1:20" x14ac:dyDescent="0.25">
      <c r="A235" s="64" t="str">
        <f t="shared" si="29"/>
        <v>CIRC  42.4*2.6</v>
      </c>
      <c r="B235" s="163">
        <f t="shared" si="24"/>
        <v>2.5519722611787556</v>
      </c>
      <c r="C235" s="64">
        <v>42.4</v>
      </c>
      <c r="D235" s="64">
        <v>2.6</v>
      </c>
      <c r="E235" s="64"/>
      <c r="F235" s="64"/>
      <c r="G235" s="64"/>
      <c r="H235" s="163">
        <f t="shared" si="25"/>
        <v>3.2509200779347203</v>
      </c>
      <c r="I235" s="163">
        <f t="shared" si="26"/>
        <v>6.4644545749731908</v>
      </c>
      <c r="J235" s="163">
        <f t="shared" si="27"/>
        <v>3.0492710259307501</v>
      </c>
      <c r="K235" s="163">
        <v>4.12</v>
      </c>
      <c r="L235" s="218">
        <f t="shared" si="28"/>
        <v>1.410141836837699</v>
      </c>
      <c r="M235" s="218"/>
      <c r="N235" s="218"/>
      <c r="O235" s="218"/>
      <c r="P235" s="218"/>
      <c r="Q235" s="218"/>
      <c r="R235" s="218"/>
      <c r="S235" s="64"/>
    </row>
    <row r="236" spans="1:20" x14ac:dyDescent="0.25">
      <c r="A236" s="64" t="str">
        <f t="shared" si="29"/>
        <v>CIRC  42.4*3.2</v>
      </c>
      <c r="B236" s="163">
        <f t="shared" si="24"/>
        <v>3.0935388523604836</v>
      </c>
      <c r="C236" s="64">
        <v>42.4</v>
      </c>
      <c r="D236" s="64">
        <v>3.2</v>
      </c>
      <c r="E236" s="64"/>
      <c r="F236" s="64"/>
      <c r="G236" s="64"/>
      <c r="H236" s="163">
        <f t="shared" si="25"/>
        <v>3.9408138246630364</v>
      </c>
      <c r="I236" s="163">
        <f t="shared" si="26"/>
        <v>7.6199576113684468</v>
      </c>
      <c r="J236" s="163">
        <f t="shared" si="27"/>
        <v>3.594319628003984</v>
      </c>
      <c r="K236" s="163">
        <v>4.93</v>
      </c>
      <c r="L236" s="218">
        <f t="shared" si="28"/>
        <v>1.3905394636614956</v>
      </c>
      <c r="M236" s="218"/>
      <c r="N236" s="218"/>
      <c r="O236" s="218"/>
      <c r="P236" s="218"/>
      <c r="Q236" s="218"/>
      <c r="R236" s="218"/>
      <c r="S236" s="64"/>
    </row>
    <row r="237" spans="1:20" x14ac:dyDescent="0.25">
      <c r="A237" s="64" t="str">
        <f t="shared" si="29"/>
        <v>CIRC  42.4*4</v>
      </c>
      <c r="B237" s="163">
        <f t="shared" si="24"/>
        <v>3.7880067579924299</v>
      </c>
      <c r="C237" s="64">
        <v>42.4</v>
      </c>
      <c r="D237" s="64">
        <v>4</v>
      </c>
      <c r="E237" s="64"/>
      <c r="F237" s="64"/>
      <c r="G237" s="64"/>
      <c r="H237" s="163">
        <f t="shared" si="25"/>
        <v>4.8254863159139232</v>
      </c>
      <c r="I237" s="163">
        <f t="shared" si="26"/>
        <v>8.9908461038108207</v>
      </c>
      <c r="J237" s="163">
        <f t="shared" si="27"/>
        <v>4.2409651433069904</v>
      </c>
      <c r="K237" s="163">
        <v>5.92</v>
      </c>
      <c r="L237" s="218">
        <f t="shared" si="28"/>
        <v>1.3649908424601243</v>
      </c>
      <c r="M237" s="218"/>
      <c r="N237" s="218"/>
      <c r="O237" s="218"/>
      <c r="P237" s="218"/>
      <c r="Q237" s="218"/>
      <c r="R237" s="218"/>
      <c r="S237" s="64"/>
    </row>
    <row r="238" spans="1:20" x14ac:dyDescent="0.25">
      <c r="A238" s="219" t="str">
        <f t="shared" si="29"/>
        <v>CIRC  48.3*2.6</v>
      </c>
      <c r="B238" s="168">
        <f t="shared" si="24"/>
        <v>2.9302797069313855</v>
      </c>
      <c r="C238" s="167">
        <v>48.3</v>
      </c>
      <c r="D238" s="167">
        <v>2.6</v>
      </c>
      <c r="E238" s="167"/>
      <c r="F238" s="167"/>
      <c r="G238" s="167"/>
      <c r="H238" s="168">
        <f t="shared" si="25"/>
        <v>3.7328403909953956</v>
      </c>
      <c r="I238" s="168">
        <f t="shared" si="26"/>
        <v>9.7765422865413765</v>
      </c>
      <c r="J238" s="168">
        <f t="shared" si="27"/>
        <v>4.0482576755864912</v>
      </c>
      <c r="K238" s="168">
        <v>5.44</v>
      </c>
      <c r="L238" s="220">
        <f t="shared" si="28"/>
        <v>1.6183517849960805</v>
      </c>
      <c r="M238" s="220"/>
      <c r="N238" s="220"/>
      <c r="O238" s="220"/>
      <c r="P238" s="220"/>
      <c r="Q238" s="220"/>
      <c r="R238" s="220"/>
      <c r="S238" s="167"/>
      <c r="T238" s="221"/>
    </row>
    <row r="239" spans="1:20" x14ac:dyDescent="0.25">
      <c r="A239" s="222" t="str">
        <f t="shared" si="29"/>
        <v>CIRC  48.3*3.2</v>
      </c>
      <c r="B239" s="174">
        <f t="shared" si="24"/>
        <v>3.5591480163637197</v>
      </c>
      <c r="C239" s="173">
        <v>48.3</v>
      </c>
      <c r="D239" s="173">
        <v>3.2</v>
      </c>
      <c r="E239" s="173"/>
      <c r="F239" s="173"/>
      <c r="G239" s="173"/>
      <c r="H239" s="174">
        <f t="shared" si="25"/>
        <v>4.5339465176607892</v>
      </c>
      <c r="I239" s="174">
        <f t="shared" si="26"/>
        <v>11.585650210910085</v>
      </c>
      <c r="J239" s="174">
        <f t="shared" si="27"/>
        <v>4.7973706877474473</v>
      </c>
      <c r="K239" s="174">
        <v>6.52</v>
      </c>
      <c r="L239" s="223">
        <f t="shared" si="28"/>
        <v>1.5985344850831338</v>
      </c>
      <c r="M239" s="223"/>
      <c r="N239" s="223"/>
      <c r="O239" s="223"/>
      <c r="P239" s="223"/>
      <c r="Q239" s="223"/>
      <c r="R239" s="223"/>
      <c r="S239" s="173"/>
      <c r="T239" s="224"/>
    </row>
    <row r="240" spans="1:20" x14ac:dyDescent="0.25">
      <c r="A240" s="222" t="str">
        <f t="shared" si="29"/>
        <v>CIRC  48.3*4</v>
      </c>
      <c r="B240" s="174">
        <f t="shared" si="24"/>
        <v>4.3700182129964746</v>
      </c>
      <c r="C240" s="173">
        <v>48.3</v>
      </c>
      <c r="D240" s="173">
        <v>4</v>
      </c>
      <c r="E240" s="173"/>
      <c r="F240" s="173"/>
      <c r="G240" s="173"/>
      <c r="H240" s="174">
        <f t="shared" si="25"/>
        <v>5.5669021821611144</v>
      </c>
      <c r="I240" s="174">
        <f t="shared" si="26"/>
        <v>13.767575372979927</v>
      </c>
      <c r="J240" s="174">
        <f t="shared" si="27"/>
        <v>5.7008593676935515</v>
      </c>
      <c r="K240" s="174">
        <v>7.87</v>
      </c>
      <c r="L240" s="223">
        <f t="shared" si="28"/>
        <v>1.5726132709601555</v>
      </c>
      <c r="M240" s="223"/>
      <c r="N240" s="223"/>
      <c r="O240" s="223"/>
      <c r="P240" s="223"/>
      <c r="Q240" s="223"/>
      <c r="R240" s="223"/>
      <c r="S240" s="173"/>
      <c r="T240" s="224"/>
    </row>
    <row r="241" spans="1:20" x14ac:dyDescent="0.25">
      <c r="A241" s="225" t="str">
        <f t="shared" si="29"/>
        <v>CIRC  48.3*5</v>
      </c>
      <c r="B241" s="180">
        <f t="shared" si="24"/>
        <v>5.3392152545921938</v>
      </c>
      <c r="C241" s="179">
        <v>48.3</v>
      </c>
      <c r="D241" s="179">
        <v>5</v>
      </c>
      <c r="E241" s="179"/>
      <c r="F241" s="179"/>
      <c r="G241" s="179"/>
      <c r="H241" s="180">
        <f t="shared" si="25"/>
        <v>6.8015480950219027</v>
      </c>
      <c r="I241" s="180">
        <f t="shared" si="26"/>
        <v>16.15274151281395</v>
      </c>
      <c r="J241" s="180">
        <f t="shared" si="27"/>
        <v>6.6885058024074331</v>
      </c>
      <c r="K241" s="180">
        <v>9.42</v>
      </c>
      <c r="L241" s="226">
        <f t="shared" si="28"/>
        <v>1.5410588892057304</v>
      </c>
      <c r="M241" s="226"/>
      <c r="N241" s="226"/>
      <c r="O241" s="226"/>
      <c r="P241" s="226"/>
      <c r="Q241" s="226"/>
      <c r="R241" s="226"/>
      <c r="S241" s="179"/>
      <c r="T241" s="227"/>
    </row>
    <row r="242" spans="1:20" x14ac:dyDescent="0.25">
      <c r="A242" s="64" t="str">
        <f t="shared" si="29"/>
        <v>CIRC  60.3*2.6</v>
      </c>
      <c r="B242" s="163">
        <f t="shared" si="24"/>
        <v>3.6997185796485974</v>
      </c>
      <c r="C242" s="64">
        <v>60.3</v>
      </c>
      <c r="D242" s="64">
        <v>2.6</v>
      </c>
      <c r="E242" s="64"/>
      <c r="F242" s="64"/>
      <c r="G242" s="64"/>
      <c r="H242" s="163">
        <f t="shared" si="25"/>
        <v>4.7130172989154104</v>
      </c>
      <c r="I242" s="163">
        <f t="shared" si="26"/>
        <v>19.653576700058448</v>
      </c>
      <c r="J242" s="163">
        <f t="shared" si="27"/>
        <v>6.5185992371669812</v>
      </c>
      <c r="K242" s="163">
        <v>8.66</v>
      </c>
      <c r="L242" s="218">
        <f t="shared" si="28"/>
        <v>2.0420730887997132</v>
      </c>
      <c r="M242" s="218"/>
      <c r="N242" s="218"/>
      <c r="O242" s="218"/>
      <c r="P242" s="218"/>
      <c r="Q242" s="218"/>
      <c r="R242" s="218"/>
      <c r="S242" s="64"/>
    </row>
    <row r="243" spans="1:20" x14ac:dyDescent="0.25">
      <c r="A243" s="64" t="str">
        <f t="shared" si="29"/>
        <v>CIRC  60.3*3.2</v>
      </c>
      <c r="B243" s="163">
        <f t="shared" si="24"/>
        <v>4.5061497058618256</v>
      </c>
      <c r="C243" s="64">
        <v>60.3</v>
      </c>
      <c r="D243" s="64">
        <v>3.2</v>
      </c>
      <c r="E243" s="64"/>
      <c r="F243" s="64"/>
      <c r="G243" s="64"/>
      <c r="H243" s="163">
        <f t="shared" si="25"/>
        <v>5.7403180966392675</v>
      </c>
      <c r="I243" s="163">
        <f t="shared" si="26"/>
        <v>23.468214228466522</v>
      </c>
      <c r="J243" s="163">
        <f t="shared" si="27"/>
        <v>7.7838189812492606</v>
      </c>
      <c r="K243" s="163">
        <v>10.4</v>
      </c>
      <c r="L243" s="218">
        <f t="shared" si="28"/>
        <v>2.021957591048833</v>
      </c>
      <c r="M243" s="218"/>
      <c r="N243" s="218"/>
      <c r="O243" s="218"/>
      <c r="P243" s="218"/>
      <c r="Q243" s="218"/>
      <c r="R243" s="218"/>
      <c r="S243" s="64"/>
    </row>
    <row r="244" spans="1:20" x14ac:dyDescent="0.25">
      <c r="A244" s="64" t="str">
        <f t="shared" si="29"/>
        <v>CIRC  60.3*4</v>
      </c>
      <c r="B244" s="163">
        <f t="shared" si="24"/>
        <v>5.5537703248691104</v>
      </c>
      <c r="C244" s="64">
        <v>60.3</v>
      </c>
      <c r="D244" s="64">
        <v>4</v>
      </c>
      <c r="E244" s="64"/>
      <c r="F244" s="64"/>
      <c r="G244" s="64"/>
      <c r="H244" s="163">
        <f t="shared" si="25"/>
        <v>7.0748666558842164</v>
      </c>
      <c r="I244" s="163">
        <f t="shared" si="26"/>
        <v>28.172914946229728</v>
      </c>
      <c r="J244" s="163">
        <f t="shared" si="27"/>
        <v>9.3442503967594455</v>
      </c>
      <c r="K244" s="163">
        <v>12.7</v>
      </c>
      <c r="L244" s="218">
        <f t="shared" si="28"/>
        <v>1.9955231143737722</v>
      </c>
      <c r="M244" s="218"/>
      <c r="N244" s="218"/>
      <c r="O244" s="218"/>
      <c r="P244" s="218"/>
      <c r="Q244" s="218"/>
      <c r="R244" s="218"/>
      <c r="S244" s="64"/>
    </row>
    <row r="245" spans="1:20" x14ac:dyDescent="0.25">
      <c r="A245" s="64" t="str">
        <f t="shared" si="29"/>
        <v>CIRC  60.3*5</v>
      </c>
      <c r="B245" s="163">
        <f t="shared" si="24"/>
        <v>6.8189053944329858</v>
      </c>
      <c r="C245" s="64">
        <v>60.3</v>
      </c>
      <c r="D245" s="64">
        <v>5</v>
      </c>
      <c r="E245" s="64"/>
      <c r="F245" s="64"/>
      <c r="G245" s="64"/>
      <c r="H245" s="163">
        <f t="shared" si="25"/>
        <v>8.6865036871757777</v>
      </c>
      <c r="I245" s="163">
        <f t="shared" si="26"/>
        <v>33.47659081611846</v>
      </c>
      <c r="J245" s="163">
        <f t="shared" si="27"/>
        <v>11.103346871017731</v>
      </c>
      <c r="K245" s="163">
        <v>15.3</v>
      </c>
      <c r="L245" s="218">
        <f t="shared" si="28"/>
        <v>1.963125696434133</v>
      </c>
      <c r="M245" s="218"/>
      <c r="N245" s="218"/>
      <c r="O245" s="218"/>
      <c r="P245" s="218"/>
      <c r="Q245" s="218"/>
      <c r="R245" s="218"/>
      <c r="S245" s="64"/>
    </row>
    <row r="246" spans="1:20" x14ac:dyDescent="0.25">
      <c r="A246" s="219" t="str">
        <f t="shared" si="29"/>
        <v>CIRC  76.1*2.6</v>
      </c>
      <c r="B246" s="168">
        <f t="shared" si="24"/>
        <v>4.7128130953929288</v>
      </c>
      <c r="C246" s="167">
        <v>76.099999999999994</v>
      </c>
      <c r="D246" s="167">
        <v>2.6</v>
      </c>
      <c r="E246" s="167"/>
      <c r="F246" s="167"/>
      <c r="G246" s="167"/>
      <c r="H246" s="168">
        <f t="shared" si="25"/>
        <v>6.0035835610100996</v>
      </c>
      <c r="I246" s="168">
        <f t="shared" si="26"/>
        <v>40.591804396674029</v>
      </c>
      <c r="J246" s="168">
        <f t="shared" si="27"/>
        <v>10.66801692422445</v>
      </c>
      <c r="K246" s="189">
        <v>14.1</v>
      </c>
      <c r="L246" s="220">
        <f t="shared" si="28"/>
        <v>2.6002427771267813</v>
      </c>
      <c r="M246" s="220"/>
      <c r="N246" s="220"/>
      <c r="O246" s="220"/>
      <c r="P246" s="220"/>
      <c r="Q246" s="220"/>
      <c r="R246" s="220"/>
      <c r="S246" s="167"/>
      <c r="T246" s="221"/>
    </row>
    <row r="247" spans="1:20" x14ac:dyDescent="0.25">
      <c r="A247" s="222" t="str">
        <f t="shared" si="29"/>
        <v>CIRC  76.1*3.2</v>
      </c>
      <c r="B247" s="174">
        <f t="shared" si="24"/>
        <v>5.7530352637010065</v>
      </c>
      <c r="C247" s="173">
        <v>76.099999999999994</v>
      </c>
      <c r="D247" s="173">
        <v>3.2</v>
      </c>
      <c r="E247" s="173"/>
      <c r="F247" s="173"/>
      <c r="G247" s="173"/>
      <c r="H247" s="174">
        <f t="shared" si="25"/>
        <v>7.3287073422942752</v>
      </c>
      <c r="I247" s="174">
        <f t="shared" si="26"/>
        <v>48.778501937684013</v>
      </c>
      <c r="J247" s="174">
        <f t="shared" si="27"/>
        <v>12.819580009903815</v>
      </c>
      <c r="K247" s="190">
        <v>17</v>
      </c>
      <c r="L247" s="223">
        <f t="shared" si="28"/>
        <v>2.5798861408984699</v>
      </c>
      <c r="M247" s="223"/>
      <c r="N247" s="223"/>
      <c r="O247" s="223"/>
      <c r="P247" s="223"/>
      <c r="Q247" s="223"/>
      <c r="R247" s="223"/>
      <c r="S247" s="173"/>
      <c r="T247" s="224"/>
    </row>
    <row r="248" spans="1:20" x14ac:dyDescent="0.25">
      <c r="A248" s="222" t="str">
        <f t="shared" si="29"/>
        <v>CIRC  76.1*4</v>
      </c>
      <c r="B248" s="174">
        <f t="shared" si="24"/>
        <v>7.1123772721680734</v>
      </c>
      <c r="C248" s="173">
        <v>76.099999999999994</v>
      </c>
      <c r="D248" s="173">
        <v>4</v>
      </c>
      <c r="E248" s="173"/>
      <c r="F248" s="173"/>
      <c r="G248" s="173"/>
      <c r="H248" s="174">
        <f t="shared" si="25"/>
        <v>9.0603532129529594</v>
      </c>
      <c r="I248" s="174">
        <f t="shared" si="26"/>
        <v>59.055495496442546</v>
      </c>
      <c r="J248" s="174">
        <f t="shared" si="27"/>
        <v>15.520498159380434</v>
      </c>
      <c r="K248" s="190">
        <v>20.8</v>
      </c>
      <c r="L248" s="223">
        <f t="shared" si="28"/>
        <v>2.5530398547613782</v>
      </c>
      <c r="M248" s="223"/>
      <c r="N248" s="223"/>
      <c r="O248" s="223"/>
      <c r="P248" s="223"/>
      <c r="Q248" s="223"/>
      <c r="R248" s="223"/>
      <c r="S248" s="173"/>
      <c r="T248" s="224"/>
    </row>
    <row r="249" spans="1:20" x14ac:dyDescent="0.25">
      <c r="A249" s="225" t="str">
        <f t="shared" si="29"/>
        <v>CIRC  76.1*5</v>
      </c>
      <c r="B249" s="180">
        <f t="shared" si="24"/>
        <v>8.7671640785566964</v>
      </c>
      <c r="C249" s="179">
        <v>76.099999999999994</v>
      </c>
      <c r="D249" s="179">
        <v>5</v>
      </c>
      <c r="E249" s="179"/>
      <c r="F249" s="179"/>
      <c r="G249" s="179"/>
      <c r="H249" s="180">
        <f t="shared" si="25"/>
        <v>11.168361883511714</v>
      </c>
      <c r="I249" s="180">
        <f t="shared" si="26"/>
        <v>70.922029655293812</v>
      </c>
      <c r="J249" s="180">
        <f t="shared" si="27"/>
        <v>18.639166795083788</v>
      </c>
      <c r="K249" s="191">
        <v>25.3</v>
      </c>
      <c r="L249" s="226">
        <f t="shared" si="28"/>
        <v>2.5199727181062892</v>
      </c>
      <c r="M249" s="226"/>
      <c r="N249" s="226"/>
      <c r="O249" s="226"/>
      <c r="P249" s="226"/>
      <c r="Q249" s="226"/>
      <c r="R249" s="226"/>
      <c r="S249" s="179"/>
      <c r="T249" s="227"/>
    </row>
    <row r="250" spans="1:20" x14ac:dyDescent="0.25">
      <c r="A250" s="64" t="str">
        <f t="shared" si="29"/>
        <v>CIRC  88.9*3.2</v>
      </c>
      <c r="B250" s="163">
        <f t="shared" si="24"/>
        <v>6.7631703991656558</v>
      </c>
      <c r="C250" s="64">
        <v>88.9</v>
      </c>
      <c r="D250" s="64">
        <v>3.2</v>
      </c>
      <c r="E250" s="64"/>
      <c r="F250" s="64"/>
      <c r="G250" s="64"/>
      <c r="H250" s="163">
        <f t="shared" si="25"/>
        <v>8.6155036932046567</v>
      </c>
      <c r="I250" s="163">
        <f t="shared" si="26"/>
        <v>79.205879346903856</v>
      </c>
      <c r="J250" s="163">
        <f t="shared" si="27"/>
        <v>17.8190954661201</v>
      </c>
      <c r="K250" s="188">
        <v>23.5</v>
      </c>
      <c r="L250" s="218">
        <f t="shared" si="28"/>
        <v>3.0320640659458369</v>
      </c>
      <c r="M250" s="218"/>
      <c r="N250" s="218"/>
      <c r="O250" s="218"/>
      <c r="P250" s="218"/>
      <c r="Q250" s="218"/>
      <c r="R250" s="218"/>
      <c r="S250" s="64"/>
    </row>
    <row r="251" spans="1:20" x14ac:dyDescent="0.25">
      <c r="A251" s="64" t="str">
        <f t="shared" si="29"/>
        <v>CIRC  88.9*4</v>
      </c>
      <c r="B251" s="163">
        <f t="shared" si="24"/>
        <v>8.3750461914988819</v>
      </c>
      <c r="C251" s="64">
        <v>88.9</v>
      </c>
      <c r="D251" s="64">
        <v>4</v>
      </c>
      <c r="E251" s="64"/>
      <c r="F251" s="64"/>
      <c r="G251" s="64"/>
      <c r="H251" s="163">
        <f t="shared" si="25"/>
        <v>10.668848651590933</v>
      </c>
      <c r="I251" s="163">
        <f t="shared" si="26"/>
        <v>96.339836684474321</v>
      </c>
      <c r="J251" s="163">
        <f t="shared" si="27"/>
        <v>21.673754034752378</v>
      </c>
      <c r="K251" s="188">
        <v>28.9</v>
      </c>
      <c r="L251" s="218">
        <f t="shared" si="28"/>
        <v>3.0049979201323924</v>
      </c>
      <c r="M251" s="218"/>
      <c r="N251" s="218"/>
      <c r="O251" s="218"/>
      <c r="P251" s="218"/>
      <c r="Q251" s="218"/>
      <c r="R251" s="218"/>
      <c r="S251" s="64"/>
    </row>
    <row r="252" spans="1:20" x14ac:dyDescent="0.25">
      <c r="A252" s="64" t="str">
        <f t="shared" si="29"/>
        <v>CIRC  88.9*5</v>
      </c>
      <c r="B252" s="163">
        <f t="shared" si="24"/>
        <v>10.345500227720208</v>
      </c>
      <c r="C252" s="64">
        <v>88.9</v>
      </c>
      <c r="D252" s="64">
        <v>5</v>
      </c>
      <c r="E252" s="64"/>
      <c r="F252" s="64"/>
      <c r="G252" s="64"/>
      <c r="H252" s="163">
        <f t="shared" si="25"/>
        <v>13.178981181809181</v>
      </c>
      <c r="I252" s="163">
        <f t="shared" si="26"/>
        <v>116.37386331793533</v>
      </c>
      <c r="J252" s="163">
        <f t="shared" si="27"/>
        <v>26.180846640705361</v>
      </c>
      <c r="K252" s="188">
        <v>35.200000000000003</v>
      </c>
      <c r="L252" s="218">
        <f t="shared" si="28"/>
        <v>2.9715757604341846</v>
      </c>
      <c r="M252" s="218"/>
      <c r="N252" s="218"/>
      <c r="O252" s="218"/>
      <c r="P252" s="218"/>
      <c r="Q252" s="218"/>
      <c r="R252" s="218"/>
      <c r="S252" s="64"/>
    </row>
    <row r="253" spans="1:20" x14ac:dyDescent="0.25">
      <c r="A253" s="64" t="str">
        <f t="shared" si="29"/>
        <v>CIRC  88.9*6.3</v>
      </c>
      <c r="B253" s="163">
        <f t="shared" si="24"/>
        <v>12.83335258283919</v>
      </c>
      <c r="C253" s="64">
        <v>88.9</v>
      </c>
      <c r="D253" s="64">
        <v>6.3</v>
      </c>
      <c r="E253" s="64"/>
      <c r="F253" s="64"/>
      <c r="G253" s="64"/>
      <c r="H253" s="163">
        <f t="shared" si="25"/>
        <v>16.34821985075056</v>
      </c>
      <c r="I253" s="163">
        <f t="shared" si="26"/>
        <v>140.23605164347902</v>
      </c>
      <c r="J253" s="163">
        <f t="shared" si="27"/>
        <v>31.549167973786052</v>
      </c>
      <c r="K253" s="188">
        <v>43.1</v>
      </c>
      <c r="L253" s="218">
        <f t="shared" si="28"/>
        <v>2.9288329587055668</v>
      </c>
      <c r="M253" s="218"/>
      <c r="N253" s="218"/>
      <c r="O253" s="218"/>
      <c r="P253" s="218"/>
      <c r="Q253" s="218"/>
      <c r="R253" s="218"/>
      <c r="S253" s="64"/>
    </row>
    <row r="254" spans="1:20" x14ac:dyDescent="0.25">
      <c r="A254" s="219" t="str">
        <f t="shared" si="29"/>
        <v>CIRC  101.6*3.2</v>
      </c>
      <c r="B254" s="168">
        <f t="shared" si="24"/>
        <v>7.7654138538844935</v>
      </c>
      <c r="C254" s="167">
        <v>101.6</v>
      </c>
      <c r="D254" s="167">
        <v>3.2</v>
      </c>
      <c r="E254" s="167"/>
      <c r="F254" s="167"/>
      <c r="G254" s="167"/>
      <c r="H254" s="168">
        <f t="shared" si="25"/>
        <v>9.8922469476235584</v>
      </c>
      <c r="I254" s="168">
        <f t="shared" si="26"/>
        <v>119.85446401740704</v>
      </c>
      <c r="J254" s="168">
        <f t="shared" si="27"/>
        <v>23.593398428623434</v>
      </c>
      <c r="K254" s="189">
        <v>31</v>
      </c>
      <c r="L254" s="220">
        <f t="shared" si="28"/>
        <v>3.480804504708646</v>
      </c>
      <c r="M254" s="220"/>
      <c r="N254" s="220"/>
      <c r="O254" s="220"/>
      <c r="P254" s="220"/>
      <c r="Q254" s="220"/>
      <c r="R254" s="220"/>
      <c r="S254" s="167"/>
      <c r="T254" s="221"/>
    </row>
    <row r="255" spans="1:20" x14ac:dyDescent="0.25">
      <c r="A255" s="222" t="str">
        <f t="shared" si="29"/>
        <v>CIRC  101.6*4</v>
      </c>
      <c r="B255" s="174">
        <f t="shared" si="24"/>
        <v>9.6278505098974279</v>
      </c>
      <c r="C255" s="173">
        <v>101.6</v>
      </c>
      <c r="D255" s="173">
        <v>4</v>
      </c>
      <c r="E255" s="173"/>
      <c r="F255" s="173"/>
      <c r="G255" s="173"/>
      <c r="H255" s="174">
        <f t="shared" si="25"/>
        <v>12.264777719614557</v>
      </c>
      <c r="I255" s="174">
        <f t="shared" si="26"/>
        <v>146.28445681738671</v>
      </c>
      <c r="J255" s="174">
        <f t="shared" si="27"/>
        <v>28.796152916808406</v>
      </c>
      <c r="K255" s="190">
        <v>38.1</v>
      </c>
      <c r="L255" s="223">
        <f t="shared" si="28"/>
        <v>3.4535778549208933</v>
      </c>
      <c r="M255" s="223"/>
      <c r="N255" s="223"/>
      <c r="O255" s="223"/>
      <c r="P255" s="223"/>
      <c r="Q255" s="223"/>
      <c r="R255" s="223"/>
      <c r="S255" s="173"/>
      <c r="T255" s="224"/>
    </row>
    <row r="256" spans="1:20" x14ac:dyDescent="0.25">
      <c r="A256" s="222" t="str">
        <f t="shared" si="29"/>
        <v>CIRC  101.6*5</v>
      </c>
      <c r="B256" s="174">
        <f t="shared" si="24"/>
        <v>11.91150562571838</v>
      </c>
      <c r="C256" s="173">
        <v>101.6</v>
      </c>
      <c r="D256" s="173">
        <v>5</v>
      </c>
      <c r="E256" s="173"/>
      <c r="F256" s="173"/>
      <c r="G256" s="173"/>
      <c r="H256" s="174">
        <f t="shared" si="25"/>
        <v>15.1738925168387</v>
      </c>
      <c r="I256" s="174">
        <f t="shared" si="26"/>
        <v>177.46929470919042</v>
      </c>
      <c r="J256" s="174">
        <f t="shared" si="27"/>
        <v>34.934900533305203</v>
      </c>
      <c r="K256" s="190">
        <v>46.7</v>
      </c>
      <c r="L256" s="223">
        <f t="shared" si="28"/>
        <v>3.4198976592874826</v>
      </c>
      <c r="M256" s="223"/>
      <c r="N256" s="223"/>
      <c r="O256" s="223"/>
      <c r="P256" s="223"/>
      <c r="Q256" s="223"/>
      <c r="R256" s="223"/>
      <c r="S256" s="173"/>
      <c r="T256" s="224"/>
    </row>
    <row r="257" spans="1:20" x14ac:dyDescent="0.25">
      <c r="A257" s="222" t="str">
        <f t="shared" si="29"/>
        <v>CIRC  101.6*6.3</v>
      </c>
      <c r="B257" s="174">
        <f t="shared" si="24"/>
        <v>14.806519384316889</v>
      </c>
      <c r="C257" s="173">
        <v>101.6</v>
      </c>
      <c r="D257" s="173">
        <v>6.3</v>
      </c>
      <c r="E257" s="173"/>
      <c r="F257" s="173"/>
      <c r="G257" s="173"/>
      <c r="H257" s="174">
        <f t="shared" si="25"/>
        <v>18.861808132887756</v>
      </c>
      <c r="I257" s="174">
        <f t="shared" si="26"/>
        <v>215.06658023801609</v>
      </c>
      <c r="J257" s="174">
        <f t="shared" si="27"/>
        <v>42.335940991735448</v>
      </c>
      <c r="K257" s="190">
        <v>57.3</v>
      </c>
      <c r="L257" s="223">
        <f t="shared" si="28"/>
        <v>3.3767180812143613</v>
      </c>
      <c r="M257" s="223"/>
      <c r="N257" s="223"/>
      <c r="O257" s="223"/>
      <c r="P257" s="223"/>
      <c r="Q257" s="223"/>
      <c r="R257" s="223"/>
      <c r="S257" s="173"/>
      <c r="T257" s="224"/>
    </row>
    <row r="258" spans="1:20" x14ac:dyDescent="0.25">
      <c r="A258" s="222" t="str">
        <f t="shared" si="29"/>
        <v>CIRC  101.6*8</v>
      </c>
      <c r="B258" s="174">
        <f t="shared" si="24"/>
        <v>18.466532945213096</v>
      </c>
      <c r="C258" s="173">
        <v>101.6</v>
      </c>
      <c r="D258" s="173">
        <v>8</v>
      </c>
      <c r="E258" s="173"/>
      <c r="F258" s="173"/>
      <c r="G258" s="173"/>
      <c r="H258" s="174">
        <f t="shared" si="25"/>
        <v>23.524245790080379</v>
      </c>
      <c r="I258" s="174">
        <f t="shared" si="26"/>
        <v>259.50066015953468</v>
      </c>
      <c r="J258" s="174">
        <f t="shared" si="27"/>
        <v>51.082807118018636</v>
      </c>
      <c r="K258" s="190">
        <v>70.3</v>
      </c>
      <c r="L258" s="223">
        <f t="shared" si="28"/>
        <v>3.3213250367887812</v>
      </c>
      <c r="M258" s="223"/>
      <c r="N258" s="223"/>
      <c r="O258" s="223"/>
      <c r="P258" s="223"/>
      <c r="Q258" s="223"/>
      <c r="R258" s="223"/>
      <c r="S258" s="173"/>
      <c r="T258" s="224"/>
    </row>
    <row r="259" spans="1:20" x14ac:dyDescent="0.25">
      <c r="A259" s="225" t="str">
        <f t="shared" si="29"/>
        <v>CIRC  101.6*10</v>
      </c>
      <c r="B259" s="180">
        <f t="shared" si="24"/>
        <v>22.589936134902764</v>
      </c>
      <c r="C259" s="179">
        <v>101.6</v>
      </c>
      <c r="D259" s="179">
        <v>10</v>
      </c>
      <c r="E259" s="179"/>
      <c r="F259" s="179"/>
      <c r="G259" s="179"/>
      <c r="H259" s="180">
        <f t="shared" si="25"/>
        <v>28.776988706882502</v>
      </c>
      <c r="I259" s="180">
        <f t="shared" si="26"/>
        <v>305.41593654388538</v>
      </c>
      <c r="J259" s="180">
        <f t="shared" si="27"/>
        <v>60.121247351158537</v>
      </c>
      <c r="K259" s="191">
        <v>84.2</v>
      </c>
      <c r="L259" s="226">
        <f t="shared" si="28"/>
        <v>3.2577906623968338</v>
      </c>
      <c r="M259" s="226"/>
      <c r="N259" s="226"/>
      <c r="O259" s="226"/>
      <c r="P259" s="226"/>
      <c r="Q259" s="226"/>
      <c r="R259" s="226"/>
      <c r="S259" s="179"/>
      <c r="T259" s="227"/>
    </row>
    <row r="260" spans="1:20" x14ac:dyDescent="0.25">
      <c r="A260" s="64" t="str">
        <f t="shared" si="29"/>
        <v>CIRC  114.3*3.2</v>
      </c>
      <c r="B260" s="163">
        <f t="shared" si="24"/>
        <v>8.7676573086033205</v>
      </c>
      <c r="C260" s="64">
        <v>114.3</v>
      </c>
      <c r="D260" s="64">
        <v>3.2</v>
      </c>
      <c r="E260" s="64"/>
      <c r="F260" s="64"/>
      <c r="G260" s="64"/>
      <c r="H260" s="163">
        <f t="shared" si="25"/>
        <v>11.168990202042446</v>
      </c>
      <c r="I260" s="187">
        <f t="shared" si="26"/>
        <v>172.4694525142765</v>
      </c>
      <c r="J260" s="188">
        <f t="shared" si="27"/>
        <v>30.178381892261854</v>
      </c>
      <c r="K260" s="188">
        <v>39.5</v>
      </c>
      <c r="L260" s="218">
        <f t="shared" si="28"/>
        <v>3.9296071686620273</v>
      </c>
      <c r="M260" s="218"/>
      <c r="N260" s="218"/>
      <c r="O260" s="218"/>
      <c r="P260" s="218"/>
      <c r="Q260" s="218"/>
      <c r="R260" s="218"/>
      <c r="S260" s="64"/>
    </row>
    <row r="261" spans="1:20" x14ac:dyDescent="0.25">
      <c r="A261" s="64" t="str">
        <f t="shared" si="29"/>
        <v>CIRC  114.3*4</v>
      </c>
      <c r="B261" s="163">
        <f t="shared" si="24"/>
        <v>10.880654828295969</v>
      </c>
      <c r="C261" s="64">
        <v>114.3</v>
      </c>
      <c r="D261" s="64">
        <v>4</v>
      </c>
      <c r="E261" s="64"/>
      <c r="F261" s="64"/>
      <c r="G261" s="64"/>
      <c r="H261" s="163">
        <f t="shared" si="25"/>
        <v>13.860706787638176</v>
      </c>
      <c r="I261" s="187">
        <f t="shared" si="26"/>
        <v>211.06547193827393</v>
      </c>
      <c r="J261" s="188">
        <f t="shared" si="27"/>
        <v>36.931841109059306</v>
      </c>
      <c r="K261" s="188">
        <v>48.7</v>
      </c>
      <c r="L261" s="218">
        <f t="shared" si="28"/>
        <v>3.9022573595292251</v>
      </c>
      <c r="M261" s="218"/>
      <c r="N261" s="218"/>
      <c r="O261" s="218"/>
      <c r="P261" s="218"/>
      <c r="Q261" s="218"/>
      <c r="R261" s="218"/>
      <c r="S261" s="64"/>
    </row>
    <row r="262" spans="1:20" x14ac:dyDescent="0.25">
      <c r="A262" s="64" t="str">
        <f t="shared" si="29"/>
        <v>CIRC  114.3*5</v>
      </c>
      <c r="B262" s="163">
        <f t="shared" si="24"/>
        <v>13.477511023716552</v>
      </c>
      <c r="C262" s="64">
        <v>114.3</v>
      </c>
      <c r="D262" s="64">
        <v>5</v>
      </c>
      <c r="E262" s="64"/>
      <c r="F262" s="64"/>
      <c r="G262" s="64"/>
      <c r="H262" s="163">
        <f t="shared" si="25"/>
        <v>17.168803851868219</v>
      </c>
      <c r="I262" s="187">
        <f t="shared" si="26"/>
        <v>256.92020453075236</v>
      </c>
      <c r="J262" s="188">
        <f t="shared" si="27"/>
        <v>44.955416365835937</v>
      </c>
      <c r="K262" s="188">
        <v>59.8</v>
      </c>
      <c r="L262" s="218">
        <f t="shared" si="28"/>
        <v>3.8683798288172273</v>
      </c>
      <c r="M262" s="218"/>
      <c r="N262" s="218"/>
      <c r="O262" s="218"/>
      <c r="P262" s="218"/>
      <c r="Q262" s="218"/>
      <c r="R262" s="218"/>
      <c r="S262" s="64"/>
    </row>
    <row r="263" spans="1:20" x14ac:dyDescent="0.25">
      <c r="A263" s="64" t="str">
        <f t="shared" si="29"/>
        <v>CIRC  114.3*6.3</v>
      </c>
      <c r="B263" s="163">
        <f t="shared" si="24"/>
        <v>16.779686185794581</v>
      </c>
      <c r="C263" s="64">
        <v>114.3</v>
      </c>
      <c r="D263" s="64">
        <v>6.3</v>
      </c>
      <c r="E263" s="64"/>
      <c r="F263" s="64"/>
      <c r="G263" s="64"/>
      <c r="H263" s="163">
        <f t="shared" si="25"/>
        <v>21.375396415024944</v>
      </c>
      <c r="I263" s="187">
        <f t="shared" si="26"/>
        <v>312.71376658570404</v>
      </c>
      <c r="J263" s="188">
        <f t="shared" si="27"/>
        <v>54.718069393823981</v>
      </c>
      <c r="K263" s="188">
        <v>73.599999999999994</v>
      </c>
      <c r="L263" s="218">
        <f t="shared" si="28"/>
        <v>3.8248676447689007</v>
      </c>
      <c r="M263" s="218"/>
      <c r="N263" s="218"/>
      <c r="O263" s="218"/>
      <c r="P263" s="218"/>
      <c r="Q263" s="218"/>
      <c r="R263" s="218"/>
      <c r="S263" s="64"/>
    </row>
    <row r="264" spans="1:20" x14ac:dyDescent="0.25">
      <c r="A264" s="64" t="str">
        <f t="shared" si="29"/>
        <v>CIRC  114.3*8</v>
      </c>
      <c r="B264" s="163">
        <f t="shared" si="24"/>
        <v>20.972141582010167</v>
      </c>
      <c r="C264" s="64">
        <v>114.3</v>
      </c>
      <c r="D264" s="64">
        <v>8</v>
      </c>
      <c r="E264" s="64"/>
      <c r="F264" s="64"/>
      <c r="G264" s="64"/>
      <c r="H264" s="163">
        <f t="shared" si="25"/>
        <v>26.716103926127602</v>
      </c>
      <c r="I264" s="187">
        <f t="shared" si="26"/>
        <v>379.49190378037127</v>
      </c>
      <c r="J264" s="188">
        <f t="shared" si="27"/>
        <v>66.402782813713259</v>
      </c>
      <c r="K264" s="188">
        <v>90.6</v>
      </c>
      <c r="L264" s="218">
        <f t="shared" si="28"/>
        <v>3.7689007017962153</v>
      </c>
      <c r="M264" s="218"/>
      <c r="N264" s="218"/>
      <c r="O264" s="218"/>
      <c r="P264" s="218"/>
      <c r="Q264" s="218"/>
      <c r="R264" s="218"/>
      <c r="S264" s="64"/>
    </row>
    <row r="265" spans="1:20" x14ac:dyDescent="0.25">
      <c r="A265" s="64" t="str">
        <f t="shared" si="29"/>
        <v>CIRC  114.3*10</v>
      </c>
      <c r="B265" s="163">
        <f t="shared" si="24"/>
        <v>25.721946930899112</v>
      </c>
      <c r="C265" s="64">
        <v>114.3</v>
      </c>
      <c r="D265" s="64">
        <v>10</v>
      </c>
      <c r="E265" s="64"/>
      <c r="F265" s="64"/>
      <c r="G265" s="64"/>
      <c r="H265" s="163">
        <f t="shared" si="25"/>
        <v>32.76681137694154</v>
      </c>
      <c r="I265" s="187">
        <f t="shared" si="26"/>
        <v>449.66263879204871</v>
      </c>
      <c r="J265" s="188">
        <f t="shared" si="27"/>
        <v>78.68112664777756</v>
      </c>
      <c r="K265" s="188">
        <v>109</v>
      </c>
      <c r="L265" s="218">
        <f t="shared" si="28"/>
        <v>3.7044719596725253</v>
      </c>
      <c r="M265" s="218"/>
      <c r="N265" s="218"/>
      <c r="O265" s="218"/>
      <c r="P265" s="218"/>
      <c r="Q265" s="218"/>
      <c r="R265" s="218"/>
      <c r="S265" s="64"/>
    </row>
    <row r="266" spans="1:20" x14ac:dyDescent="0.25">
      <c r="A266" s="219" t="str">
        <f t="shared" si="29"/>
        <v>CIRC  139.7*4</v>
      </c>
      <c r="B266" s="168">
        <f t="shared" si="24"/>
        <v>13.386263465093041</v>
      </c>
      <c r="C266" s="167">
        <v>139.69999999999999</v>
      </c>
      <c r="D266" s="167">
        <v>4</v>
      </c>
      <c r="E266" s="167"/>
      <c r="F266" s="167"/>
      <c r="G266" s="167"/>
      <c r="H266" s="168">
        <f t="shared" si="25"/>
        <v>17.052564923685402</v>
      </c>
      <c r="I266" s="184">
        <f t="shared" si="26"/>
        <v>392.85890912541822</v>
      </c>
      <c r="J266" s="189">
        <f t="shared" si="27"/>
        <v>56.243222494691231</v>
      </c>
      <c r="K266" s="189">
        <v>73.7</v>
      </c>
      <c r="L266" s="220">
        <f t="shared" si="28"/>
        <v>4.7998033813897001</v>
      </c>
      <c r="M266" s="220"/>
      <c r="N266" s="220"/>
      <c r="O266" s="220"/>
      <c r="P266" s="220"/>
      <c r="Q266" s="220"/>
      <c r="R266" s="220"/>
      <c r="S266" s="167"/>
      <c r="T266" s="221"/>
    </row>
    <row r="267" spans="1:20" x14ac:dyDescent="0.25">
      <c r="A267" s="222" t="str">
        <f t="shared" si="29"/>
        <v>CIRC  139.7*5</v>
      </c>
      <c r="B267" s="174">
        <f t="shared" si="24"/>
        <v>16.609521819712896</v>
      </c>
      <c r="C267" s="173">
        <v>139.69999999999999</v>
      </c>
      <c r="D267" s="173">
        <v>5</v>
      </c>
      <c r="E267" s="173"/>
      <c r="F267" s="173"/>
      <c r="G267" s="173"/>
      <c r="H267" s="174">
        <f t="shared" si="25"/>
        <v>21.158626521927257</v>
      </c>
      <c r="I267" s="185">
        <f t="shared" si="26"/>
        <v>480.54123694160398</v>
      </c>
      <c r="J267" s="190">
        <f t="shared" si="27"/>
        <v>68.796168495576808</v>
      </c>
      <c r="K267" s="190">
        <v>90.8</v>
      </c>
      <c r="L267" s="223">
        <f t="shared" si="28"/>
        <v>4.7656439753720576</v>
      </c>
      <c r="M267" s="223"/>
      <c r="N267" s="223"/>
      <c r="O267" s="223"/>
      <c r="P267" s="223"/>
      <c r="Q267" s="223"/>
      <c r="R267" s="223"/>
      <c r="S267" s="173"/>
      <c r="T267" s="224"/>
    </row>
    <row r="268" spans="1:20" x14ac:dyDescent="0.25">
      <c r="A268" s="222" t="str">
        <f t="shared" si="29"/>
        <v>CIRC  139.7*6.3</v>
      </c>
      <c r="B268" s="174">
        <f t="shared" si="24"/>
        <v>20.726019788749973</v>
      </c>
      <c r="C268" s="173">
        <v>139.69999999999999</v>
      </c>
      <c r="D268" s="173">
        <v>6.3</v>
      </c>
      <c r="E268" s="173"/>
      <c r="F268" s="173"/>
      <c r="G268" s="173"/>
      <c r="H268" s="174">
        <f t="shared" si="25"/>
        <v>26.402572979299325</v>
      </c>
      <c r="I268" s="185">
        <f t="shared" si="26"/>
        <v>588.62061216131019</v>
      </c>
      <c r="J268" s="190">
        <f t="shared" si="27"/>
        <v>84.269235814074477</v>
      </c>
      <c r="K268" s="190">
        <v>112</v>
      </c>
      <c r="L268" s="223">
        <f t="shared" si="28"/>
        <v>4.7216588716255217</v>
      </c>
      <c r="M268" s="223"/>
      <c r="N268" s="223"/>
      <c r="O268" s="223"/>
      <c r="P268" s="223"/>
      <c r="Q268" s="223"/>
      <c r="R268" s="223"/>
      <c r="S268" s="173"/>
      <c r="T268" s="224"/>
    </row>
    <row r="269" spans="1:20" x14ac:dyDescent="0.25">
      <c r="A269" s="222" t="str">
        <f t="shared" si="29"/>
        <v>CIRC  139.7*8</v>
      </c>
      <c r="B269" s="174">
        <f t="shared" si="24"/>
        <v>25.983358855604315</v>
      </c>
      <c r="C269" s="173">
        <v>139.69999999999999</v>
      </c>
      <c r="D269" s="173">
        <v>8</v>
      </c>
      <c r="E269" s="173"/>
      <c r="F269" s="173"/>
      <c r="G269" s="173"/>
      <c r="H269" s="174">
        <f t="shared" si="25"/>
        <v>33.099820198222055</v>
      </c>
      <c r="I269" s="185">
        <f t="shared" si="26"/>
        <v>720.28891106328228</v>
      </c>
      <c r="J269" s="190">
        <f t="shared" si="27"/>
        <v>103.11938597899533</v>
      </c>
      <c r="K269" s="190">
        <v>139</v>
      </c>
      <c r="L269" s="223">
        <f t="shared" si="28"/>
        <v>4.6648807594621315</v>
      </c>
      <c r="M269" s="223"/>
      <c r="N269" s="223"/>
      <c r="O269" s="223"/>
      <c r="P269" s="223"/>
      <c r="Q269" s="223"/>
      <c r="R269" s="223"/>
      <c r="S269" s="173"/>
      <c r="T269" s="224"/>
    </row>
    <row r="270" spans="1:20" x14ac:dyDescent="0.25">
      <c r="A270" s="222" t="str">
        <f t="shared" si="29"/>
        <v>CIRC  139.7*10</v>
      </c>
      <c r="B270" s="174">
        <f t="shared" si="24"/>
        <v>31.985968522891806</v>
      </c>
      <c r="C270" s="173">
        <v>139.69999999999999</v>
      </c>
      <c r="D270" s="173">
        <v>10</v>
      </c>
      <c r="E270" s="173"/>
      <c r="F270" s="173"/>
      <c r="G270" s="173"/>
      <c r="H270" s="174">
        <f t="shared" si="25"/>
        <v>40.746456717059623</v>
      </c>
      <c r="I270" s="185">
        <f t="shared" si="26"/>
        <v>861.894009683984</v>
      </c>
      <c r="J270" s="190">
        <f t="shared" si="27"/>
        <v>123.39212737064912</v>
      </c>
      <c r="K270" s="190">
        <v>169</v>
      </c>
      <c r="L270" s="223">
        <f t="shared" si="28"/>
        <v>4.5991969407712903</v>
      </c>
      <c r="M270" s="223"/>
      <c r="N270" s="223"/>
      <c r="O270" s="223"/>
      <c r="P270" s="223"/>
      <c r="Q270" s="223"/>
      <c r="R270" s="223"/>
      <c r="S270" s="173"/>
      <c r="T270" s="224"/>
    </row>
    <row r="271" spans="1:20" x14ac:dyDescent="0.25">
      <c r="A271" s="225" t="str">
        <f t="shared" si="29"/>
        <v>CIRC  139.7*12.5</v>
      </c>
      <c r="B271" s="180">
        <f t="shared" si="24"/>
        <v>39.211788705781004</v>
      </c>
      <c r="C271" s="179">
        <v>139.69999999999999</v>
      </c>
      <c r="D271" s="179">
        <v>12.5</v>
      </c>
      <c r="E271" s="179"/>
      <c r="F271" s="179"/>
      <c r="G271" s="179"/>
      <c r="H271" s="180">
        <f t="shared" si="25"/>
        <v>49.951323192077709</v>
      </c>
      <c r="I271" s="186">
        <f t="shared" si="26"/>
        <v>1020.0116391060858</v>
      </c>
      <c r="J271" s="191">
        <f t="shared" si="27"/>
        <v>146.02886744539526</v>
      </c>
      <c r="K271" s="191">
        <v>203</v>
      </c>
      <c r="L271" s="226">
        <f t="shared" si="28"/>
        <v>4.518861858919788</v>
      </c>
      <c r="M271" s="226"/>
      <c r="N271" s="226"/>
      <c r="O271" s="226"/>
      <c r="P271" s="226"/>
      <c r="Q271" s="226"/>
      <c r="R271" s="226"/>
      <c r="S271" s="179"/>
      <c r="T271" s="227"/>
    </row>
    <row r="272" spans="1:20" x14ac:dyDescent="0.25">
      <c r="A272" s="64" t="str">
        <f t="shared" si="29"/>
        <v>CIRC  168.3*4</v>
      </c>
      <c r="B272" s="163">
        <f t="shared" si="24"/>
        <v>16.20753933172281</v>
      </c>
      <c r="C272" s="64">
        <v>168.3</v>
      </c>
      <c r="D272" s="64">
        <v>4</v>
      </c>
      <c r="E272" s="64"/>
      <c r="F272" s="64"/>
      <c r="G272" s="64"/>
      <c r="H272" s="163">
        <f t="shared" si="25"/>
        <v>20.646546919392112</v>
      </c>
      <c r="I272" s="187">
        <f t="shared" si="26"/>
        <v>697.09168637596451</v>
      </c>
      <c r="J272" s="188">
        <f t="shared" si="27"/>
        <v>82.839178416632734</v>
      </c>
      <c r="K272" s="228">
        <v>108</v>
      </c>
      <c r="L272" s="218">
        <f t="shared" si="28"/>
        <v>5.8106034540312601</v>
      </c>
      <c r="M272" s="218"/>
      <c r="N272" s="218"/>
      <c r="O272" s="218"/>
      <c r="P272" s="218"/>
      <c r="Q272" s="218"/>
      <c r="R272" s="218"/>
      <c r="S272" s="64"/>
    </row>
    <row r="273" spans="1:20" x14ac:dyDescent="0.25">
      <c r="A273" s="64" t="str">
        <f t="shared" si="29"/>
        <v>CIRC  168.3*5</v>
      </c>
      <c r="B273" s="163">
        <f t="shared" si="24"/>
        <v>20.136116653000119</v>
      </c>
      <c r="C273" s="64">
        <v>168.3</v>
      </c>
      <c r="D273" s="64">
        <v>5</v>
      </c>
      <c r="E273" s="64"/>
      <c r="F273" s="64"/>
      <c r="G273" s="64"/>
      <c r="H273" s="163">
        <f t="shared" si="25"/>
        <v>25.651104016560662</v>
      </c>
      <c r="I273" s="187">
        <f t="shared" si="26"/>
        <v>855.84555848574439</v>
      </c>
      <c r="J273" s="188">
        <f t="shared" si="27"/>
        <v>101.70476036669569</v>
      </c>
      <c r="K273" s="228">
        <v>133</v>
      </c>
      <c r="L273" s="218">
        <f t="shared" si="28"/>
        <v>5.7762325524514688</v>
      </c>
      <c r="M273" s="218"/>
      <c r="N273" s="218"/>
      <c r="O273" s="218"/>
      <c r="P273" s="218"/>
      <c r="Q273" s="218"/>
      <c r="R273" s="218"/>
      <c r="S273" s="64"/>
    </row>
    <row r="274" spans="1:20" x14ac:dyDescent="0.25">
      <c r="A274" s="64" t="str">
        <f t="shared" si="29"/>
        <v>CIRC  168.3*6.3</v>
      </c>
      <c r="B274" s="163">
        <f t="shared" si="24"/>
        <v>25.169529278691872</v>
      </c>
      <c r="C274" s="64">
        <v>168.3</v>
      </c>
      <c r="D274" s="64">
        <v>6.3</v>
      </c>
      <c r="E274" s="64"/>
      <c r="F274" s="64"/>
      <c r="G274" s="64"/>
      <c r="H274" s="163">
        <f t="shared" si="25"/>
        <v>32.063094622537413</v>
      </c>
      <c r="I274" s="187">
        <f t="shared" si="26"/>
        <v>1053.4205493743011</v>
      </c>
      <c r="J274" s="188">
        <f t="shared" si="27"/>
        <v>125.1836659981344</v>
      </c>
      <c r="K274" s="228">
        <v>165</v>
      </c>
      <c r="L274" s="218">
        <f t="shared" si="28"/>
        <v>5.7318943203796096</v>
      </c>
      <c r="M274" s="218"/>
      <c r="N274" s="218"/>
      <c r="O274" s="218"/>
      <c r="P274" s="218"/>
      <c r="Q274" s="218"/>
      <c r="R274" s="218"/>
      <c r="S274" s="64"/>
    </row>
    <row r="275" spans="1:20" x14ac:dyDescent="0.25">
      <c r="A275" s="64" t="str">
        <f t="shared" si="29"/>
        <v>CIRC  168.3*8</v>
      </c>
      <c r="B275" s="163">
        <f t="shared" si="24"/>
        <v>31.625910588863864</v>
      </c>
      <c r="C275" s="64">
        <v>168.3</v>
      </c>
      <c r="D275" s="64">
        <v>8</v>
      </c>
      <c r="E275" s="64"/>
      <c r="F275" s="64"/>
      <c r="G275" s="64"/>
      <c r="H275" s="163">
        <f t="shared" si="25"/>
        <v>40.287784189635495</v>
      </c>
      <c r="I275" s="187">
        <f t="shared" si="26"/>
        <v>1297.271183281985</v>
      </c>
      <c r="J275" s="188">
        <f t="shared" si="27"/>
        <v>154.16175677741947</v>
      </c>
      <c r="K275" s="228">
        <v>206</v>
      </c>
      <c r="L275" s="218">
        <f t="shared" si="28"/>
        <v>5.6745142963957731</v>
      </c>
      <c r="M275" s="218"/>
      <c r="N275" s="218"/>
      <c r="O275" s="218"/>
      <c r="P275" s="218"/>
      <c r="Q275" s="218"/>
      <c r="R275" s="218"/>
      <c r="S275" s="64"/>
    </row>
    <row r="276" spans="1:20" x14ac:dyDescent="0.25">
      <c r="A276" s="64" t="str">
        <f t="shared" si="29"/>
        <v>CIRC  168.3*10</v>
      </c>
      <c r="B276" s="163">
        <f t="shared" si="24"/>
        <v>39.039158189466249</v>
      </c>
      <c r="C276" s="64">
        <v>168.3</v>
      </c>
      <c r="D276" s="64">
        <v>10</v>
      </c>
      <c r="E276" s="64"/>
      <c r="F276" s="64"/>
      <c r="G276" s="64"/>
      <c r="H276" s="163">
        <f t="shared" si="25"/>
        <v>49.731411706326426</v>
      </c>
      <c r="I276" s="187">
        <f t="shared" si="26"/>
        <v>1563.9838958302241</v>
      </c>
      <c r="J276" s="188">
        <f t="shared" si="27"/>
        <v>185.85667211292025</v>
      </c>
      <c r="K276" s="228">
        <v>251</v>
      </c>
      <c r="L276" s="218">
        <f t="shared" si="28"/>
        <v>5.6079062492163692</v>
      </c>
      <c r="M276" s="218"/>
      <c r="N276" s="218"/>
      <c r="O276" s="218"/>
      <c r="P276" s="218"/>
      <c r="Q276" s="218"/>
      <c r="R276" s="218"/>
      <c r="S276" s="64"/>
    </row>
    <row r="277" spans="1:20" x14ac:dyDescent="0.25">
      <c r="A277" s="219" t="str">
        <f t="shared" si="29"/>
        <v>CIRC  177.8*5</v>
      </c>
      <c r="B277" s="168">
        <f t="shared" si="24"/>
        <v>21.307538013707415</v>
      </c>
      <c r="C277" s="167">
        <v>177.8</v>
      </c>
      <c r="D277" s="167">
        <v>5</v>
      </c>
      <c r="E277" s="167"/>
      <c r="F277" s="167"/>
      <c r="G277" s="167"/>
      <c r="H277" s="168">
        <f t="shared" si="25"/>
        <v>27.143360527015812</v>
      </c>
      <c r="I277" s="184">
        <f t="shared" si="26"/>
        <v>1013.9687330152292</v>
      </c>
      <c r="J277" s="189">
        <f t="shared" si="27"/>
        <v>114.05722531104939</v>
      </c>
      <c r="K277" s="229">
        <v>149</v>
      </c>
      <c r="L277" s="220">
        <f t="shared" si="28"/>
        <v>6.1119595875627324</v>
      </c>
      <c r="M277" s="220"/>
      <c r="N277" s="220"/>
      <c r="O277" s="220"/>
      <c r="P277" s="220"/>
      <c r="Q277" s="220"/>
      <c r="R277" s="220"/>
      <c r="S277" s="167"/>
      <c r="T277" s="221"/>
    </row>
    <row r="278" spans="1:20" x14ac:dyDescent="0.25">
      <c r="A278" s="222" t="str">
        <f t="shared" si="29"/>
        <v>CIRC  177.8*6.3</v>
      </c>
      <c r="B278" s="174">
        <f t="shared" si="24"/>
        <v>26.645520193183067</v>
      </c>
      <c r="C278" s="173">
        <v>177.8</v>
      </c>
      <c r="D278" s="173">
        <v>6.3</v>
      </c>
      <c r="E278" s="173"/>
      <c r="F278" s="173"/>
      <c r="G278" s="173"/>
      <c r="H278" s="174">
        <f t="shared" si="25"/>
        <v>33.943337825710913</v>
      </c>
      <c r="I278" s="185">
        <f t="shared" si="26"/>
        <v>1249.6214363032107</v>
      </c>
      <c r="J278" s="190">
        <f t="shared" si="27"/>
        <v>140.56484097898883</v>
      </c>
      <c r="K278" s="230">
        <v>185</v>
      </c>
      <c r="L278" s="223">
        <f t="shared" si="28"/>
        <v>6.0675303872333437</v>
      </c>
      <c r="M278" s="223"/>
      <c r="N278" s="223"/>
      <c r="O278" s="223"/>
      <c r="P278" s="223"/>
      <c r="Q278" s="223"/>
      <c r="R278" s="223"/>
      <c r="S278" s="173"/>
      <c r="T278" s="224"/>
    </row>
    <row r="279" spans="1:20" x14ac:dyDescent="0.25">
      <c r="A279" s="222" t="str">
        <f t="shared" si="29"/>
        <v>CIRC  177.8*8</v>
      </c>
      <c r="B279" s="174">
        <f t="shared" si="24"/>
        <v>33.500184765995527</v>
      </c>
      <c r="C279" s="173">
        <v>177.8</v>
      </c>
      <c r="D279" s="173">
        <v>8</v>
      </c>
      <c r="E279" s="173"/>
      <c r="F279" s="173"/>
      <c r="G279" s="173"/>
      <c r="H279" s="174">
        <f t="shared" si="25"/>
        <v>42.675394606363731</v>
      </c>
      <c r="I279" s="185">
        <f t="shared" si="26"/>
        <v>1541.4373869515891</v>
      </c>
      <c r="J279" s="190">
        <f t="shared" si="27"/>
        <v>173.39003227801902</v>
      </c>
      <c r="K279" s="230">
        <v>231</v>
      </c>
      <c r="L279" s="223">
        <f t="shared" si="28"/>
        <v>6.0099958402647848</v>
      </c>
      <c r="M279" s="223"/>
      <c r="N279" s="223"/>
      <c r="O279" s="223"/>
      <c r="P279" s="223"/>
      <c r="Q279" s="223"/>
      <c r="R279" s="223"/>
      <c r="S279" s="173"/>
      <c r="T279" s="224"/>
    </row>
    <row r="280" spans="1:20" x14ac:dyDescent="0.25">
      <c r="A280" s="222" t="str">
        <f t="shared" si="29"/>
        <v>CIRC  177.8*10</v>
      </c>
      <c r="B280" s="174">
        <f t="shared" si="24"/>
        <v>41.382000910880834</v>
      </c>
      <c r="C280" s="173">
        <v>177.8</v>
      </c>
      <c r="D280" s="173">
        <v>10</v>
      </c>
      <c r="E280" s="173"/>
      <c r="F280" s="173"/>
      <c r="G280" s="173"/>
      <c r="H280" s="174">
        <f t="shared" si="25"/>
        <v>52.715924727236725</v>
      </c>
      <c r="I280" s="185">
        <f t="shared" si="26"/>
        <v>1861.9818130869653</v>
      </c>
      <c r="J280" s="190">
        <f t="shared" si="27"/>
        <v>209.44677312564289</v>
      </c>
      <c r="K280" s="230">
        <v>282</v>
      </c>
      <c r="L280" s="223">
        <f t="shared" si="28"/>
        <v>5.9431515208683692</v>
      </c>
      <c r="M280" s="223"/>
      <c r="N280" s="223"/>
      <c r="O280" s="223"/>
      <c r="P280" s="223"/>
      <c r="Q280" s="223"/>
      <c r="R280" s="223"/>
      <c r="S280" s="173"/>
      <c r="T280" s="224"/>
    </row>
    <row r="281" spans="1:20" x14ac:dyDescent="0.25">
      <c r="A281" s="225" t="str">
        <f t="shared" si="29"/>
        <v>CIRC  177.8*12.5</v>
      </c>
      <c r="B281" s="180">
        <f t="shared" si="24"/>
        <v>50.956829190767301</v>
      </c>
      <c r="C281" s="179">
        <v>177.8</v>
      </c>
      <c r="D281" s="179">
        <v>12.5</v>
      </c>
      <c r="E281" s="179"/>
      <c r="F281" s="179"/>
      <c r="G281" s="179"/>
      <c r="H281" s="180">
        <f t="shared" si="25"/>
        <v>64.913158204799103</v>
      </c>
      <c r="I281" s="186">
        <f t="shared" si="26"/>
        <v>2229.7945724270867</v>
      </c>
      <c r="J281" s="191">
        <f t="shared" si="27"/>
        <v>250.82053683094335</v>
      </c>
      <c r="K281" s="231">
        <v>342</v>
      </c>
      <c r="L281" s="226">
        <f t="shared" si="28"/>
        <v>5.8609235620335474</v>
      </c>
      <c r="M281" s="226"/>
      <c r="N281" s="226"/>
      <c r="O281" s="226"/>
      <c r="P281" s="226"/>
      <c r="Q281" s="226"/>
      <c r="R281" s="226"/>
      <c r="S281" s="179"/>
      <c r="T281" s="227"/>
    </row>
    <row r="282" spans="1:20" x14ac:dyDescent="0.25">
      <c r="A282" s="64" t="str">
        <f t="shared" si="29"/>
        <v>CIRC  193.7*5</v>
      </c>
      <c r="B282" s="163">
        <f t="shared" si="24"/>
        <v>23.268127448996463</v>
      </c>
      <c r="C282" s="64">
        <v>193.7</v>
      </c>
      <c r="D282" s="64">
        <v>5</v>
      </c>
      <c r="E282" s="64"/>
      <c r="F282" s="64"/>
      <c r="G282" s="64"/>
      <c r="H282" s="163">
        <f t="shared" si="25"/>
        <v>29.640926686619697</v>
      </c>
      <c r="I282" s="187">
        <f t="shared" si="26"/>
        <v>1320.232439921308</v>
      </c>
      <c r="J282" s="187">
        <f t="shared" si="27"/>
        <v>136.31723695625277</v>
      </c>
      <c r="K282" s="228">
        <v>178</v>
      </c>
      <c r="L282" s="218">
        <f t="shared" si="28"/>
        <v>6.6738941031454777</v>
      </c>
      <c r="M282" s="218"/>
      <c r="N282" s="218"/>
      <c r="O282" s="218"/>
      <c r="P282" s="218"/>
      <c r="Q282" s="218"/>
      <c r="R282" s="218"/>
      <c r="S282" s="64"/>
    </row>
    <row r="283" spans="1:20" x14ac:dyDescent="0.25">
      <c r="A283" s="64" t="str">
        <f t="shared" si="29"/>
        <v>CIRC  193.7*6.3</v>
      </c>
      <c r="B283" s="163">
        <f t="shared" si="24"/>
        <v>29.115862881647249</v>
      </c>
      <c r="C283" s="64">
        <v>193.7</v>
      </c>
      <c r="D283" s="64">
        <v>6.3</v>
      </c>
      <c r="E283" s="64"/>
      <c r="F283" s="64"/>
      <c r="G283" s="64"/>
      <c r="H283" s="163">
        <f t="shared" si="25"/>
        <v>37.090271186811783</v>
      </c>
      <c r="I283" s="187">
        <f t="shared" si="26"/>
        <v>1630.0455562599525</v>
      </c>
      <c r="J283" s="187">
        <f t="shared" si="27"/>
        <v>168.3062009561128</v>
      </c>
      <c r="K283" s="228">
        <v>221</v>
      </c>
      <c r="L283" s="218">
        <f t="shared" si="28"/>
        <v>6.629333488368192</v>
      </c>
      <c r="M283" s="218"/>
      <c r="N283" s="218"/>
      <c r="O283" s="218"/>
      <c r="P283" s="218"/>
      <c r="Q283" s="218"/>
      <c r="R283" s="218"/>
      <c r="S283" s="64"/>
    </row>
    <row r="284" spans="1:20" x14ac:dyDescent="0.25">
      <c r="A284" s="64" t="str">
        <f t="shared" si="29"/>
        <v>CIRC  193.7*8</v>
      </c>
      <c r="B284" s="163">
        <f t="shared" si="24"/>
        <v>36.637127862458009</v>
      </c>
      <c r="C284" s="64">
        <v>193.7</v>
      </c>
      <c r="D284" s="64">
        <v>8</v>
      </c>
      <c r="E284" s="64"/>
      <c r="F284" s="64"/>
      <c r="G284" s="64"/>
      <c r="H284" s="163">
        <f t="shared" si="25"/>
        <v>46.671500461729948</v>
      </c>
      <c r="I284" s="187">
        <f t="shared" si="26"/>
        <v>2015.5373337338401</v>
      </c>
      <c r="J284" s="187">
        <f t="shared" si="27"/>
        <v>208.10917230086113</v>
      </c>
      <c r="K284" s="228">
        <v>276</v>
      </c>
      <c r="L284" s="218">
        <f t="shared" si="28"/>
        <v>6.5715761047103447</v>
      </c>
      <c r="M284" s="218"/>
      <c r="N284" s="218"/>
      <c r="O284" s="218"/>
      <c r="P284" s="218"/>
      <c r="Q284" s="218"/>
      <c r="R284" s="218"/>
      <c r="S284" s="64"/>
    </row>
    <row r="285" spans="1:20" x14ac:dyDescent="0.25">
      <c r="A285" s="64" t="str">
        <f t="shared" si="29"/>
        <v>CIRC  193.7*10</v>
      </c>
      <c r="B285" s="163">
        <f t="shared" si="24"/>
        <v>45.303179781458937</v>
      </c>
      <c r="C285" s="64">
        <v>193.7</v>
      </c>
      <c r="D285" s="64">
        <v>10</v>
      </c>
      <c r="E285" s="64"/>
      <c r="F285" s="64"/>
      <c r="G285" s="64"/>
      <c r="H285" s="163">
        <f t="shared" si="25"/>
        <v>57.711057046444502</v>
      </c>
      <c r="I285" s="187">
        <f t="shared" si="26"/>
        <v>2441.5881829578443</v>
      </c>
      <c r="J285" s="187">
        <f t="shared" si="27"/>
        <v>252.09996726461995</v>
      </c>
      <c r="K285" s="228">
        <v>338</v>
      </c>
      <c r="L285" s="218">
        <f t="shared" si="28"/>
        <v>6.504391785555355</v>
      </c>
      <c r="M285" s="218"/>
      <c r="N285" s="218"/>
      <c r="O285" s="218"/>
      <c r="P285" s="218"/>
      <c r="Q285" s="218"/>
      <c r="R285" s="218"/>
      <c r="S285" s="64"/>
    </row>
    <row r="286" spans="1:20" x14ac:dyDescent="0.25">
      <c r="A286" s="64" t="str">
        <f t="shared" si="29"/>
        <v>CIRC  193.7*12.5</v>
      </c>
      <c r="B286" s="163">
        <f t="shared" si="24"/>
        <v>55.858302778989916</v>
      </c>
      <c r="C286" s="64">
        <v>193.7</v>
      </c>
      <c r="D286" s="64">
        <v>12.5</v>
      </c>
      <c r="E286" s="64"/>
      <c r="F286" s="64"/>
      <c r="G286" s="64"/>
      <c r="H286" s="163">
        <f t="shared" si="25"/>
        <v>71.157073603808811</v>
      </c>
      <c r="I286" s="187">
        <f t="shared" si="26"/>
        <v>2934.3122493710439</v>
      </c>
      <c r="J286" s="187">
        <f t="shared" si="27"/>
        <v>302.97493540227606</v>
      </c>
      <c r="K286" s="228">
        <v>411</v>
      </c>
      <c r="L286" s="218">
        <f t="shared" si="28"/>
        <v>6.4216129204429624</v>
      </c>
      <c r="M286" s="218"/>
      <c r="N286" s="218"/>
      <c r="O286" s="218"/>
      <c r="P286" s="218"/>
      <c r="Q286" s="218"/>
      <c r="R286" s="218"/>
      <c r="S286" s="64"/>
    </row>
    <row r="287" spans="1:20" x14ac:dyDescent="0.25">
      <c r="A287" s="64" t="str">
        <f t="shared" si="29"/>
        <v>CIRC  193.7*14.2</v>
      </c>
      <c r="B287" s="163">
        <f t="shared" si="24"/>
        <v>62.859703290669955</v>
      </c>
      <c r="C287" s="64">
        <v>193.7</v>
      </c>
      <c r="D287" s="64">
        <v>14.2</v>
      </c>
      <c r="E287" s="64"/>
      <c r="F287" s="64"/>
      <c r="G287" s="64"/>
      <c r="H287" s="163">
        <f t="shared" si="25"/>
        <v>80.07605514735026</v>
      </c>
      <c r="I287" s="187">
        <f t="shared" si="26"/>
        <v>3245.2713145266539</v>
      </c>
      <c r="J287" s="187">
        <f t="shared" si="27"/>
        <v>335.08222142763589</v>
      </c>
      <c r="K287" s="228">
        <v>458</v>
      </c>
      <c r="L287" s="218">
        <f t="shared" si="28"/>
        <v>6.3661104687242105</v>
      </c>
      <c r="M287" s="218"/>
      <c r="N287" s="218"/>
      <c r="O287" s="218"/>
      <c r="P287" s="218"/>
      <c r="Q287" s="218"/>
      <c r="R287" s="218"/>
      <c r="S287" s="64"/>
    </row>
    <row r="288" spans="1:20" x14ac:dyDescent="0.25">
      <c r="A288" s="64" t="str">
        <f t="shared" si="29"/>
        <v>CIRC  193.7*16</v>
      </c>
      <c r="B288" s="163">
        <f t="shared" si="24"/>
        <v>70.117583426589022</v>
      </c>
      <c r="C288" s="64">
        <v>193.7</v>
      </c>
      <c r="D288" s="64">
        <v>16</v>
      </c>
      <c r="E288" s="64"/>
      <c r="F288" s="64"/>
      <c r="G288" s="64"/>
      <c r="H288" s="163">
        <f t="shared" si="25"/>
        <v>89.321762326864999</v>
      </c>
      <c r="I288" s="187">
        <f t="shared" si="26"/>
        <v>3554.2569543277086</v>
      </c>
      <c r="J288" s="187">
        <f t="shared" si="27"/>
        <v>366.98574644581396</v>
      </c>
      <c r="K288" s="228">
        <v>507</v>
      </c>
      <c r="L288" s="218">
        <f t="shared" si="28"/>
        <v>6.3080593291439468</v>
      </c>
      <c r="M288" s="218"/>
      <c r="N288" s="218"/>
      <c r="O288" s="218"/>
      <c r="P288" s="218"/>
      <c r="Q288" s="218"/>
      <c r="R288" s="218"/>
      <c r="S288" s="64"/>
    </row>
    <row r="289" spans="1:20" x14ac:dyDescent="0.25">
      <c r="A289" s="219" t="str">
        <f t="shared" si="29"/>
        <v>CIRC  219.1*5</v>
      </c>
      <c r="B289" s="168">
        <f t="shared" si="24"/>
        <v>26.400138244992807</v>
      </c>
      <c r="C289" s="167">
        <v>219.1</v>
      </c>
      <c r="D289" s="167">
        <v>5</v>
      </c>
      <c r="E289" s="167"/>
      <c r="F289" s="167"/>
      <c r="G289" s="167"/>
      <c r="H289" s="168">
        <f t="shared" si="25"/>
        <v>33.630749356678734</v>
      </c>
      <c r="I289" s="184">
        <f t="shared" si="26"/>
        <v>1928.0428733154195</v>
      </c>
      <c r="J289" s="184">
        <f t="shared" si="27"/>
        <v>175.99661098269462</v>
      </c>
      <c r="K289" s="229">
        <v>229</v>
      </c>
      <c r="L289" s="220">
        <f t="shared" si="28"/>
        <v>7.5716419949704434</v>
      </c>
      <c r="M289" s="220"/>
      <c r="N289" s="220"/>
      <c r="O289" s="220"/>
      <c r="P289" s="220"/>
      <c r="Q289" s="220"/>
      <c r="R289" s="220"/>
      <c r="S289" s="167"/>
      <c r="T289" s="221"/>
    </row>
    <row r="290" spans="1:20" x14ac:dyDescent="0.25">
      <c r="A290" s="222" t="str">
        <f t="shared" si="29"/>
        <v>CIRC  219.1*6.3</v>
      </c>
      <c r="B290" s="174">
        <f t="shared" ref="B290:B340" si="30">H290*0.785</f>
        <v>33.062196484602651</v>
      </c>
      <c r="C290" s="173">
        <v>219.1</v>
      </c>
      <c r="D290" s="173">
        <v>6.3</v>
      </c>
      <c r="E290" s="173"/>
      <c r="F290" s="173"/>
      <c r="G290" s="173"/>
      <c r="H290" s="174">
        <f t="shared" ref="H290:H340" si="31">(C290^2-(C290-2*D290)^2)*PI()*0.01/4</f>
        <v>42.117447751086182</v>
      </c>
      <c r="I290" s="185">
        <f t="shared" ref="I290:I340" si="32">(C290^4-(C290-2*D290)^4)*PI()*0.0001/64</f>
        <v>2386.139258337234</v>
      </c>
      <c r="J290" s="185">
        <f t="shared" ref="J290:J340" si="33">I290/(C290*0.5*0.1)</f>
        <v>217.81280313438921</v>
      </c>
      <c r="K290" s="230">
        <v>285</v>
      </c>
      <c r="L290" s="223">
        <f t="shared" ref="L290:L340" si="34">SQRT(I290/H290)</f>
        <v>7.5269125476519259</v>
      </c>
      <c r="M290" s="223"/>
      <c r="N290" s="223"/>
      <c r="O290" s="223"/>
      <c r="P290" s="223"/>
      <c r="Q290" s="223"/>
      <c r="R290" s="223"/>
      <c r="S290" s="173"/>
      <c r="T290" s="224"/>
    </row>
    <row r="291" spans="1:20" x14ac:dyDescent="0.25">
      <c r="A291" s="222" t="str">
        <f t="shared" ref="A291:A356" si="35">$B$225&amp;"  "&amp;C291&amp;"*"&amp;D291</f>
        <v>CIRC  219.1*8</v>
      </c>
      <c r="B291" s="174">
        <f t="shared" si="30"/>
        <v>41.648345136052157</v>
      </c>
      <c r="C291" s="173">
        <v>219.1</v>
      </c>
      <c r="D291" s="173">
        <v>8</v>
      </c>
      <c r="E291" s="173"/>
      <c r="F291" s="173"/>
      <c r="G291" s="173"/>
      <c r="H291" s="174">
        <f t="shared" si="31"/>
        <v>53.055216733824402</v>
      </c>
      <c r="I291" s="185">
        <f t="shared" si="32"/>
        <v>2959.63287346987</v>
      </c>
      <c r="J291" s="185">
        <f t="shared" si="33"/>
        <v>270.16274518209678</v>
      </c>
      <c r="K291" s="230">
        <v>357</v>
      </c>
      <c r="L291" s="223">
        <f t="shared" si="34"/>
        <v>7.468869559712501</v>
      </c>
      <c r="M291" s="223"/>
      <c r="N291" s="223"/>
      <c r="O291" s="223"/>
      <c r="P291" s="223"/>
      <c r="Q291" s="223"/>
      <c r="R291" s="223"/>
      <c r="S291" s="173"/>
      <c r="T291" s="224"/>
    </row>
    <row r="292" spans="1:20" x14ac:dyDescent="0.25">
      <c r="A292" s="222" t="str">
        <f t="shared" si="35"/>
        <v>CIRC  219.1*10</v>
      </c>
      <c r="B292" s="174">
        <f t="shared" si="30"/>
        <v>51.567201373451624</v>
      </c>
      <c r="C292" s="173">
        <v>219.1</v>
      </c>
      <c r="D292" s="173">
        <v>10</v>
      </c>
      <c r="E292" s="173"/>
      <c r="F292" s="173"/>
      <c r="G292" s="173"/>
      <c r="H292" s="174">
        <f t="shared" si="31"/>
        <v>65.690702386562577</v>
      </c>
      <c r="I292" s="185">
        <f t="shared" si="32"/>
        <v>3598.4389618160981</v>
      </c>
      <c r="J292" s="185">
        <f t="shared" si="33"/>
        <v>328.474574332825</v>
      </c>
      <c r="K292" s="230">
        <v>438</v>
      </c>
      <c r="L292" s="223">
        <f t="shared" si="34"/>
        <v>7.4012507388954196</v>
      </c>
      <c r="M292" s="223"/>
      <c r="N292" s="223"/>
      <c r="O292" s="223"/>
      <c r="P292" s="223"/>
      <c r="Q292" s="223"/>
      <c r="R292" s="223"/>
      <c r="S292" s="173"/>
      <c r="T292" s="224"/>
    </row>
    <row r="293" spans="1:20" x14ac:dyDescent="0.25">
      <c r="A293" s="222" t="str">
        <f t="shared" si="35"/>
        <v>CIRC  219.1*12.5</v>
      </c>
      <c r="B293" s="174">
        <f t="shared" si="30"/>
        <v>63.688329768980779</v>
      </c>
      <c r="C293" s="173">
        <v>219.1</v>
      </c>
      <c r="D293" s="173">
        <v>12.5</v>
      </c>
      <c r="E293" s="173"/>
      <c r="F293" s="173"/>
      <c r="G293" s="173"/>
      <c r="H293" s="174">
        <f t="shared" si="31"/>
        <v>81.131630278956408</v>
      </c>
      <c r="I293" s="185">
        <f t="shared" si="32"/>
        <v>4344.5795326759244</v>
      </c>
      <c r="J293" s="185">
        <f t="shared" si="33"/>
        <v>396.58416546562523</v>
      </c>
      <c r="K293" s="230">
        <v>534</v>
      </c>
      <c r="L293" s="223">
        <f t="shared" si="34"/>
        <v>7.3177703229877338</v>
      </c>
      <c r="M293" s="223"/>
      <c r="N293" s="223"/>
      <c r="O293" s="223"/>
      <c r="P293" s="223"/>
      <c r="Q293" s="223"/>
      <c r="R293" s="223"/>
      <c r="S293" s="173"/>
      <c r="T293" s="224"/>
    </row>
    <row r="294" spans="1:20" x14ac:dyDescent="0.25">
      <c r="A294" s="222" t="str">
        <f t="shared" si="35"/>
        <v>CIRC  219.1*14.2</v>
      </c>
      <c r="B294" s="174">
        <f t="shared" si="30"/>
        <v>71.754613951299561</v>
      </c>
      <c r="C294" s="173">
        <v>219.1</v>
      </c>
      <c r="D294" s="173">
        <v>14.2</v>
      </c>
      <c r="E294" s="173"/>
      <c r="F294" s="173"/>
      <c r="G294" s="173"/>
      <c r="H294" s="174">
        <f t="shared" si="31"/>
        <v>91.407151530317904</v>
      </c>
      <c r="I294" s="185">
        <f t="shared" si="32"/>
        <v>4820.0876274436941</v>
      </c>
      <c r="J294" s="185">
        <f t="shared" si="33"/>
        <v>439.98974234994927</v>
      </c>
      <c r="K294" s="230">
        <v>597</v>
      </c>
      <c r="L294" s="223">
        <f t="shared" si="34"/>
        <v>7.261684549744639</v>
      </c>
      <c r="M294" s="223"/>
      <c r="N294" s="223"/>
      <c r="O294" s="223"/>
      <c r="P294" s="223"/>
      <c r="Q294" s="223"/>
      <c r="R294" s="223"/>
      <c r="S294" s="173"/>
      <c r="T294" s="224"/>
    </row>
    <row r="295" spans="1:20" x14ac:dyDescent="0.25">
      <c r="A295" s="222" t="str">
        <f t="shared" si="35"/>
        <v>CIRC  219.1*16</v>
      </c>
      <c r="B295" s="174">
        <f t="shared" si="30"/>
        <v>80.140017973777347</v>
      </c>
      <c r="C295" s="173">
        <v>219.1</v>
      </c>
      <c r="D295" s="173">
        <v>16</v>
      </c>
      <c r="E295" s="173"/>
      <c r="F295" s="173"/>
      <c r="G295" s="173"/>
      <c r="H295" s="174">
        <f t="shared" si="31"/>
        <v>102.08919487105393</v>
      </c>
      <c r="I295" s="185">
        <f t="shared" si="32"/>
        <v>5296.5928844149566</v>
      </c>
      <c r="J295" s="185">
        <f t="shared" si="33"/>
        <v>483.48634271245612</v>
      </c>
      <c r="K295" s="230">
        <v>661</v>
      </c>
      <c r="L295" s="223">
        <f t="shared" si="34"/>
        <v>7.2029169438499014</v>
      </c>
      <c r="M295" s="223"/>
      <c r="N295" s="223"/>
      <c r="O295" s="223"/>
      <c r="P295" s="223"/>
      <c r="Q295" s="223"/>
      <c r="R295" s="223"/>
      <c r="S295" s="173"/>
      <c r="T295" s="224"/>
    </row>
    <row r="296" spans="1:20" x14ac:dyDescent="0.25">
      <c r="A296" s="225" t="str">
        <f t="shared" si="35"/>
        <v>CIRC  219.1*20</v>
      </c>
      <c r="B296" s="180">
        <f t="shared" si="30"/>
        <v>98.202102280767278</v>
      </c>
      <c r="C296" s="179">
        <v>219.1</v>
      </c>
      <c r="D296" s="179">
        <v>20</v>
      </c>
      <c r="E296" s="179"/>
      <c r="F296" s="179"/>
      <c r="G296" s="179"/>
      <c r="H296" s="180">
        <f t="shared" si="31"/>
        <v>125.09821946594558</v>
      </c>
      <c r="I296" s="186">
        <f t="shared" si="32"/>
        <v>6261.2925462177855</v>
      </c>
      <c r="J296" s="186">
        <f t="shared" si="33"/>
        <v>571.54655830376862</v>
      </c>
      <c r="K296" s="231">
        <v>795</v>
      </c>
      <c r="L296" s="226">
        <f t="shared" si="34"/>
        <v>7.0746740207588363</v>
      </c>
      <c r="M296" s="226"/>
      <c r="N296" s="226"/>
      <c r="O296" s="226"/>
      <c r="P296" s="226"/>
      <c r="Q296" s="226"/>
      <c r="R296" s="226"/>
      <c r="S296" s="179"/>
      <c r="T296" s="227"/>
    </row>
    <row r="297" spans="1:20" x14ac:dyDescent="0.25">
      <c r="A297" s="64" t="str">
        <f t="shared" si="35"/>
        <v>CIRC  244.5*5</v>
      </c>
      <c r="B297" s="163">
        <f t="shared" si="30"/>
        <v>29.532149040989154</v>
      </c>
      <c r="C297" s="64">
        <v>244.5</v>
      </c>
      <c r="D297" s="64">
        <v>5</v>
      </c>
      <c r="E297" s="64"/>
      <c r="F297" s="64"/>
      <c r="G297" s="64"/>
      <c r="H297" s="163">
        <f t="shared" si="31"/>
        <v>37.620572026737776</v>
      </c>
      <c r="I297" s="187">
        <f t="shared" si="32"/>
        <v>2698.5824136216925</v>
      </c>
      <c r="J297" s="187">
        <f t="shared" si="33"/>
        <v>220.74293771956582</v>
      </c>
      <c r="K297" s="228">
        <v>287</v>
      </c>
      <c r="L297" s="218">
        <f t="shared" si="34"/>
        <v>8.4694487719095388</v>
      </c>
      <c r="M297" s="218"/>
      <c r="N297" s="218"/>
      <c r="O297" s="218"/>
      <c r="P297" s="218"/>
      <c r="Q297" s="218"/>
      <c r="R297" s="218"/>
      <c r="S297" s="64"/>
    </row>
    <row r="298" spans="1:20" x14ac:dyDescent="0.25">
      <c r="A298" s="64" t="str">
        <f t="shared" si="35"/>
        <v>CIRC  244.5*6.3</v>
      </c>
      <c r="B298" s="163">
        <f t="shared" si="30"/>
        <v>37.008530087558064</v>
      </c>
      <c r="C298" s="64">
        <v>244.5</v>
      </c>
      <c r="D298" s="64">
        <v>6.3</v>
      </c>
      <c r="E298" s="64"/>
      <c r="F298" s="64"/>
      <c r="G298" s="64"/>
      <c r="H298" s="163">
        <f t="shared" si="31"/>
        <v>47.144624315360588</v>
      </c>
      <c r="I298" s="187">
        <f t="shared" si="32"/>
        <v>3346.0266548476966</v>
      </c>
      <c r="J298" s="187">
        <f t="shared" si="33"/>
        <v>273.7036118484823</v>
      </c>
      <c r="K298" s="228">
        <v>358</v>
      </c>
      <c r="L298" s="218">
        <f t="shared" si="34"/>
        <v>8.4245867851189011</v>
      </c>
      <c r="M298" s="218"/>
      <c r="N298" s="218"/>
      <c r="O298" s="218"/>
      <c r="P298" s="218"/>
      <c r="Q298" s="218"/>
      <c r="R298" s="218"/>
      <c r="S298" s="64"/>
    </row>
    <row r="299" spans="1:20" x14ac:dyDescent="0.25">
      <c r="A299" s="64" t="str">
        <f t="shared" si="35"/>
        <v>CIRC  244.5*8</v>
      </c>
      <c r="B299" s="163">
        <f t="shared" si="30"/>
        <v>46.659562409646334</v>
      </c>
      <c r="C299" s="64">
        <v>244.5</v>
      </c>
      <c r="D299" s="64">
        <v>8</v>
      </c>
      <c r="E299" s="64"/>
      <c r="F299" s="64"/>
      <c r="G299" s="64"/>
      <c r="H299" s="163">
        <f t="shared" si="31"/>
        <v>59.438933005918891</v>
      </c>
      <c r="I299" s="187">
        <f t="shared" si="32"/>
        <v>4160.4466904158571</v>
      </c>
      <c r="J299" s="187">
        <f t="shared" si="33"/>
        <v>340.32283766182877</v>
      </c>
      <c r="K299" s="228">
        <v>448</v>
      </c>
      <c r="L299" s="218">
        <f t="shared" si="34"/>
        <v>8.3663201289455813</v>
      </c>
      <c r="M299" s="218"/>
      <c r="N299" s="218"/>
      <c r="O299" s="218"/>
      <c r="P299" s="218"/>
      <c r="Q299" s="218"/>
      <c r="R299" s="218"/>
      <c r="S299" s="64"/>
    </row>
    <row r="300" spans="1:20" x14ac:dyDescent="0.25">
      <c r="A300" s="64" t="str">
        <f t="shared" si="35"/>
        <v>CIRC  244.5*10</v>
      </c>
      <c r="B300" s="163">
        <f t="shared" si="30"/>
        <v>57.831222965444312</v>
      </c>
      <c r="C300" s="64">
        <v>244.5</v>
      </c>
      <c r="D300" s="64">
        <v>10</v>
      </c>
      <c r="E300" s="64"/>
      <c r="F300" s="64"/>
      <c r="G300" s="64"/>
      <c r="H300" s="163">
        <f t="shared" si="31"/>
        <v>73.670347726680646</v>
      </c>
      <c r="I300" s="187">
        <f t="shared" si="32"/>
        <v>5073.1473423122106</v>
      </c>
      <c r="J300" s="187">
        <f t="shared" si="33"/>
        <v>414.98137769425028</v>
      </c>
      <c r="K300" s="228">
        <v>550</v>
      </c>
      <c r="L300" s="218">
        <f t="shared" si="34"/>
        <v>8.2983620371733604</v>
      </c>
      <c r="M300" s="218"/>
      <c r="N300" s="218"/>
      <c r="O300" s="218"/>
      <c r="P300" s="218"/>
      <c r="Q300" s="218"/>
      <c r="R300" s="218"/>
      <c r="S300" s="64"/>
    </row>
    <row r="301" spans="1:20" x14ac:dyDescent="0.25">
      <c r="A301" s="64" t="str">
        <f t="shared" si="35"/>
        <v>CIRC  244.5*12.5</v>
      </c>
      <c r="B301" s="163">
        <f t="shared" si="30"/>
        <v>71.518356758971649</v>
      </c>
      <c r="C301" s="64">
        <v>244.5</v>
      </c>
      <c r="D301" s="64">
        <v>12.5</v>
      </c>
      <c r="E301" s="64"/>
      <c r="F301" s="64"/>
      <c r="G301" s="64"/>
      <c r="H301" s="163">
        <f t="shared" si="31"/>
        <v>91.106186954104004</v>
      </c>
      <c r="I301" s="187">
        <f t="shared" si="32"/>
        <v>6147.4184354115905</v>
      </c>
      <c r="J301" s="187">
        <f t="shared" si="33"/>
        <v>502.85631373509938</v>
      </c>
      <c r="K301" s="228">
        <v>673</v>
      </c>
      <c r="L301" s="218">
        <f t="shared" si="34"/>
        <v>8.2143357917728199</v>
      </c>
      <c r="M301" s="218"/>
      <c r="N301" s="218"/>
      <c r="O301" s="218"/>
      <c r="P301" s="218"/>
      <c r="Q301" s="218"/>
      <c r="R301" s="218"/>
      <c r="S301" s="64"/>
    </row>
    <row r="302" spans="1:20" x14ac:dyDescent="0.25">
      <c r="A302" s="64" t="str">
        <f t="shared" si="35"/>
        <v>CIRC  244.5*14.2</v>
      </c>
      <c r="B302" s="163">
        <f t="shared" si="30"/>
        <v>80.649524611929181</v>
      </c>
      <c r="C302" s="64">
        <v>244.5</v>
      </c>
      <c r="D302" s="64">
        <v>14.2</v>
      </c>
      <c r="E302" s="64"/>
      <c r="F302" s="64"/>
      <c r="G302" s="64"/>
      <c r="H302" s="163">
        <f t="shared" si="31"/>
        <v>102.73824791328558</v>
      </c>
      <c r="I302" s="187">
        <f t="shared" si="32"/>
        <v>6837.1957244704863</v>
      </c>
      <c r="J302" s="187">
        <f t="shared" si="33"/>
        <v>559.27981386261638</v>
      </c>
      <c r="K302" s="228">
        <v>754</v>
      </c>
      <c r="L302" s="218">
        <f t="shared" si="34"/>
        <v>8.157797650101406</v>
      </c>
      <c r="M302" s="218"/>
      <c r="N302" s="218"/>
      <c r="O302" s="218"/>
      <c r="P302" s="218"/>
      <c r="Q302" s="218"/>
      <c r="R302" s="218"/>
      <c r="S302" s="64"/>
    </row>
    <row r="303" spans="1:20" x14ac:dyDescent="0.25">
      <c r="A303" s="64" t="str">
        <f t="shared" si="35"/>
        <v>CIRC  244.5*16</v>
      </c>
      <c r="B303" s="163">
        <f t="shared" si="30"/>
        <v>90.16245252096563</v>
      </c>
      <c r="C303" s="64">
        <v>244.5</v>
      </c>
      <c r="D303" s="64">
        <v>16</v>
      </c>
      <c r="E303" s="64"/>
      <c r="F303" s="64"/>
      <c r="G303" s="64"/>
      <c r="H303" s="163">
        <f t="shared" si="31"/>
        <v>114.85662741524284</v>
      </c>
      <c r="I303" s="187">
        <f t="shared" si="32"/>
        <v>7532.9078017247693</v>
      </c>
      <c r="J303" s="187">
        <f t="shared" si="33"/>
        <v>616.18877723719993</v>
      </c>
      <c r="K303" s="228">
        <v>837</v>
      </c>
      <c r="L303" s="218">
        <f t="shared" si="34"/>
        <v>8.0984759368661461</v>
      </c>
      <c r="M303" s="218"/>
      <c r="N303" s="218"/>
      <c r="O303" s="218"/>
      <c r="P303" s="218"/>
      <c r="Q303" s="218"/>
      <c r="R303" s="218"/>
      <c r="S303" s="64"/>
    </row>
    <row r="304" spans="1:20" x14ac:dyDescent="0.25">
      <c r="A304" s="64" t="str">
        <f>$B$225&amp;"  "&amp;C304&amp;"*"&amp;D304</f>
        <v>CIRC  244.5*20</v>
      </c>
      <c r="B304" s="163">
        <f>H304*0.785</f>
        <v>110.73014546475264</v>
      </c>
      <c r="C304" s="64">
        <v>244.5</v>
      </c>
      <c r="D304" s="64">
        <v>20</v>
      </c>
      <c r="E304" s="64"/>
      <c r="F304" s="64"/>
      <c r="G304" s="64"/>
      <c r="H304" s="163">
        <f>(C304^2-(C304-2*D304)^2)*PI()*0.01/4</f>
        <v>141.0575101461817</v>
      </c>
      <c r="I304" s="187">
        <f>(C304^4-(C304-2*D304)^4)*PI()*0.0001/64</f>
        <v>8957.1959747544588</v>
      </c>
      <c r="J304" s="187">
        <f>I304/(C304*0.5*0.1)</f>
        <v>732.69496726007833</v>
      </c>
      <c r="K304" s="228">
        <v>1011</v>
      </c>
      <c r="L304" s="218">
        <f>SQRT(I304/H304)</f>
        <v>7.9687083332244004</v>
      </c>
      <c r="M304" s="218"/>
      <c r="N304" s="218"/>
      <c r="O304" s="218"/>
      <c r="P304" s="218"/>
      <c r="Q304" s="218"/>
      <c r="R304" s="218"/>
      <c r="S304" s="64"/>
    </row>
    <row r="305" spans="1:20" x14ac:dyDescent="0.25">
      <c r="A305" s="64" t="str">
        <f>$B$225&amp;"  "&amp;C305&amp;"*"&amp;D305</f>
        <v>CIRC  244.5*25</v>
      </c>
      <c r="B305" s="163">
        <f>H305*0.785</f>
        <v>135.32999403960582</v>
      </c>
      <c r="C305" s="64">
        <v>244.5</v>
      </c>
      <c r="D305" s="64">
        <v>25</v>
      </c>
      <c r="E305" s="64"/>
      <c r="F305" s="64"/>
      <c r="G305" s="64"/>
      <c r="H305" s="163">
        <f>(C305^2-(C305-2*D305)^2)*PI()*0.01/4</f>
        <v>172.3948968657399</v>
      </c>
      <c r="I305" s="187">
        <f>(C305^4-(C305-2*D305)^4)*PI()*0.0001/64</f>
        <v>10517.220050320815</v>
      </c>
      <c r="J305" s="187">
        <f>I305/(C305*0.5*0.1)</f>
        <v>860.30429859474964</v>
      </c>
      <c r="K305" s="228">
        <v>1210</v>
      </c>
      <c r="L305" s="218">
        <f>SQRT(I305/H305)</f>
        <v>7.8106697856201812</v>
      </c>
      <c r="M305" s="218"/>
      <c r="N305" s="218"/>
      <c r="O305" s="218"/>
      <c r="P305" s="218"/>
      <c r="Q305" s="218"/>
      <c r="R305" s="218"/>
      <c r="S305" s="64"/>
    </row>
    <row r="306" spans="1:20" x14ac:dyDescent="0.25">
      <c r="A306" s="219" t="str">
        <f t="shared" si="35"/>
        <v>CIRC  273*5</v>
      </c>
      <c r="B306" s="168">
        <f t="shared" si="30"/>
        <v>33.04641312311103</v>
      </c>
      <c r="C306" s="167">
        <v>273</v>
      </c>
      <c r="D306" s="167">
        <v>5</v>
      </c>
      <c r="E306" s="167"/>
      <c r="F306" s="167"/>
      <c r="G306" s="167"/>
      <c r="H306" s="168">
        <f t="shared" si="31"/>
        <v>42.097341558103224</v>
      </c>
      <c r="I306" s="184">
        <f t="shared" si="32"/>
        <v>3780.8148670101987</v>
      </c>
      <c r="J306" s="184">
        <f t="shared" si="33"/>
        <v>276.98277413994128</v>
      </c>
      <c r="K306" s="229">
        <v>359</v>
      </c>
      <c r="L306" s="220">
        <f t="shared" si="34"/>
        <v>9.4768797607651436</v>
      </c>
      <c r="M306" s="220"/>
      <c r="N306" s="220"/>
      <c r="O306" s="220"/>
      <c r="P306" s="220"/>
      <c r="Q306" s="220"/>
      <c r="R306" s="220"/>
      <c r="S306" s="167"/>
      <c r="T306" s="221"/>
    </row>
    <row r="307" spans="1:20" x14ac:dyDescent="0.25">
      <c r="A307" s="222" t="str">
        <f t="shared" si="35"/>
        <v>CIRC  273*6.3</v>
      </c>
      <c r="B307" s="174">
        <f t="shared" si="30"/>
        <v>41.436502831031703</v>
      </c>
      <c r="C307" s="173">
        <v>273</v>
      </c>
      <c r="D307" s="173">
        <v>6.3</v>
      </c>
      <c r="E307" s="173"/>
      <c r="F307" s="173"/>
      <c r="G307" s="173"/>
      <c r="H307" s="174">
        <f t="shared" si="31"/>
        <v>52.78535392488115</v>
      </c>
      <c r="I307" s="185">
        <f t="shared" si="32"/>
        <v>4695.8233545390203</v>
      </c>
      <c r="J307" s="185">
        <f t="shared" si="33"/>
        <v>344.01636296989159</v>
      </c>
      <c r="K307" s="230">
        <v>448</v>
      </c>
      <c r="L307" s="223">
        <f t="shared" si="34"/>
        <v>9.4318993315238444</v>
      </c>
      <c r="M307" s="223"/>
      <c r="N307" s="223"/>
      <c r="O307" s="223"/>
      <c r="P307" s="223"/>
      <c r="Q307" s="223"/>
      <c r="R307" s="223"/>
      <c r="S307" s="173"/>
      <c r="T307" s="224"/>
    </row>
    <row r="308" spans="1:20" x14ac:dyDescent="0.25">
      <c r="A308" s="222" t="str">
        <f t="shared" si="35"/>
        <v>CIRC  273*8</v>
      </c>
      <c r="B308" s="174">
        <f t="shared" si="30"/>
        <v>52.282384941041343</v>
      </c>
      <c r="C308" s="173">
        <v>273</v>
      </c>
      <c r="D308" s="173">
        <v>8</v>
      </c>
      <c r="E308" s="173"/>
      <c r="F308" s="173"/>
      <c r="G308" s="173"/>
      <c r="H308" s="174">
        <f t="shared" si="31"/>
        <v>66.601764256103621</v>
      </c>
      <c r="I308" s="185">
        <f t="shared" si="32"/>
        <v>5851.7142597465836</v>
      </c>
      <c r="J308" s="185">
        <f t="shared" si="33"/>
        <v>428.6970153660501</v>
      </c>
      <c r="K308" s="230">
        <v>562</v>
      </c>
      <c r="L308" s="223">
        <f t="shared" si="34"/>
        <v>9.3734332024077496</v>
      </c>
      <c r="M308" s="223"/>
      <c r="N308" s="223"/>
      <c r="O308" s="223"/>
      <c r="P308" s="223"/>
      <c r="Q308" s="223"/>
      <c r="R308" s="223"/>
      <c r="S308" s="173"/>
      <c r="T308" s="224"/>
    </row>
    <row r="309" spans="1:20" x14ac:dyDescent="0.25">
      <c r="A309" s="222" t="str">
        <f t="shared" si="35"/>
        <v>CIRC  273*10</v>
      </c>
      <c r="B309" s="174">
        <f t="shared" si="30"/>
        <v>64.859751129688078</v>
      </c>
      <c r="C309" s="173">
        <v>273</v>
      </c>
      <c r="D309" s="173">
        <v>10</v>
      </c>
      <c r="E309" s="173"/>
      <c r="F309" s="173"/>
      <c r="G309" s="173"/>
      <c r="H309" s="174">
        <f t="shared" si="31"/>
        <v>82.623886789411557</v>
      </c>
      <c r="I309" s="185">
        <f t="shared" si="32"/>
        <v>7154.0925175196871</v>
      </c>
      <c r="J309" s="185">
        <f t="shared" si="33"/>
        <v>524.10934194283425</v>
      </c>
      <c r="K309" s="230">
        <v>692</v>
      </c>
      <c r="L309" s="223">
        <f t="shared" si="34"/>
        <v>9.3051732923143362</v>
      </c>
      <c r="M309" s="223"/>
      <c r="N309" s="223"/>
      <c r="O309" s="223"/>
      <c r="P309" s="223"/>
      <c r="Q309" s="223"/>
      <c r="R309" s="223"/>
      <c r="S309" s="173"/>
      <c r="T309" s="224"/>
    </row>
    <row r="310" spans="1:20" x14ac:dyDescent="0.25">
      <c r="A310" s="222" t="str">
        <f t="shared" si="35"/>
        <v>CIRC  273*12.5</v>
      </c>
      <c r="B310" s="174">
        <f t="shared" si="30"/>
        <v>80.304016964276343</v>
      </c>
      <c r="C310" s="173">
        <v>273</v>
      </c>
      <c r="D310" s="173">
        <v>12.5</v>
      </c>
      <c r="E310" s="173"/>
      <c r="F310" s="173"/>
      <c r="G310" s="173"/>
      <c r="H310" s="174">
        <f t="shared" si="31"/>
        <v>102.29811078251764</v>
      </c>
      <c r="I310" s="185">
        <f t="shared" si="32"/>
        <v>8697.4493150488888</v>
      </c>
      <c r="J310" s="185">
        <f t="shared" si="33"/>
        <v>637.17577399625554</v>
      </c>
      <c r="K310" s="230">
        <v>849</v>
      </c>
      <c r="L310" s="223">
        <f t="shared" si="34"/>
        <v>9.220662937121169</v>
      </c>
      <c r="M310" s="223"/>
      <c r="N310" s="223"/>
      <c r="O310" s="223"/>
      <c r="P310" s="223"/>
      <c r="Q310" s="223"/>
      <c r="R310" s="223"/>
      <c r="S310" s="173"/>
      <c r="T310" s="224"/>
    </row>
    <row r="311" spans="1:20" x14ac:dyDescent="0.25">
      <c r="A311" s="222" t="str">
        <f t="shared" si="35"/>
        <v>CIRC  273*14.2</v>
      </c>
      <c r="B311" s="174">
        <f t="shared" si="30"/>
        <v>90.630034605155345</v>
      </c>
      <c r="C311" s="173">
        <v>273</v>
      </c>
      <c r="D311" s="173">
        <v>14.2</v>
      </c>
      <c r="E311" s="173"/>
      <c r="F311" s="173"/>
      <c r="G311" s="173"/>
      <c r="H311" s="174">
        <f t="shared" si="31"/>
        <v>115.4522733823635</v>
      </c>
      <c r="I311" s="185">
        <f t="shared" si="32"/>
        <v>9694.9718871695841</v>
      </c>
      <c r="J311" s="185">
        <f t="shared" si="33"/>
        <v>710.25435070839444</v>
      </c>
      <c r="K311" s="230">
        <v>952</v>
      </c>
      <c r="L311" s="223">
        <f t="shared" si="34"/>
        <v>9.1637246794084763</v>
      </c>
      <c r="M311" s="223"/>
      <c r="N311" s="223"/>
      <c r="O311" s="223"/>
      <c r="P311" s="223"/>
      <c r="Q311" s="223"/>
      <c r="R311" s="223"/>
      <c r="S311" s="173"/>
      <c r="T311" s="224"/>
    </row>
    <row r="312" spans="1:20" x14ac:dyDescent="0.25">
      <c r="A312" s="222" t="str">
        <f t="shared" si="35"/>
        <v>CIRC  273*16</v>
      </c>
      <c r="B312" s="174">
        <f t="shared" si="30"/>
        <v>101.40809758375566</v>
      </c>
      <c r="C312" s="173">
        <v>273</v>
      </c>
      <c r="D312" s="173">
        <v>16</v>
      </c>
      <c r="E312" s="173"/>
      <c r="F312" s="173"/>
      <c r="G312" s="173"/>
      <c r="H312" s="174">
        <f t="shared" si="31"/>
        <v>129.1822899156123</v>
      </c>
      <c r="I312" s="185">
        <f t="shared" si="32"/>
        <v>10706.789666068342</v>
      </c>
      <c r="J312" s="185">
        <f t="shared" si="33"/>
        <v>784.38019531636201</v>
      </c>
      <c r="K312" s="230">
        <v>1058</v>
      </c>
      <c r="L312" s="223">
        <f t="shared" si="34"/>
        <v>9.1039139934425997</v>
      </c>
      <c r="M312" s="223"/>
      <c r="N312" s="223"/>
      <c r="O312" s="223"/>
      <c r="P312" s="223"/>
      <c r="Q312" s="223"/>
      <c r="R312" s="223"/>
      <c r="S312" s="173"/>
      <c r="T312" s="224"/>
    </row>
    <row r="313" spans="1:20" x14ac:dyDescent="0.25">
      <c r="A313" s="222" t="str">
        <f>$B$225&amp;"  "&amp;C313&amp;"*"&amp;D313</f>
        <v>CIRC  273*20</v>
      </c>
      <c r="B313" s="174">
        <f>H313*0.785</f>
        <v>124.78720179324019</v>
      </c>
      <c r="C313" s="173">
        <v>273</v>
      </c>
      <c r="D313" s="173">
        <v>20</v>
      </c>
      <c r="E313" s="173"/>
      <c r="F313" s="173"/>
      <c r="G313" s="173"/>
      <c r="H313" s="174">
        <f>(C313^2-(C313-2*D313)^2)*PI()*0.01/4</f>
        <v>158.96458827164355</v>
      </c>
      <c r="I313" s="185">
        <f>(C313^4-(C313-2*D313)^4)*PI()*0.0001/64</f>
        <v>12798.43770748536</v>
      </c>
      <c r="J313" s="185">
        <f>I313/(C313*0.5*0.1)</f>
        <v>937.61448406486147</v>
      </c>
      <c r="K313" s="230">
        <v>1283</v>
      </c>
      <c r="L313" s="223">
        <f>SQRT(I313/H313)</f>
        <v>8.9728061385499682</v>
      </c>
      <c r="M313" s="223"/>
      <c r="N313" s="223"/>
      <c r="O313" s="223"/>
      <c r="P313" s="223"/>
      <c r="Q313" s="223"/>
      <c r="R313" s="223"/>
      <c r="S313" s="173"/>
      <c r="T313" s="224"/>
    </row>
    <row r="314" spans="1:20" x14ac:dyDescent="0.25">
      <c r="A314" s="225" t="str">
        <f>$B$225&amp;"  "&amp;C314&amp;"*"&amp;D314</f>
        <v>CIRC  273*25</v>
      </c>
      <c r="B314" s="180">
        <f>H314*0.785</f>
        <v>152.90131445021527</v>
      </c>
      <c r="C314" s="179">
        <v>273</v>
      </c>
      <c r="D314" s="179">
        <v>25</v>
      </c>
      <c r="E314" s="179"/>
      <c r="F314" s="179"/>
      <c r="G314" s="179"/>
      <c r="H314" s="180">
        <f>(C314^2-(C314-2*D314)^2)*PI()*0.01/4</f>
        <v>194.77874452256719</v>
      </c>
      <c r="I314" s="186">
        <f>(C314^4-(C314-2*D314)^4)*PI()*0.0001/64</f>
        <v>15126.76077305322</v>
      </c>
      <c r="J314" s="186">
        <f>I314/(C314*0.5*0.1)</f>
        <v>1108.1876024214812</v>
      </c>
      <c r="K314" s="231">
        <v>1543</v>
      </c>
      <c r="L314" s="226">
        <f>SQRT(I314/H314)</f>
        <v>8.8125620565190914</v>
      </c>
      <c r="M314" s="226"/>
      <c r="N314" s="226"/>
      <c r="O314" s="226"/>
      <c r="P314" s="226"/>
      <c r="Q314" s="226"/>
      <c r="R314" s="226"/>
      <c r="S314" s="179"/>
      <c r="T314" s="227"/>
    </row>
    <row r="315" spans="1:20" x14ac:dyDescent="0.25">
      <c r="A315" s="64" t="str">
        <f t="shared" si="35"/>
        <v>CIRC  323.9*5</v>
      </c>
      <c r="B315" s="163">
        <f t="shared" si="30"/>
        <v>39.322765466269068</v>
      </c>
      <c r="C315" s="64">
        <v>323.89999999999998</v>
      </c>
      <c r="D315" s="64">
        <v>5</v>
      </c>
      <c r="E315" s="64"/>
      <c r="F315" s="64"/>
      <c r="G315" s="64"/>
      <c r="H315" s="163">
        <f t="shared" si="31"/>
        <v>50.092694861489257</v>
      </c>
      <c r="I315" s="187">
        <f t="shared" si="32"/>
        <v>6369.4245327079143</v>
      </c>
      <c r="J315" s="187">
        <f t="shared" si="33"/>
        <v>393.29574144537906</v>
      </c>
      <c r="K315" s="228">
        <v>509</v>
      </c>
      <c r="L315" s="218">
        <f t="shared" si="34"/>
        <v>11.276203372589553</v>
      </c>
      <c r="M315" s="218"/>
      <c r="N315" s="218"/>
      <c r="O315" s="218"/>
      <c r="P315" s="218"/>
      <c r="Q315" s="218"/>
      <c r="R315" s="218"/>
      <c r="S315" s="64"/>
    </row>
    <row r="316" spans="1:20" x14ac:dyDescent="0.25">
      <c r="A316" s="64" t="str">
        <f t="shared" si="35"/>
        <v>CIRC  323.9*6.3</v>
      </c>
      <c r="B316" s="163">
        <f t="shared" si="30"/>
        <v>49.344706783410864</v>
      </c>
      <c r="C316" s="64">
        <v>323.89999999999998</v>
      </c>
      <c r="D316" s="64">
        <v>6.3</v>
      </c>
      <c r="E316" s="64"/>
      <c r="F316" s="64"/>
      <c r="G316" s="64"/>
      <c r="H316" s="163">
        <f t="shared" si="31"/>
        <v>62.859499087147597</v>
      </c>
      <c r="I316" s="187">
        <f t="shared" si="32"/>
        <v>7928.8968501994586</v>
      </c>
      <c r="J316" s="187">
        <f t="shared" si="33"/>
        <v>489.58918494593752</v>
      </c>
      <c r="K316" s="228">
        <v>636</v>
      </c>
      <c r="L316" s="218">
        <f t="shared" si="34"/>
        <v>11.231064620061627</v>
      </c>
      <c r="M316" s="218"/>
      <c r="N316" s="218"/>
      <c r="O316" s="218"/>
      <c r="P316" s="218"/>
      <c r="Q316" s="218"/>
      <c r="R316" s="218"/>
      <c r="S316" s="64"/>
    </row>
    <row r="317" spans="1:20" x14ac:dyDescent="0.25">
      <c r="A317" s="64" t="str">
        <f t="shared" si="35"/>
        <v>CIRC  323.9*8</v>
      </c>
      <c r="B317" s="163">
        <f t="shared" si="30"/>
        <v>62.324548690094204</v>
      </c>
      <c r="C317" s="64">
        <v>323.89999999999998</v>
      </c>
      <c r="D317" s="64">
        <v>8</v>
      </c>
      <c r="E317" s="64"/>
      <c r="F317" s="64"/>
      <c r="G317" s="64"/>
      <c r="H317" s="163">
        <f t="shared" si="31"/>
        <v>79.394329541521273</v>
      </c>
      <c r="I317" s="187">
        <f t="shared" si="32"/>
        <v>9910.0806001313485</v>
      </c>
      <c r="J317" s="187">
        <f t="shared" si="33"/>
        <v>611.92223526590601</v>
      </c>
      <c r="K317" s="228">
        <v>799</v>
      </c>
      <c r="L317" s="218">
        <f t="shared" si="34"/>
        <v>11.172332455669229</v>
      </c>
      <c r="M317" s="218"/>
      <c r="N317" s="218"/>
      <c r="O317" s="218"/>
      <c r="P317" s="218"/>
      <c r="Q317" s="218"/>
      <c r="R317" s="218"/>
      <c r="S317" s="64"/>
    </row>
    <row r="318" spans="1:20" x14ac:dyDescent="0.25">
      <c r="A318" s="64" t="str">
        <f t="shared" si="35"/>
        <v>CIRC  323.9*10</v>
      </c>
      <c r="B318" s="163">
        <f t="shared" si="30"/>
        <v>77.41245581600414</v>
      </c>
      <c r="C318" s="64">
        <v>323.89999999999998</v>
      </c>
      <c r="D318" s="64">
        <v>10</v>
      </c>
      <c r="E318" s="64"/>
      <c r="F318" s="64"/>
      <c r="G318" s="64"/>
      <c r="H318" s="163">
        <f t="shared" si="31"/>
        <v>98.614593396183608</v>
      </c>
      <c r="I318" s="187">
        <f t="shared" si="32"/>
        <v>12158.342374387992</v>
      </c>
      <c r="J318" s="187">
        <f t="shared" si="33"/>
        <v>750.74667331818409</v>
      </c>
      <c r="K318" s="228">
        <v>986</v>
      </c>
      <c r="L318" s="218">
        <f t="shared" si="34"/>
        <v>11.1036711271543</v>
      </c>
      <c r="M318" s="218"/>
      <c r="N318" s="218"/>
      <c r="O318" s="218"/>
      <c r="P318" s="218"/>
      <c r="Q318" s="218"/>
      <c r="R318" s="218"/>
      <c r="S318" s="64"/>
    </row>
    <row r="319" spans="1:20" x14ac:dyDescent="0.25">
      <c r="A319" s="64" t="str">
        <f t="shared" si="35"/>
        <v>CIRC  323.9*12.5</v>
      </c>
      <c r="B319" s="163">
        <f t="shared" si="30"/>
        <v>95.99489782217141</v>
      </c>
      <c r="C319" s="64">
        <v>323.89999999999998</v>
      </c>
      <c r="D319" s="64">
        <v>12.5</v>
      </c>
      <c r="E319" s="64"/>
      <c r="F319" s="64"/>
      <c r="G319" s="64"/>
      <c r="H319" s="163">
        <f t="shared" si="31"/>
        <v>122.28649404098269</v>
      </c>
      <c r="I319" s="187">
        <f t="shared" si="32"/>
        <v>14846.529625485296</v>
      </c>
      <c r="J319" s="187">
        <f t="shared" si="33"/>
        <v>916.73538903891915</v>
      </c>
      <c r="K319" s="228">
        <v>1013</v>
      </c>
      <c r="L319" s="218">
        <f t="shared" si="34"/>
        <v>11.018519070183617</v>
      </c>
      <c r="M319" s="218"/>
      <c r="N319" s="218"/>
      <c r="O319" s="218"/>
      <c r="P319" s="218"/>
      <c r="Q319" s="218"/>
      <c r="R319" s="218"/>
      <c r="S319" s="64"/>
    </row>
    <row r="320" spans="1:20" x14ac:dyDescent="0.25">
      <c r="A320" s="64" t="str">
        <f t="shared" si="35"/>
        <v>CIRC  323.9*14.2</v>
      </c>
      <c r="B320" s="163">
        <f t="shared" si="30"/>
        <v>108.45487525972406</v>
      </c>
      <c r="C320" s="64">
        <v>323.89999999999998</v>
      </c>
      <c r="D320" s="64">
        <v>14.2</v>
      </c>
      <c r="E320" s="64"/>
      <c r="F320" s="64"/>
      <c r="G320" s="64"/>
      <c r="H320" s="163">
        <f t="shared" si="31"/>
        <v>138.1590767639797</v>
      </c>
      <c r="I320" s="187">
        <f t="shared" si="32"/>
        <v>16599.075649119935</v>
      </c>
      <c r="J320" s="187">
        <f t="shared" si="33"/>
        <v>1024.9506421191686</v>
      </c>
      <c r="K320" s="228">
        <v>1363</v>
      </c>
      <c r="L320" s="218">
        <f t="shared" si="34"/>
        <v>10.961052070855244</v>
      </c>
      <c r="M320" s="218"/>
      <c r="N320" s="218"/>
      <c r="O320" s="218"/>
      <c r="P320" s="218"/>
      <c r="Q320" s="218"/>
      <c r="R320" s="218"/>
      <c r="S320" s="64"/>
    </row>
    <row r="321" spans="1:20" x14ac:dyDescent="0.25">
      <c r="A321" s="64" t="str">
        <f t="shared" si="35"/>
        <v>CIRC  323.9*16</v>
      </c>
      <c r="B321" s="163">
        <f t="shared" si="30"/>
        <v>121.49242508186137</v>
      </c>
      <c r="C321" s="64">
        <v>323.89999999999998</v>
      </c>
      <c r="D321" s="64">
        <v>16</v>
      </c>
      <c r="E321" s="64"/>
      <c r="F321" s="64"/>
      <c r="G321" s="64"/>
      <c r="H321" s="163">
        <f t="shared" si="31"/>
        <v>154.76742048644761</v>
      </c>
      <c r="I321" s="187">
        <f t="shared" si="32"/>
        <v>18389.931139053922</v>
      </c>
      <c r="J321" s="187">
        <f t="shared" si="33"/>
        <v>1135.5314071660341</v>
      </c>
      <c r="K321" s="228">
        <v>1518</v>
      </c>
      <c r="L321" s="218">
        <f t="shared" si="34"/>
        <v>10.900596887326859</v>
      </c>
      <c r="M321" s="218"/>
      <c r="N321" s="218"/>
      <c r="O321" s="218"/>
      <c r="P321" s="218"/>
      <c r="Q321" s="218"/>
      <c r="R321" s="218"/>
      <c r="S321" s="64"/>
    </row>
    <row r="322" spans="1:20" x14ac:dyDescent="0.25">
      <c r="A322" s="64" t="str">
        <f>$B$225&amp;"  "&amp;C322&amp;"*"&amp;D322</f>
        <v>CIRC  323.9*20</v>
      </c>
      <c r="B322" s="163">
        <f>H322*0.785</f>
        <v>149.8926111658723</v>
      </c>
      <c r="C322" s="64">
        <v>323.89999999999998</v>
      </c>
      <c r="D322" s="64">
        <v>20</v>
      </c>
      <c r="E322" s="64"/>
      <c r="F322" s="64"/>
      <c r="G322" s="64"/>
      <c r="H322" s="163">
        <f>(C322^2-(C322-2*D322)^2)*PI()*0.01/4</f>
        <v>190.94600148518762</v>
      </c>
      <c r="I322" s="187">
        <f>(C322^4-(C322-2*D322)^4)*PI()*0.0001/64</f>
        <v>22139.045583023613</v>
      </c>
      <c r="J322" s="187">
        <f>I322/(C322*0.5*0.1)</f>
        <v>1367.0296747776235</v>
      </c>
      <c r="K322" s="228">
        <v>1850</v>
      </c>
      <c r="L322" s="218">
        <f>SQRT(I322/H322)</f>
        <v>10.767730146135721</v>
      </c>
      <c r="M322" s="218"/>
      <c r="N322" s="218"/>
      <c r="O322" s="218"/>
      <c r="P322" s="218"/>
      <c r="Q322" s="218"/>
      <c r="R322" s="218"/>
      <c r="S322" s="64"/>
    </row>
    <row r="323" spans="1:20" x14ac:dyDescent="0.25">
      <c r="A323" s="64" t="str">
        <f>$B$225&amp;"  "&amp;C323&amp;"*"&amp;D323</f>
        <v>CIRC  323.9*25</v>
      </c>
      <c r="B323" s="163">
        <f>H323*0.785</f>
        <v>184.28307616600537</v>
      </c>
      <c r="C323" s="64">
        <v>323.89999999999998</v>
      </c>
      <c r="D323" s="64">
        <v>25</v>
      </c>
      <c r="E323" s="64"/>
      <c r="F323" s="64"/>
      <c r="G323" s="64"/>
      <c r="H323" s="163">
        <f>(C323^2-(C323-2*D323)^2)*PI()*0.01/4</f>
        <v>234.75551103949729</v>
      </c>
      <c r="I323" s="187">
        <f>(C323^4-(C323-2*D323)^4)*PI()*0.0001/64</f>
        <v>26400.079506045917</v>
      </c>
      <c r="J323" s="187">
        <f>I323/(C323*0.5*0.1)</f>
        <v>1630.1376663195997</v>
      </c>
      <c r="K323" s="228">
        <v>2239</v>
      </c>
      <c r="L323" s="218">
        <f>SQRT(I323/H323)</f>
        <v>10.604610436032058</v>
      </c>
      <c r="M323" s="218"/>
      <c r="N323" s="218"/>
      <c r="O323" s="218"/>
      <c r="P323" s="218"/>
      <c r="Q323" s="218"/>
      <c r="R323" s="218"/>
      <c r="S323" s="64"/>
    </row>
    <row r="324" spans="1:20" x14ac:dyDescent="0.25">
      <c r="A324" s="219" t="str">
        <f t="shared" si="35"/>
        <v>CIRC  355.6*6.3</v>
      </c>
      <c r="B324" s="168">
        <f t="shared" si="30"/>
        <v>54.269855413870921</v>
      </c>
      <c r="C324" s="167">
        <v>355.6</v>
      </c>
      <c r="D324" s="167">
        <v>6.3</v>
      </c>
      <c r="E324" s="167"/>
      <c r="F324" s="167"/>
      <c r="G324" s="167"/>
      <c r="H324" s="168">
        <f t="shared" si="31"/>
        <v>69.133573775631746</v>
      </c>
      <c r="I324" s="184">
        <f t="shared" si="32"/>
        <v>10547.206404198918</v>
      </c>
      <c r="J324" s="184">
        <f t="shared" si="33"/>
        <v>593.20620946000656</v>
      </c>
      <c r="K324" s="229">
        <v>769</v>
      </c>
      <c r="L324" s="220">
        <f t="shared" si="34"/>
        <v>12.351628435149756</v>
      </c>
      <c r="M324" s="220"/>
      <c r="N324" s="220"/>
      <c r="O324" s="220"/>
      <c r="P324" s="220"/>
      <c r="Q324" s="220"/>
      <c r="R324" s="220"/>
      <c r="S324" s="167"/>
      <c r="T324" s="221"/>
    </row>
    <row r="325" spans="1:20" x14ac:dyDescent="0.25">
      <c r="A325" s="222" t="str">
        <f t="shared" si="35"/>
        <v>CIRC  355.6*8</v>
      </c>
      <c r="B325" s="174">
        <f t="shared" si="30"/>
        <v>68.578705681154588</v>
      </c>
      <c r="C325" s="173">
        <v>355.6</v>
      </c>
      <c r="D325" s="173">
        <v>8</v>
      </c>
      <c r="E325" s="173"/>
      <c r="F325" s="173"/>
      <c r="G325" s="173"/>
      <c r="H325" s="174">
        <f t="shared" si="31"/>
        <v>87.361408511024948</v>
      </c>
      <c r="I325" s="185">
        <f t="shared" si="32"/>
        <v>13201.374635199711</v>
      </c>
      <c r="J325" s="185">
        <f t="shared" si="33"/>
        <v>742.48451266590041</v>
      </c>
      <c r="K325" s="230">
        <v>967</v>
      </c>
      <c r="L325" s="223">
        <f t="shared" si="34"/>
        <v>12.292770232945871</v>
      </c>
      <c r="M325" s="223"/>
      <c r="N325" s="223"/>
      <c r="O325" s="223"/>
      <c r="P325" s="223"/>
      <c r="Q325" s="223"/>
      <c r="R325" s="223"/>
      <c r="S325" s="173"/>
      <c r="T325" s="224"/>
    </row>
    <row r="326" spans="1:20" x14ac:dyDescent="0.25">
      <c r="A326" s="222" t="str">
        <f t="shared" si="35"/>
        <v>CIRC  355.6*10</v>
      </c>
      <c r="B326" s="174">
        <f t="shared" si="30"/>
        <v>85.230152054829659</v>
      </c>
      <c r="C326" s="173">
        <v>355.6</v>
      </c>
      <c r="D326" s="173">
        <v>10</v>
      </c>
      <c r="E326" s="173"/>
      <c r="F326" s="173"/>
      <c r="G326" s="173"/>
      <c r="H326" s="174">
        <f t="shared" si="31"/>
        <v>108.57344210806325</v>
      </c>
      <c r="I326" s="185">
        <f t="shared" si="32"/>
        <v>16223.499728243667</v>
      </c>
      <c r="J326" s="185">
        <f t="shared" si="33"/>
        <v>912.45780248839515</v>
      </c>
      <c r="K326" s="230">
        <v>1195</v>
      </c>
      <c r="L326" s="223">
        <f t="shared" si="34"/>
        <v>12.223919175125465</v>
      </c>
      <c r="M326" s="223"/>
      <c r="N326" s="223"/>
      <c r="O326" s="223"/>
      <c r="P326" s="223"/>
      <c r="Q326" s="223"/>
      <c r="R326" s="223"/>
      <c r="S326" s="173"/>
      <c r="T326" s="224"/>
    </row>
    <row r="327" spans="1:20" x14ac:dyDescent="0.25">
      <c r="A327" s="222" t="str">
        <f t="shared" si="35"/>
        <v>CIRC  355.6*12.5</v>
      </c>
      <c r="B327" s="174">
        <f t="shared" si="30"/>
        <v>105.76701812070333</v>
      </c>
      <c r="C327" s="173">
        <v>355.6</v>
      </c>
      <c r="D327" s="173">
        <v>12.5</v>
      </c>
      <c r="E327" s="173"/>
      <c r="F327" s="173"/>
      <c r="G327" s="173"/>
      <c r="H327" s="174">
        <f t="shared" si="31"/>
        <v>134.73505493083226</v>
      </c>
      <c r="I327" s="185">
        <f t="shared" si="32"/>
        <v>19852.176252511541</v>
      </c>
      <c r="J327" s="185">
        <f t="shared" si="33"/>
        <v>1116.5453460355197</v>
      </c>
      <c r="K327" s="230">
        <v>1472</v>
      </c>
      <c r="L327" s="223">
        <f t="shared" si="34"/>
        <v>12.138464688748739</v>
      </c>
      <c r="M327" s="223"/>
      <c r="N327" s="223"/>
      <c r="O327" s="223"/>
      <c r="P327" s="223"/>
      <c r="Q327" s="223"/>
      <c r="R327" s="223"/>
      <c r="S327" s="173"/>
      <c r="T327" s="224"/>
    </row>
    <row r="328" spans="1:20" x14ac:dyDescent="0.25">
      <c r="A328" s="222" t="str">
        <f t="shared" si="35"/>
        <v>CIRC  355.6*14.2</v>
      </c>
      <c r="B328" s="174">
        <f t="shared" si="30"/>
        <v>119.55600391885631</v>
      </c>
      <c r="C328" s="173">
        <v>355.6</v>
      </c>
      <c r="D328" s="173">
        <v>14.2</v>
      </c>
      <c r="E328" s="173"/>
      <c r="F328" s="173"/>
      <c r="G328" s="173"/>
      <c r="H328" s="174">
        <f t="shared" si="31"/>
        <v>152.30064193484878</v>
      </c>
      <c r="I328" s="185">
        <f t="shared" si="32"/>
        <v>22227.441036860542</v>
      </c>
      <c r="J328" s="185">
        <f t="shared" si="33"/>
        <v>1250.1372911620101</v>
      </c>
      <c r="K328" s="230">
        <v>1656</v>
      </c>
      <c r="L328" s="223">
        <f t="shared" si="34"/>
        <v>12.080749148955956</v>
      </c>
      <c r="M328" s="223"/>
      <c r="N328" s="223"/>
      <c r="O328" s="223"/>
      <c r="P328" s="223"/>
      <c r="Q328" s="223"/>
      <c r="R328" s="223"/>
      <c r="S328" s="173"/>
      <c r="T328" s="224"/>
    </row>
    <row r="329" spans="1:20" x14ac:dyDescent="0.25">
      <c r="A329" s="222" t="str">
        <f t="shared" si="35"/>
        <v>CIRC  355.6*16</v>
      </c>
      <c r="B329" s="174">
        <f t="shared" si="30"/>
        <v>134.00073906398211</v>
      </c>
      <c r="C329" s="173">
        <v>355.6</v>
      </c>
      <c r="D329" s="173">
        <v>16</v>
      </c>
      <c r="E329" s="173"/>
      <c r="F329" s="173"/>
      <c r="G329" s="173"/>
      <c r="H329" s="174">
        <f t="shared" si="31"/>
        <v>170.70157842545493</v>
      </c>
      <c r="I329" s="185">
        <f t="shared" si="32"/>
        <v>24662.998191225426</v>
      </c>
      <c r="J329" s="185">
        <f t="shared" si="33"/>
        <v>1387.1202582241522</v>
      </c>
      <c r="K329" s="230">
        <v>1847</v>
      </c>
      <c r="L329" s="223">
        <f t="shared" si="34"/>
        <v>12.01999168052957</v>
      </c>
      <c r="M329" s="223"/>
      <c r="N329" s="223"/>
      <c r="O329" s="223"/>
      <c r="P329" s="223"/>
      <c r="Q329" s="223"/>
      <c r="R329" s="223"/>
      <c r="S329" s="173"/>
      <c r="T329" s="224"/>
    </row>
    <row r="330" spans="1:20" x14ac:dyDescent="0.25">
      <c r="A330" s="222" t="str">
        <f t="shared" si="35"/>
        <v>CIRC  355.6*20</v>
      </c>
      <c r="B330" s="174">
        <f t="shared" si="30"/>
        <v>165.52800364352333</v>
      </c>
      <c r="C330" s="173">
        <v>355.6</v>
      </c>
      <c r="D330" s="173">
        <v>20</v>
      </c>
      <c r="E330" s="173"/>
      <c r="F330" s="173"/>
      <c r="G330" s="173"/>
      <c r="H330" s="174">
        <f t="shared" si="31"/>
        <v>210.8636989089469</v>
      </c>
      <c r="I330" s="185">
        <f t="shared" si="32"/>
        <v>29791.709009391445</v>
      </c>
      <c r="J330" s="185">
        <f t="shared" si="33"/>
        <v>1675.5741850051431</v>
      </c>
      <c r="K330" s="230">
        <v>2255</v>
      </c>
      <c r="L330" s="223">
        <f t="shared" si="34"/>
        <v>11.886303041736738</v>
      </c>
      <c r="M330" s="223"/>
      <c r="N330" s="223"/>
      <c r="O330" s="223"/>
      <c r="P330" s="223"/>
      <c r="Q330" s="223"/>
      <c r="R330" s="223"/>
      <c r="S330" s="173"/>
      <c r="T330" s="224"/>
    </row>
    <row r="331" spans="1:20" x14ac:dyDescent="0.25">
      <c r="A331" s="225" t="str">
        <f t="shared" si="35"/>
        <v>CIRC  355.6*25</v>
      </c>
      <c r="B331" s="180">
        <f t="shared" si="30"/>
        <v>203.82731676306921</v>
      </c>
      <c r="C331" s="179">
        <v>355.6</v>
      </c>
      <c r="D331" s="179">
        <v>25</v>
      </c>
      <c r="E331" s="179"/>
      <c r="F331" s="179"/>
      <c r="G331" s="179"/>
      <c r="H331" s="180">
        <f t="shared" si="31"/>
        <v>259.65263281919641</v>
      </c>
      <c r="I331" s="186">
        <f t="shared" si="32"/>
        <v>35676.713158833387</v>
      </c>
      <c r="J331" s="186">
        <f t="shared" si="33"/>
        <v>2006.5642946475468</v>
      </c>
      <c r="K331" s="231">
        <v>2738</v>
      </c>
      <c r="L331" s="226">
        <f t="shared" si="34"/>
        <v>11.721847124067095</v>
      </c>
      <c r="M331" s="226"/>
      <c r="N331" s="226"/>
      <c r="O331" s="226"/>
      <c r="P331" s="226"/>
      <c r="Q331" s="226"/>
      <c r="R331" s="226"/>
      <c r="S331" s="179"/>
      <c r="T331" s="227"/>
    </row>
    <row r="332" spans="1:20" x14ac:dyDescent="0.25">
      <c r="A332" s="64" t="str">
        <f t="shared" si="35"/>
        <v>CIRC  406.4*6.3</v>
      </c>
      <c r="B332" s="163">
        <f t="shared" si="30"/>
        <v>62.16252261978174</v>
      </c>
      <c r="C332" s="64">
        <v>406.4</v>
      </c>
      <c r="D332" s="64">
        <v>6.3</v>
      </c>
      <c r="E332" s="64"/>
      <c r="F332" s="64"/>
      <c r="G332" s="64"/>
      <c r="H332" s="163">
        <f t="shared" si="31"/>
        <v>79.187926904180557</v>
      </c>
      <c r="I332" s="187">
        <f t="shared" si="32"/>
        <v>15849.433874399147</v>
      </c>
      <c r="J332" s="187">
        <f t="shared" si="33"/>
        <v>779.991824527517</v>
      </c>
      <c r="K332" s="228">
        <v>1009</v>
      </c>
      <c r="L332" s="218">
        <f t="shared" si="34"/>
        <v>14.147424677304345</v>
      </c>
      <c r="M332" s="218"/>
      <c r="N332" s="218"/>
      <c r="O332" s="218"/>
      <c r="P332" s="218"/>
      <c r="Q332" s="218"/>
      <c r="R332" s="218"/>
      <c r="S332" s="64"/>
    </row>
    <row r="333" spans="1:20" x14ac:dyDescent="0.25">
      <c r="A333" s="64" t="str">
        <f t="shared" si="35"/>
        <v>CIRC  406.4*8</v>
      </c>
      <c r="B333" s="163">
        <f t="shared" si="30"/>
        <v>78.601140228343013</v>
      </c>
      <c r="C333" s="64">
        <v>406.4</v>
      </c>
      <c r="D333" s="64">
        <v>8</v>
      </c>
      <c r="E333" s="64"/>
      <c r="F333" s="64"/>
      <c r="G333" s="64"/>
      <c r="H333" s="163">
        <f t="shared" si="31"/>
        <v>100.12884105521402</v>
      </c>
      <c r="I333" s="187">
        <f t="shared" si="32"/>
        <v>19873.892784930253</v>
      </c>
      <c r="J333" s="187">
        <f t="shared" si="33"/>
        <v>978.04590477018962</v>
      </c>
      <c r="K333" s="228">
        <v>1270</v>
      </c>
      <c r="L333" s="218">
        <f t="shared" si="34"/>
        <v>14.08840658129939</v>
      </c>
      <c r="M333" s="218"/>
      <c r="N333" s="218"/>
      <c r="O333" s="218"/>
      <c r="P333" s="218"/>
      <c r="Q333" s="218"/>
      <c r="R333" s="218"/>
      <c r="S333" s="64"/>
    </row>
    <row r="334" spans="1:20" x14ac:dyDescent="0.25">
      <c r="A334" s="64" t="str">
        <f t="shared" si="35"/>
        <v>CIRC  406.4*10</v>
      </c>
      <c r="B334" s="163">
        <f t="shared" si="30"/>
        <v>97.758195238815034</v>
      </c>
      <c r="C334" s="64">
        <v>406.4</v>
      </c>
      <c r="D334" s="64">
        <v>10</v>
      </c>
      <c r="E334" s="64"/>
      <c r="F334" s="64"/>
      <c r="G334" s="64"/>
      <c r="H334" s="163">
        <f t="shared" si="31"/>
        <v>124.5327327882994</v>
      </c>
      <c r="I334" s="187">
        <f t="shared" si="32"/>
        <v>24475.812741491711</v>
      </c>
      <c r="J334" s="187">
        <f t="shared" si="33"/>
        <v>1204.5183435773479</v>
      </c>
      <c r="K334" s="228">
        <v>1572</v>
      </c>
      <c r="L334" s="218">
        <f t="shared" si="34"/>
        <v>14.019315247186647</v>
      </c>
      <c r="M334" s="218"/>
      <c r="N334" s="218"/>
      <c r="O334" s="218"/>
      <c r="P334" s="218"/>
      <c r="Q334" s="218"/>
      <c r="R334" s="218"/>
      <c r="S334" s="64"/>
    </row>
    <row r="335" spans="1:20" x14ac:dyDescent="0.25">
      <c r="A335" s="64" t="str">
        <f t="shared" si="35"/>
        <v>CIRC  406.4*12.5</v>
      </c>
      <c r="B335" s="163">
        <f t="shared" si="30"/>
        <v>121.42707210068505</v>
      </c>
      <c r="C335" s="64">
        <v>406.4</v>
      </c>
      <c r="D335" s="64">
        <v>12.5</v>
      </c>
      <c r="E335" s="64"/>
      <c r="F335" s="64"/>
      <c r="G335" s="64"/>
      <c r="H335" s="163">
        <f t="shared" si="31"/>
        <v>154.68416828112746</v>
      </c>
      <c r="I335" s="187">
        <f t="shared" si="32"/>
        <v>30030.666728705204</v>
      </c>
      <c r="J335" s="187">
        <f t="shared" si="33"/>
        <v>1477.8871421606891</v>
      </c>
      <c r="K335" s="228">
        <v>1940</v>
      </c>
      <c r="L335" s="218">
        <f t="shared" si="34"/>
        <v>13.933478567823617</v>
      </c>
      <c r="M335" s="218"/>
      <c r="N335" s="218"/>
      <c r="O335" s="218"/>
      <c r="P335" s="218"/>
      <c r="Q335" s="218"/>
      <c r="R335" s="218"/>
      <c r="S335" s="64"/>
    </row>
    <row r="336" spans="1:20" x14ac:dyDescent="0.25">
      <c r="A336" s="64" t="str">
        <f t="shared" si="35"/>
        <v>CIRC  406.4*14.2</v>
      </c>
      <c r="B336" s="163">
        <f t="shared" si="30"/>
        <v>137.34582524011554</v>
      </c>
      <c r="C336" s="64">
        <v>406.4</v>
      </c>
      <c r="D336" s="64">
        <v>14.2</v>
      </c>
      <c r="E336" s="64"/>
      <c r="F336" s="64"/>
      <c r="G336" s="64"/>
      <c r="H336" s="163">
        <f t="shared" si="31"/>
        <v>174.96283470078413</v>
      </c>
      <c r="I336" s="187">
        <f t="shared" si="32"/>
        <v>33685.26213555604</v>
      </c>
      <c r="J336" s="187">
        <f t="shared" si="33"/>
        <v>1657.7392783246082</v>
      </c>
      <c r="K336" s="228">
        <v>2185</v>
      </c>
      <c r="L336" s="218">
        <f t="shared" si="34"/>
        <v>13.875449542267091</v>
      </c>
      <c r="M336" s="218"/>
      <c r="N336" s="218"/>
      <c r="O336" s="218"/>
      <c r="P336" s="218"/>
      <c r="Q336" s="218"/>
      <c r="R336" s="218"/>
      <c r="S336" s="64"/>
    </row>
    <row r="337" spans="1:20" x14ac:dyDescent="0.25">
      <c r="A337" s="64" t="str">
        <f t="shared" si="35"/>
        <v>CIRC  406.4*16</v>
      </c>
      <c r="B337" s="163">
        <f t="shared" si="30"/>
        <v>154.04560815835885</v>
      </c>
      <c r="C337" s="64">
        <v>406.4</v>
      </c>
      <c r="D337" s="64">
        <v>16</v>
      </c>
      <c r="E337" s="64"/>
      <c r="F337" s="64"/>
      <c r="G337" s="64"/>
      <c r="H337" s="163">
        <f t="shared" si="31"/>
        <v>196.23644351383291</v>
      </c>
      <c r="I337" s="187">
        <f t="shared" si="32"/>
        <v>37448.820945250998</v>
      </c>
      <c r="J337" s="187">
        <f t="shared" si="33"/>
        <v>1842.953786675738</v>
      </c>
      <c r="K337" s="228">
        <v>2440</v>
      </c>
      <c r="L337" s="218">
        <f t="shared" si="34"/>
        <v>13.814311419683573</v>
      </c>
      <c r="M337" s="218"/>
      <c r="N337" s="218"/>
      <c r="O337" s="218"/>
      <c r="P337" s="218"/>
      <c r="Q337" s="218"/>
      <c r="R337" s="218"/>
      <c r="S337" s="64"/>
    </row>
    <row r="338" spans="1:20" x14ac:dyDescent="0.25">
      <c r="A338" s="64" t="str">
        <f t="shared" si="35"/>
        <v>CIRC  406.4*20</v>
      </c>
      <c r="B338" s="163">
        <f t="shared" si="30"/>
        <v>190.58409001149408</v>
      </c>
      <c r="C338" s="64">
        <v>406.4</v>
      </c>
      <c r="D338" s="64">
        <v>20</v>
      </c>
      <c r="E338" s="64"/>
      <c r="F338" s="64"/>
      <c r="G338" s="64"/>
      <c r="H338" s="163">
        <f t="shared" si="31"/>
        <v>242.7822802694192</v>
      </c>
      <c r="I338" s="187">
        <f t="shared" si="32"/>
        <v>45432.139445552748</v>
      </c>
      <c r="J338" s="187">
        <f t="shared" si="33"/>
        <v>2235.833634131533</v>
      </c>
      <c r="K338" s="228">
        <v>2989</v>
      </c>
      <c r="L338" s="218">
        <f t="shared" si="34"/>
        <v>13.67959063714993</v>
      </c>
      <c r="M338" s="218"/>
      <c r="N338" s="218"/>
      <c r="O338" s="218"/>
      <c r="P338" s="218"/>
      <c r="Q338" s="218"/>
      <c r="R338" s="218"/>
      <c r="S338" s="64"/>
    </row>
    <row r="339" spans="1:20" x14ac:dyDescent="0.25">
      <c r="A339" s="64" t="str">
        <f t="shared" si="35"/>
        <v>CIRC  406.4*25</v>
      </c>
      <c r="B339" s="163">
        <f t="shared" si="30"/>
        <v>235.14742472303274</v>
      </c>
      <c r="C339" s="64">
        <v>406.4</v>
      </c>
      <c r="D339" s="64">
        <v>25</v>
      </c>
      <c r="E339" s="64"/>
      <c r="F339" s="64"/>
      <c r="G339" s="64"/>
      <c r="H339" s="163">
        <f t="shared" si="31"/>
        <v>299.55085951978691</v>
      </c>
      <c r="I339" s="187">
        <f t="shared" si="32"/>
        <v>54702.090795088508</v>
      </c>
      <c r="J339" s="187">
        <f t="shared" si="33"/>
        <v>2692.0320273173479</v>
      </c>
      <c r="K339" s="228">
        <v>3642</v>
      </c>
      <c r="L339" s="218">
        <f t="shared" si="34"/>
        <v>13.513463656664786</v>
      </c>
      <c r="M339" s="218"/>
      <c r="N339" s="218"/>
      <c r="O339" s="218"/>
      <c r="P339" s="218"/>
      <c r="Q339" s="218"/>
      <c r="R339" s="218"/>
      <c r="S339" s="64"/>
    </row>
    <row r="340" spans="1:20" x14ac:dyDescent="0.25">
      <c r="A340" s="64" t="str">
        <f t="shared" si="35"/>
        <v>CIRC  406.4*30</v>
      </c>
      <c r="B340" s="163">
        <f t="shared" si="30"/>
        <v>278.47768431803729</v>
      </c>
      <c r="C340" s="64">
        <v>406.4</v>
      </c>
      <c r="D340" s="64">
        <v>30</v>
      </c>
      <c r="E340" s="64"/>
      <c r="F340" s="64"/>
      <c r="G340" s="64"/>
      <c r="H340" s="163">
        <f t="shared" si="31"/>
        <v>354.74864244335959</v>
      </c>
      <c r="I340" s="187">
        <f t="shared" si="32"/>
        <v>63223.728754626471</v>
      </c>
      <c r="J340" s="187">
        <f t="shared" si="33"/>
        <v>3111.4039741450033</v>
      </c>
      <c r="K340" s="228">
        <v>4259</v>
      </c>
      <c r="L340" s="218">
        <f t="shared" si="34"/>
        <v>13.349951310772635</v>
      </c>
      <c r="M340" s="218"/>
      <c r="N340" s="218"/>
      <c r="O340" s="218"/>
      <c r="P340" s="218"/>
      <c r="Q340" s="218"/>
      <c r="R340" s="218"/>
      <c r="S340" s="64"/>
    </row>
    <row r="341" spans="1:20" x14ac:dyDescent="0.25">
      <c r="A341" s="64" t="str">
        <f>$B$225&amp;"  "&amp;C341&amp;"*"&amp;D341</f>
        <v>CIRC  406.4*40</v>
      </c>
      <c r="B341" s="163">
        <f>H341*0.785</f>
        <v>361.43897815844423</v>
      </c>
      <c r="C341" s="64">
        <v>406.4</v>
      </c>
      <c r="D341" s="64">
        <v>40</v>
      </c>
      <c r="E341" s="64"/>
      <c r="F341" s="64"/>
      <c r="G341" s="64"/>
      <c r="H341" s="163">
        <f>(C341^2-(C341-2*D341)^2)*PI()*0.01/4</f>
        <v>460.43181931012003</v>
      </c>
      <c r="I341" s="187">
        <f>(C341^4-(C341-2*D341)^4)*PI()*0.0001/64</f>
        <v>78186.479755234657</v>
      </c>
      <c r="J341" s="187">
        <f>I341/(C341*0.5*0.1)</f>
        <v>3847.7598304741464</v>
      </c>
      <c r="K341" s="228">
        <v>5391</v>
      </c>
      <c r="L341" s="218">
        <f>SQRT(I341/H341)</f>
        <v>13.031162649587335</v>
      </c>
      <c r="M341" s="218"/>
      <c r="N341" s="218"/>
      <c r="O341" s="218"/>
      <c r="P341" s="218"/>
      <c r="Q341" s="218"/>
      <c r="R341" s="218"/>
      <c r="S341" s="64"/>
    </row>
    <row r="342" spans="1:20" x14ac:dyDescent="0.25">
      <c r="A342" s="219" t="str">
        <f t="shared" si="35"/>
        <v>CIRC  457*6.3</v>
      </c>
      <c r="B342" s="168">
        <f t="shared" ref="B342:B410" si="36">H342*0.785</f>
        <v>70.024116332755852</v>
      </c>
      <c r="C342" s="167">
        <v>457</v>
      </c>
      <c r="D342" s="167">
        <v>6.3</v>
      </c>
      <c r="E342" s="167"/>
      <c r="F342" s="167"/>
      <c r="G342" s="167"/>
      <c r="H342" s="168">
        <f t="shared" ref="H342:H410" si="37">(C342^2-(C342-2*D342)^2)*PI()*0.01/4</f>
        <v>89.202695965294069</v>
      </c>
      <c r="I342" s="184">
        <f t="shared" ref="I342:I410" si="38">(C342^4-(C342-2*D342)^4)*PI()*0.0001/64</f>
        <v>22654.15974469257</v>
      </c>
      <c r="J342" s="184">
        <f t="shared" ref="J342:J410" si="39">I342/(C342*0.5*0.1)</f>
        <v>991.42931048982791</v>
      </c>
      <c r="K342" s="229">
        <v>1280</v>
      </c>
      <c r="L342" s="220">
        <f t="shared" ref="L342:L410" si="40">SQRT(I342/H342)</f>
        <v>15.936207986845547</v>
      </c>
      <c r="M342" s="220"/>
      <c r="N342" s="220"/>
      <c r="O342" s="220"/>
      <c r="P342" s="220"/>
      <c r="Q342" s="220"/>
      <c r="R342" s="220"/>
      <c r="S342" s="167"/>
      <c r="T342" s="221"/>
    </row>
    <row r="343" spans="1:20" x14ac:dyDescent="0.25">
      <c r="A343" s="222" t="str">
        <f t="shared" si="35"/>
        <v>CIRC  457*8</v>
      </c>
      <c r="B343" s="174">
        <f t="shared" si="36"/>
        <v>88.584116371802125</v>
      </c>
      <c r="C343" s="173">
        <v>457</v>
      </c>
      <c r="D343" s="173">
        <v>8</v>
      </c>
      <c r="E343" s="173"/>
      <c r="F343" s="173"/>
      <c r="G343" s="173"/>
      <c r="H343" s="174">
        <f t="shared" si="37"/>
        <v>112.84600811694538</v>
      </c>
      <c r="I343" s="185">
        <f t="shared" si="38"/>
        <v>28446.362783629735</v>
      </c>
      <c r="J343" s="185">
        <f t="shared" si="39"/>
        <v>1244.9174084739489</v>
      </c>
      <c r="K343" s="230">
        <v>1613</v>
      </c>
      <c r="L343" s="223">
        <f t="shared" si="40"/>
        <v>15.877066794594018</v>
      </c>
      <c r="M343" s="223"/>
      <c r="N343" s="223"/>
      <c r="O343" s="223"/>
      <c r="P343" s="223"/>
      <c r="Q343" s="223"/>
      <c r="R343" s="223"/>
      <c r="S343" s="173"/>
      <c r="T343" s="224"/>
    </row>
    <row r="344" spans="1:20" x14ac:dyDescent="0.25">
      <c r="A344" s="222" t="str">
        <f t="shared" si="35"/>
        <v>CIRC  457*10</v>
      </c>
      <c r="B344" s="174">
        <f t="shared" si="36"/>
        <v>110.23691541813906</v>
      </c>
      <c r="C344" s="173">
        <v>457</v>
      </c>
      <c r="D344" s="173">
        <v>10</v>
      </c>
      <c r="E344" s="173"/>
      <c r="F344" s="173"/>
      <c r="G344" s="173"/>
      <c r="H344" s="174">
        <f t="shared" si="37"/>
        <v>140.42919161546376</v>
      </c>
      <c r="I344" s="185">
        <f t="shared" si="38"/>
        <v>35091.324083319683</v>
      </c>
      <c r="J344" s="185">
        <f t="shared" si="39"/>
        <v>1535.7253428148656</v>
      </c>
      <c r="K344" s="230">
        <v>1998</v>
      </c>
      <c r="L344" s="223">
        <f t="shared" si="40"/>
        <v>15.807790800741261</v>
      </c>
      <c r="M344" s="223"/>
      <c r="N344" s="223"/>
      <c r="O344" s="223"/>
      <c r="P344" s="223"/>
      <c r="Q344" s="223"/>
      <c r="R344" s="223"/>
      <c r="S344" s="173"/>
      <c r="T344" s="224"/>
    </row>
    <row r="345" spans="1:20" x14ac:dyDescent="0.25">
      <c r="A345" s="222" t="str">
        <f t="shared" si="35"/>
        <v>CIRC  457*12.5</v>
      </c>
      <c r="B345" s="174">
        <f t="shared" si="36"/>
        <v>137.02547232484008</v>
      </c>
      <c r="C345" s="173">
        <v>457</v>
      </c>
      <c r="D345" s="173">
        <v>12.5</v>
      </c>
      <c r="E345" s="173"/>
      <c r="F345" s="173"/>
      <c r="G345" s="173"/>
      <c r="H345" s="174">
        <f t="shared" si="37"/>
        <v>174.55474181508291</v>
      </c>
      <c r="I345" s="185">
        <f t="shared" si="38"/>
        <v>43144.804631147672</v>
      </c>
      <c r="J345" s="185">
        <f t="shared" si="39"/>
        <v>1888.1752573806421</v>
      </c>
      <c r="K345" s="230">
        <v>2470</v>
      </c>
      <c r="L345" s="223">
        <f t="shared" si="40"/>
        <v>15.721661012755616</v>
      </c>
      <c r="M345" s="223"/>
      <c r="N345" s="223"/>
      <c r="O345" s="223"/>
      <c r="P345" s="223"/>
      <c r="Q345" s="223"/>
      <c r="R345" s="223"/>
      <c r="S345" s="173"/>
      <c r="T345" s="224"/>
    </row>
    <row r="346" spans="1:20" x14ac:dyDescent="0.25">
      <c r="A346" s="222" t="str">
        <f t="shared" si="35"/>
        <v>CIRC  457*14.2</v>
      </c>
      <c r="B346" s="174">
        <f t="shared" si="36"/>
        <v>155.06560789475557</v>
      </c>
      <c r="C346" s="173">
        <v>457</v>
      </c>
      <c r="D346" s="173">
        <v>14.2</v>
      </c>
      <c r="E346" s="173"/>
      <c r="F346" s="173"/>
      <c r="G346" s="173"/>
      <c r="H346" s="174">
        <f t="shared" si="37"/>
        <v>197.53580623535743</v>
      </c>
      <c r="I346" s="185">
        <f t="shared" si="38"/>
        <v>48463.800143024135</v>
      </c>
      <c r="J346" s="185">
        <f t="shared" si="39"/>
        <v>2120.9540543993057</v>
      </c>
      <c r="K346" s="230">
        <v>2785</v>
      </c>
      <c r="L346" s="223">
        <f t="shared" si="40"/>
        <v>15.663392033656057</v>
      </c>
      <c r="M346" s="223"/>
      <c r="N346" s="223"/>
      <c r="O346" s="223"/>
      <c r="P346" s="223"/>
      <c r="Q346" s="223"/>
      <c r="R346" s="223"/>
      <c r="S346" s="173"/>
      <c r="T346" s="224"/>
    </row>
    <row r="347" spans="1:20" x14ac:dyDescent="0.25">
      <c r="A347" s="222" t="str">
        <f t="shared" si="35"/>
        <v>CIRC  457*16</v>
      </c>
      <c r="B347" s="174">
        <f t="shared" si="36"/>
        <v>174.01156044527721</v>
      </c>
      <c r="C347" s="173">
        <v>457</v>
      </c>
      <c r="D347" s="173">
        <v>16</v>
      </c>
      <c r="E347" s="173"/>
      <c r="F347" s="173"/>
      <c r="G347" s="173"/>
      <c r="H347" s="174">
        <f t="shared" si="37"/>
        <v>221.6707776372958</v>
      </c>
      <c r="I347" s="185">
        <f t="shared" si="38"/>
        <v>53959.377780942596</v>
      </c>
      <c r="J347" s="185">
        <f t="shared" si="39"/>
        <v>2361.4607343957373</v>
      </c>
      <c r="K347" s="230">
        <v>3113</v>
      </c>
      <c r="L347" s="223">
        <f t="shared" si="40"/>
        <v>15.60196301751802</v>
      </c>
      <c r="M347" s="223"/>
      <c r="N347" s="223"/>
      <c r="O347" s="223"/>
      <c r="P347" s="223"/>
      <c r="Q347" s="223"/>
      <c r="R347" s="223"/>
      <c r="S347" s="173"/>
      <c r="T347" s="224"/>
    </row>
    <row r="348" spans="1:20" x14ac:dyDescent="0.25">
      <c r="A348" s="222" t="str">
        <f t="shared" si="35"/>
        <v>CIRC  457*20</v>
      </c>
      <c r="B348" s="174">
        <f t="shared" si="36"/>
        <v>215.54153037014211</v>
      </c>
      <c r="C348" s="173">
        <v>457</v>
      </c>
      <c r="D348" s="173">
        <v>20</v>
      </c>
      <c r="E348" s="173"/>
      <c r="F348" s="173"/>
      <c r="G348" s="173"/>
      <c r="H348" s="174">
        <f t="shared" si="37"/>
        <v>274.57519792374791</v>
      </c>
      <c r="I348" s="185">
        <f t="shared" si="38"/>
        <v>65681.476314337153</v>
      </c>
      <c r="J348" s="185">
        <f t="shared" si="39"/>
        <v>2874.4628583954986</v>
      </c>
      <c r="K348" s="230">
        <v>3822</v>
      </c>
      <c r="L348" s="223">
        <f t="shared" si="40"/>
        <v>15.466455637928169</v>
      </c>
      <c r="M348" s="223"/>
      <c r="N348" s="223"/>
      <c r="O348" s="223"/>
      <c r="P348" s="223"/>
      <c r="Q348" s="223"/>
      <c r="R348" s="223"/>
      <c r="S348" s="173"/>
      <c r="T348" s="224"/>
    </row>
    <row r="349" spans="1:20" x14ac:dyDescent="0.25">
      <c r="A349" s="222" t="str">
        <f t="shared" si="35"/>
        <v>CIRC  457*25</v>
      </c>
      <c r="B349" s="174">
        <f t="shared" si="36"/>
        <v>266.34422517134271</v>
      </c>
      <c r="C349" s="173">
        <v>457</v>
      </c>
      <c r="D349" s="173">
        <v>25</v>
      </c>
      <c r="E349" s="173"/>
      <c r="F349" s="173"/>
      <c r="G349" s="173"/>
      <c r="H349" s="174">
        <f t="shared" si="37"/>
        <v>339.2920065876977</v>
      </c>
      <c r="I349" s="185">
        <f t="shared" si="38"/>
        <v>79415.111176924751</v>
      </c>
      <c r="J349" s="185">
        <f t="shared" si="39"/>
        <v>3475.4972068676038</v>
      </c>
      <c r="K349" s="230">
        <v>4671</v>
      </c>
      <c r="L349" s="223">
        <f t="shared" si="40"/>
        <v>15.299060428666852</v>
      </c>
      <c r="M349" s="223"/>
      <c r="N349" s="223"/>
      <c r="O349" s="223"/>
      <c r="P349" s="223"/>
      <c r="Q349" s="223"/>
      <c r="R349" s="223"/>
      <c r="S349" s="173"/>
      <c r="T349" s="224"/>
    </row>
    <row r="350" spans="1:20" x14ac:dyDescent="0.25">
      <c r="A350" s="222" t="str">
        <f t="shared" si="35"/>
        <v>CIRC  457*30</v>
      </c>
      <c r="B350" s="174">
        <f t="shared" si="36"/>
        <v>315.91384485600923</v>
      </c>
      <c r="C350" s="173">
        <v>457</v>
      </c>
      <c r="D350" s="173">
        <v>30</v>
      </c>
      <c r="E350" s="173"/>
      <c r="F350" s="173"/>
      <c r="G350" s="173"/>
      <c r="H350" s="174">
        <f t="shared" si="37"/>
        <v>402.43801892485254</v>
      </c>
      <c r="I350" s="185">
        <f t="shared" si="38"/>
        <v>92172.894711977249</v>
      </c>
      <c r="J350" s="185">
        <f t="shared" si="39"/>
        <v>4033.8247138720894</v>
      </c>
      <c r="K350" s="230">
        <v>5479</v>
      </c>
      <c r="L350" s="223">
        <f t="shared" si="40"/>
        <v>15.133943636739234</v>
      </c>
      <c r="M350" s="223"/>
      <c r="N350" s="223"/>
      <c r="O350" s="223"/>
      <c r="P350" s="223"/>
      <c r="Q350" s="223"/>
      <c r="R350" s="223"/>
      <c r="S350" s="173"/>
      <c r="T350" s="224"/>
    </row>
    <row r="351" spans="1:20" x14ac:dyDescent="0.25">
      <c r="A351" s="225" t="str">
        <f t="shared" si="35"/>
        <v>CIRC  457*40</v>
      </c>
      <c r="B351" s="180">
        <f t="shared" si="36"/>
        <v>411.3538588757404</v>
      </c>
      <c r="C351" s="179">
        <v>457</v>
      </c>
      <c r="D351" s="179">
        <v>40</v>
      </c>
      <c r="E351" s="179"/>
      <c r="F351" s="179"/>
      <c r="G351" s="179"/>
      <c r="H351" s="180">
        <f t="shared" si="37"/>
        <v>524.01765461877756</v>
      </c>
      <c r="I351" s="186">
        <f t="shared" si="38"/>
        <v>114949.1677392433</v>
      </c>
      <c r="J351" s="186">
        <f t="shared" si="39"/>
        <v>5030.5981505139298</v>
      </c>
      <c r="K351" s="231">
        <v>6977</v>
      </c>
      <c r="L351" s="226">
        <f t="shared" si="40"/>
        <v>14.810849064115128</v>
      </c>
      <c r="M351" s="226"/>
      <c r="N351" s="226"/>
      <c r="O351" s="226"/>
      <c r="P351" s="226"/>
      <c r="Q351" s="226"/>
      <c r="R351" s="226"/>
      <c r="S351" s="179"/>
      <c r="T351" s="227"/>
    </row>
    <row r="352" spans="1:20" x14ac:dyDescent="0.25">
      <c r="A352" s="64" t="str">
        <f t="shared" si="35"/>
        <v>CIRC  508*6.3</v>
      </c>
      <c r="B352" s="163">
        <f t="shared" si="36"/>
        <v>77.947857031603348</v>
      </c>
      <c r="C352" s="64">
        <v>508</v>
      </c>
      <c r="D352" s="64">
        <v>6.3</v>
      </c>
      <c r="E352" s="64"/>
      <c r="F352" s="64"/>
      <c r="G352" s="64"/>
      <c r="H352" s="163">
        <f t="shared" si="37"/>
        <v>99.296633161278152</v>
      </c>
      <c r="I352" s="187">
        <f t="shared" si="38"/>
        <v>31246.488271667135</v>
      </c>
      <c r="J352" s="187">
        <f t="shared" si="39"/>
        <v>1230.1767036089423</v>
      </c>
      <c r="K352" s="228">
        <v>1586</v>
      </c>
      <c r="L352" s="218">
        <f t="shared" si="40"/>
        <v>17.739172049450332</v>
      </c>
      <c r="M352" s="218"/>
      <c r="N352" s="218"/>
      <c r="O352" s="218"/>
      <c r="P352" s="218"/>
      <c r="Q352" s="218"/>
      <c r="R352" s="218"/>
      <c r="S352" s="64"/>
    </row>
    <row r="353" spans="1:20" x14ac:dyDescent="0.25">
      <c r="A353" s="64" t="str">
        <f t="shared" si="35"/>
        <v>CIRC  508*8</v>
      </c>
      <c r="B353" s="163">
        <f t="shared" si="36"/>
        <v>98.646009322719507</v>
      </c>
      <c r="C353" s="64">
        <v>508</v>
      </c>
      <c r="D353" s="64">
        <v>8</v>
      </c>
      <c r="E353" s="64"/>
      <c r="F353" s="64"/>
      <c r="G353" s="64"/>
      <c r="H353" s="163">
        <f t="shared" si="37"/>
        <v>125.66370614359172</v>
      </c>
      <c r="I353" s="187">
        <f t="shared" si="38"/>
        <v>39279.961266363905</v>
      </c>
      <c r="J353" s="187">
        <f t="shared" si="39"/>
        <v>1546.4551679670828</v>
      </c>
      <c r="K353" s="228">
        <v>2000</v>
      </c>
      <c r="L353" s="218">
        <f t="shared" si="40"/>
        <v>17.679932126566552</v>
      </c>
      <c r="M353" s="218"/>
      <c r="N353" s="218"/>
      <c r="O353" s="218"/>
      <c r="P353" s="218"/>
      <c r="Q353" s="218"/>
      <c r="R353" s="218"/>
      <c r="S353" s="64"/>
    </row>
    <row r="354" spans="1:20" x14ac:dyDescent="0.25">
      <c r="A354" s="64" t="str">
        <f t="shared" si="35"/>
        <v>CIRC  508*10</v>
      </c>
      <c r="B354" s="163">
        <f t="shared" si="36"/>
        <v>122.81428160678578</v>
      </c>
      <c r="C354" s="64">
        <v>508</v>
      </c>
      <c r="D354" s="64">
        <v>10</v>
      </c>
      <c r="E354" s="64"/>
      <c r="F354" s="64"/>
      <c r="G354" s="64"/>
      <c r="H354" s="163">
        <f t="shared" si="37"/>
        <v>156.4513141487717</v>
      </c>
      <c r="I354" s="187">
        <f t="shared" si="38"/>
        <v>48520.246056958567</v>
      </c>
      <c r="J354" s="187">
        <f t="shared" si="39"/>
        <v>1910.2459077542742</v>
      </c>
      <c r="K354" s="228">
        <v>2480</v>
      </c>
      <c r="L354" s="218">
        <f t="shared" si="40"/>
        <v>17.610508226624241</v>
      </c>
      <c r="M354" s="218"/>
      <c r="N354" s="218"/>
      <c r="O354" s="218"/>
      <c r="P354" s="218"/>
      <c r="Q354" s="218"/>
      <c r="R354" s="218"/>
      <c r="S354" s="64"/>
    </row>
    <row r="355" spans="1:20" x14ac:dyDescent="0.25">
      <c r="A355" s="64" t="str">
        <f t="shared" si="35"/>
        <v>CIRC  508*12.5</v>
      </c>
      <c r="B355" s="163">
        <f t="shared" si="36"/>
        <v>152.74718006064847</v>
      </c>
      <c r="C355" s="64">
        <v>508</v>
      </c>
      <c r="D355" s="64">
        <v>12.5</v>
      </c>
      <c r="E355" s="64"/>
      <c r="F355" s="64"/>
      <c r="G355" s="64"/>
      <c r="H355" s="163">
        <f t="shared" si="37"/>
        <v>194.58239498171781</v>
      </c>
      <c r="I355" s="187">
        <f t="shared" si="38"/>
        <v>59755.402200907498</v>
      </c>
      <c r="J355" s="187">
        <f t="shared" si="39"/>
        <v>2352.5748897995077</v>
      </c>
      <c r="K355" s="228">
        <v>3070</v>
      </c>
      <c r="L355" s="218">
        <f t="shared" si="40"/>
        <v>17.52414405898331</v>
      </c>
      <c r="M355" s="218"/>
      <c r="N355" s="218"/>
      <c r="O355" s="218"/>
      <c r="P355" s="218"/>
      <c r="Q355" s="218"/>
      <c r="R355" s="218"/>
      <c r="S355" s="64"/>
    </row>
    <row r="356" spans="1:20" x14ac:dyDescent="0.25">
      <c r="A356" s="64" t="str">
        <f t="shared" si="35"/>
        <v>CIRC  508*14.2</v>
      </c>
      <c r="B356" s="163">
        <f t="shared" si="36"/>
        <v>172.92546788263388</v>
      </c>
      <c r="C356" s="64">
        <v>508</v>
      </c>
      <c r="D356" s="64">
        <v>14.2</v>
      </c>
      <c r="E356" s="64"/>
      <c r="F356" s="64"/>
      <c r="G356" s="64"/>
      <c r="H356" s="163">
        <f t="shared" si="37"/>
        <v>220.28722023265462</v>
      </c>
      <c r="I356" s="187">
        <f t="shared" si="38"/>
        <v>67198.638560693318</v>
      </c>
      <c r="J356" s="187">
        <f t="shared" si="39"/>
        <v>2645.6156913658783</v>
      </c>
      <c r="K356" s="228">
        <v>3463</v>
      </c>
      <c r="L356" s="218">
        <f t="shared" si="40"/>
        <v>17.465683496502507</v>
      </c>
      <c r="M356" s="218"/>
      <c r="N356" s="218"/>
      <c r="O356" s="218"/>
      <c r="P356" s="218"/>
      <c r="Q356" s="218"/>
      <c r="R356" s="218"/>
      <c r="S356" s="64"/>
    </row>
    <row r="357" spans="1:20" x14ac:dyDescent="0.25">
      <c r="A357" s="64" t="str">
        <f t="shared" ref="A357:A425" si="41">$B$225&amp;"  "&amp;C357&amp;"*"&amp;D357</f>
        <v>CIRC  508*16</v>
      </c>
      <c r="B357" s="163">
        <f t="shared" si="36"/>
        <v>194.13534634711198</v>
      </c>
      <c r="C357" s="64">
        <v>508</v>
      </c>
      <c r="D357" s="64">
        <v>16</v>
      </c>
      <c r="E357" s="64"/>
      <c r="F357" s="64"/>
      <c r="G357" s="64"/>
      <c r="H357" s="163">
        <f t="shared" si="37"/>
        <v>247.30617369058851</v>
      </c>
      <c r="I357" s="187">
        <f t="shared" si="38"/>
        <v>74909.040010879267</v>
      </c>
      <c r="J357" s="187">
        <f t="shared" si="39"/>
        <v>2949.1748035779237</v>
      </c>
      <c r="K357" s="228">
        <v>3874</v>
      </c>
      <c r="L357" s="218">
        <f t="shared" si="40"/>
        <v>17.40402252354323</v>
      </c>
      <c r="M357" s="218"/>
      <c r="N357" s="218"/>
      <c r="O357" s="218"/>
      <c r="P357" s="218"/>
      <c r="Q357" s="218"/>
      <c r="R357" s="218"/>
      <c r="S357" s="64"/>
    </row>
    <row r="358" spans="1:20" x14ac:dyDescent="0.25">
      <c r="A358" s="64" t="str">
        <f t="shared" si="41"/>
        <v>CIRC  508*20</v>
      </c>
      <c r="B358" s="163">
        <f t="shared" si="36"/>
        <v>240.69626274743561</v>
      </c>
      <c r="C358" s="64">
        <v>508</v>
      </c>
      <c r="D358" s="64">
        <v>20</v>
      </c>
      <c r="E358" s="64"/>
      <c r="F358" s="64"/>
      <c r="G358" s="64"/>
      <c r="H358" s="163">
        <f t="shared" si="37"/>
        <v>306.61944299036384</v>
      </c>
      <c r="I358" s="187">
        <f t="shared" si="38"/>
        <v>91427.785510866684</v>
      </c>
      <c r="J358" s="187">
        <f t="shared" si="39"/>
        <v>3599.5191146010502</v>
      </c>
      <c r="K358" s="228">
        <v>4766</v>
      </c>
      <c r="L358" s="218">
        <f t="shared" si="40"/>
        <v>17.267889274604467</v>
      </c>
      <c r="M358" s="218"/>
      <c r="N358" s="218"/>
      <c r="O358" s="218"/>
      <c r="P358" s="218"/>
      <c r="Q358" s="218"/>
      <c r="R358" s="218"/>
      <c r="S358" s="64"/>
    </row>
    <row r="359" spans="1:20" x14ac:dyDescent="0.25">
      <c r="A359" s="64" t="str">
        <f t="shared" si="41"/>
        <v>CIRC  508*25</v>
      </c>
      <c r="B359" s="163">
        <f t="shared" si="36"/>
        <v>297.7876406429595</v>
      </c>
      <c r="C359" s="64">
        <v>508</v>
      </c>
      <c r="D359" s="64">
        <v>25</v>
      </c>
      <c r="E359" s="64"/>
      <c r="F359" s="64"/>
      <c r="G359" s="64"/>
      <c r="H359" s="163">
        <f t="shared" si="37"/>
        <v>379.34731292096751</v>
      </c>
      <c r="I359" s="187">
        <f t="shared" si="38"/>
        <v>110918.30919324401</v>
      </c>
      <c r="J359" s="187">
        <f t="shared" si="39"/>
        <v>4366.8625666631497</v>
      </c>
      <c r="K359" s="228">
        <v>5837</v>
      </c>
      <c r="L359" s="218">
        <f t="shared" si="40"/>
        <v>17.099488296437414</v>
      </c>
      <c r="M359" s="218"/>
      <c r="N359" s="218"/>
      <c r="O359" s="218"/>
      <c r="P359" s="218"/>
      <c r="Q359" s="218"/>
      <c r="R359" s="218"/>
      <c r="S359" s="64"/>
    </row>
    <row r="360" spans="1:20" x14ac:dyDescent="0.25">
      <c r="A360" s="64" t="str">
        <f t="shared" si="41"/>
        <v>CIRC  508*30</v>
      </c>
      <c r="B360" s="163">
        <f t="shared" si="36"/>
        <v>353.64594342194943</v>
      </c>
      <c r="C360" s="64">
        <v>508</v>
      </c>
      <c r="D360" s="64">
        <v>30</v>
      </c>
      <c r="E360" s="64"/>
      <c r="F360" s="64"/>
      <c r="G360" s="64"/>
      <c r="H360" s="163">
        <f t="shared" si="37"/>
        <v>450.50438652477635</v>
      </c>
      <c r="I360" s="187">
        <f t="shared" si="38"/>
        <v>129173.12274824914</v>
      </c>
      <c r="J360" s="187">
        <f t="shared" si="39"/>
        <v>5085.5560137105958</v>
      </c>
      <c r="K360" s="228">
        <v>6864</v>
      </c>
      <c r="L360" s="218">
        <f t="shared" si="40"/>
        <v>16.933103672983286</v>
      </c>
      <c r="M360" s="218"/>
      <c r="N360" s="218"/>
      <c r="O360" s="218"/>
      <c r="P360" s="218"/>
      <c r="Q360" s="218"/>
      <c r="R360" s="218"/>
      <c r="S360" s="64"/>
    </row>
    <row r="361" spans="1:20" x14ac:dyDescent="0.25">
      <c r="A361" s="64" t="str">
        <f t="shared" si="41"/>
        <v>CIRC  508*40</v>
      </c>
      <c r="B361" s="163">
        <f t="shared" si="36"/>
        <v>461.66332363032734</v>
      </c>
      <c r="C361" s="64">
        <v>508</v>
      </c>
      <c r="D361" s="64">
        <v>40</v>
      </c>
      <c r="E361" s="64"/>
      <c r="F361" s="64"/>
      <c r="G361" s="64"/>
      <c r="H361" s="163">
        <f t="shared" si="37"/>
        <v>588.1061447520093</v>
      </c>
      <c r="I361" s="187">
        <f t="shared" si="38"/>
        <v>162187.91259970912</v>
      </c>
      <c r="J361" s="187">
        <f t="shared" si="39"/>
        <v>6385.350889752327</v>
      </c>
      <c r="K361" s="228">
        <v>8782</v>
      </c>
      <c r="L361" s="218">
        <f t="shared" si="40"/>
        <v>16.606625183943905</v>
      </c>
      <c r="M361" s="218"/>
      <c r="N361" s="218"/>
      <c r="O361" s="218"/>
      <c r="P361" s="218"/>
      <c r="Q361" s="218"/>
      <c r="R361" s="218"/>
      <c r="S361" s="64"/>
    </row>
    <row r="362" spans="1:20" x14ac:dyDescent="0.25">
      <c r="A362" s="64" t="str">
        <f>$B$225&amp;"  "&amp;C362&amp;"*"&amp;D362</f>
        <v>CIRC  508*50</v>
      </c>
      <c r="B362" s="163">
        <f>H362*0.785</f>
        <v>564.74840337256921</v>
      </c>
      <c r="C362" s="64">
        <v>508</v>
      </c>
      <c r="D362" s="64">
        <v>50</v>
      </c>
      <c r="E362" s="64"/>
      <c r="F362" s="64"/>
      <c r="G362" s="64"/>
      <c r="H362" s="163">
        <f>(C362^2-(C362-2*D362)^2)*PI()*0.01/4</f>
        <v>719.42471767206268</v>
      </c>
      <c r="I362" s="187">
        <f>(C362^4-(C362-2*D362)^4)*PI()*0.0001/64</f>
        <v>190884.96033992837</v>
      </c>
      <c r="J362" s="187">
        <f>I362/(C362*0.5*0.1)</f>
        <v>7515.1559188948168</v>
      </c>
      <c r="K362" s="228">
        <v>10530</v>
      </c>
      <c r="L362" s="218">
        <f>SQRT(I362/H362)</f>
        <v>16.288953311984169</v>
      </c>
      <c r="M362" s="218"/>
      <c r="N362" s="218"/>
      <c r="O362" s="218"/>
      <c r="P362" s="218"/>
      <c r="Q362" s="218"/>
      <c r="R362" s="218"/>
      <c r="S362" s="64"/>
    </row>
    <row r="363" spans="1:20" x14ac:dyDescent="0.25">
      <c r="A363" s="219" t="str">
        <f t="shared" si="41"/>
        <v>CIRC  610*6.3</v>
      </c>
      <c r="B363" s="168">
        <f t="shared" si="36"/>
        <v>93.795338429298383</v>
      </c>
      <c r="C363" s="167">
        <v>610</v>
      </c>
      <c r="D363" s="167">
        <v>6.3</v>
      </c>
      <c r="E363" s="167"/>
      <c r="F363" s="167"/>
      <c r="G363" s="167"/>
      <c r="H363" s="168">
        <f t="shared" si="37"/>
        <v>119.48450755324635</v>
      </c>
      <c r="I363" s="184">
        <f t="shared" si="38"/>
        <v>54439.140019647872</v>
      </c>
      <c r="J363" s="184">
        <f t="shared" si="39"/>
        <v>1784.8898367097663</v>
      </c>
      <c r="K363" s="229">
        <v>2296</v>
      </c>
      <c r="L363" s="220">
        <f t="shared" si="40"/>
        <v>21.345180369348022</v>
      </c>
      <c r="M363" s="220"/>
      <c r="N363" s="220"/>
      <c r="O363" s="220"/>
      <c r="P363" s="220"/>
      <c r="Q363" s="220"/>
      <c r="R363" s="220"/>
      <c r="S363" s="167"/>
      <c r="T363" s="221"/>
    </row>
    <row r="364" spans="1:20" x14ac:dyDescent="0.25">
      <c r="A364" s="222" t="str">
        <f t="shared" si="41"/>
        <v>CIRC  610*8</v>
      </c>
      <c r="B364" s="174">
        <f t="shared" si="36"/>
        <v>118.76979522455429</v>
      </c>
      <c r="C364" s="173">
        <v>610</v>
      </c>
      <c r="D364" s="173">
        <v>8</v>
      </c>
      <c r="E364" s="173"/>
      <c r="F364" s="173"/>
      <c r="G364" s="173"/>
      <c r="H364" s="174">
        <f t="shared" si="37"/>
        <v>151.29910219688443</v>
      </c>
      <c r="I364" s="185">
        <f t="shared" si="38"/>
        <v>68551.353718875383</v>
      </c>
      <c r="J364" s="185">
        <f t="shared" si="39"/>
        <v>2247.58536783198</v>
      </c>
      <c r="K364" s="230">
        <v>2899</v>
      </c>
      <c r="L364" s="223">
        <f t="shared" si="40"/>
        <v>21.285793384320915</v>
      </c>
      <c r="M364" s="223"/>
      <c r="N364" s="223"/>
      <c r="O364" s="223"/>
      <c r="P364" s="223"/>
      <c r="Q364" s="223"/>
      <c r="R364" s="223"/>
      <c r="S364" s="173"/>
      <c r="T364" s="224"/>
    </row>
    <row r="365" spans="1:20" x14ac:dyDescent="0.25">
      <c r="A365" s="222" t="str">
        <f t="shared" si="41"/>
        <v>CIRC  610*10</v>
      </c>
      <c r="B365" s="174">
        <f t="shared" si="36"/>
        <v>147.96901398407928</v>
      </c>
      <c r="C365" s="173">
        <v>610</v>
      </c>
      <c r="D365" s="173">
        <v>10</v>
      </c>
      <c r="E365" s="173"/>
      <c r="F365" s="173"/>
      <c r="G365" s="173"/>
      <c r="H365" s="174">
        <f t="shared" si="37"/>
        <v>188.4955592153876</v>
      </c>
      <c r="I365" s="185">
        <f t="shared" si="38"/>
        <v>84846.563591826343</v>
      </c>
      <c r="J365" s="185">
        <f t="shared" si="39"/>
        <v>2781.8545439943064</v>
      </c>
      <c r="K365" s="230">
        <v>3600</v>
      </c>
      <c r="L365" s="223">
        <f t="shared" si="40"/>
        <v>21.216149509277127</v>
      </c>
      <c r="M365" s="223"/>
      <c r="N365" s="223"/>
      <c r="O365" s="223"/>
      <c r="P365" s="223"/>
      <c r="Q365" s="223"/>
      <c r="R365" s="223"/>
      <c r="S365" s="173"/>
      <c r="T365" s="224"/>
    </row>
    <row r="366" spans="1:20" x14ac:dyDescent="0.25">
      <c r="A366" s="222" t="str">
        <f t="shared" si="41"/>
        <v>CIRC  610*12.5</v>
      </c>
      <c r="B366" s="174">
        <f t="shared" si="36"/>
        <v>184.19059553226535</v>
      </c>
      <c r="C366" s="173">
        <v>610</v>
      </c>
      <c r="D366" s="173">
        <v>12.5</v>
      </c>
      <c r="E366" s="173"/>
      <c r="F366" s="173"/>
      <c r="G366" s="173"/>
      <c r="H366" s="174">
        <f t="shared" si="37"/>
        <v>234.63770131498768</v>
      </c>
      <c r="I366" s="185">
        <f t="shared" si="38"/>
        <v>104754.73499489286</v>
      </c>
      <c r="J366" s="185">
        <f t="shared" si="39"/>
        <v>3434.5814752423889</v>
      </c>
      <c r="K366" s="230">
        <v>4463</v>
      </c>
      <c r="L366" s="223">
        <f t="shared" si="40"/>
        <v>21.12943740377391</v>
      </c>
      <c r="M366" s="223"/>
      <c r="N366" s="223"/>
      <c r="O366" s="223"/>
      <c r="P366" s="223"/>
      <c r="Q366" s="223"/>
      <c r="R366" s="223"/>
      <c r="S366" s="173"/>
      <c r="T366" s="224"/>
    </row>
    <row r="367" spans="1:20" x14ac:dyDescent="0.25">
      <c r="A367" s="222" t="str">
        <f t="shared" si="41"/>
        <v>CIRC  610*14.2</v>
      </c>
      <c r="B367" s="174">
        <f t="shared" si="36"/>
        <v>208.64518785839081</v>
      </c>
      <c r="C367" s="173">
        <v>610</v>
      </c>
      <c r="D367" s="173">
        <v>14.2</v>
      </c>
      <c r="E367" s="173"/>
      <c r="F367" s="173"/>
      <c r="G367" s="173"/>
      <c r="H367" s="174">
        <f t="shared" si="37"/>
        <v>265.79004822724943</v>
      </c>
      <c r="I367" s="185">
        <f t="shared" si="38"/>
        <v>118003.89745064963</v>
      </c>
      <c r="J367" s="185">
        <f t="shared" si="39"/>
        <v>3868.9802442835944</v>
      </c>
      <c r="K367" s="230">
        <v>5042</v>
      </c>
      <c r="L367" s="223">
        <f t="shared" si="40"/>
        <v>21.070692916940342</v>
      </c>
      <c r="M367" s="223"/>
      <c r="N367" s="223"/>
      <c r="O367" s="223"/>
      <c r="P367" s="223"/>
      <c r="Q367" s="223"/>
      <c r="R367" s="223"/>
      <c r="S367" s="173"/>
      <c r="T367" s="224"/>
    </row>
    <row r="368" spans="1:20" x14ac:dyDescent="0.25">
      <c r="A368" s="222" t="str">
        <f t="shared" si="41"/>
        <v>CIRC  610*16</v>
      </c>
      <c r="B368" s="174">
        <f t="shared" si="36"/>
        <v>234.38291815078156</v>
      </c>
      <c r="C368" s="173">
        <v>610</v>
      </c>
      <c r="D368" s="173">
        <v>16</v>
      </c>
      <c r="E368" s="173"/>
      <c r="F368" s="173"/>
      <c r="G368" s="173"/>
      <c r="H368" s="174">
        <f t="shared" si="37"/>
        <v>298.57696579717395</v>
      </c>
      <c r="I368" s="185">
        <f t="shared" si="38"/>
        <v>131781.4225090697</v>
      </c>
      <c r="J368" s="185">
        <f t="shared" si="39"/>
        <v>4320.7023773465471</v>
      </c>
      <c r="K368" s="230">
        <v>5647</v>
      </c>
      <c r="L368" s="223">
        <f t="shared" si="40"/>
        <v>21.008688678734806</v>
      </c>
      <c r="M368" s="223"/>
      <c r="N368" s="223"/>
      <c r="O368" s="223"/>
      <c r="P368" s="223"/>
      <c r="Q368" s="223"/>
      <c r="R368" s="223"/>
      <c r="S368" s="173"/>
      <c r="T368" s="224"/>
    </row>
    <row r="369" spans="1:20" x14ac:dyDescent="0.25">
      <c r="A369" s="222" t="str">
        <f t="shared" si="41"/>
        <v>CIRC  610*20</v>
      </c>
      <c r="B369" s="174">
        <f t="shared" si="36"/>
        <v>291.00572750202252</v>
      </c>
      <c r="C369" s="173">
        <v>610</v>
      </c>
      <c r="D369" s="173">
        <v>20</v>
      </c>
      <c r="E369" s="173"/>
      <c r="F369" s="173"/>
      <c r="G369" s="173"/>
      <c r="H369" s="174">
        <f t="shared" si="37"/>
        <v>370.70793312359558</v>
      </c>
      <c r="I369" s="185">
        <f t="shared" si="38"/>
        <v>161489.64336696634</v>
      </c>
      <c r="J369" s="185">
        <f t="shared" si="39"/>
        <v>5294.742405474306</v>
      </c>
      <c r="K369" s="230">
        <v>6965</v>
      </c>
      <c r="L369" s="223">
        <f t="shared" si="40"/>
        <v>20.871631464741803</v>
      </c>
      <c r="M369" s="223"/>
      <c r="N369" s="223"/>
      <c r="O369" s="223"/>
      <c r="P369" s="223"/>
      <c r="Q369" s="223"/>
      <c r="R369" s="223"/>
      <c r="S369" s="173"/>
      <c r="T369" s="224"/>
    </row>
    <row r="370" spans="1:20" x14ac:dyDescent="0.25">
      <c r="A370" s="222" t="str">
        <f t="shared" si="41"/>
        <v>CIRC  610*25</v>
      </c>
      <c r="B370" s="174">
        <f t="shared" si="36"/>
        <v>360.67447158619325</v>
      </c>
      <c r="C370" s="173">
        <v>610</v>
      </c>
      <c r="D370" s="173">
        <v>25</v>
      </c>
      <c r="E370" s="173"/>
      <c r="F370" s="173"/>
      <c r="G370" s="173"/>
      <c r="H370" s="174">
        <f t="shared" si="37"/>
        <v>459.4579255875073</v>
      </c>
      <c r="I370" s="185">
        <f t="shared" si="38"/>
        <v>196906.43723459606</v>
      </c>
      <c r="J370" s="185">
        <f t="shared" si="39"/>
        <v>6455.948761790035</v>
      </c>
      <c r="K370" s="230">
        <v>8561</v>
      </c>
      <c r="L370" s="223">
        <f t="shared" si="40"/>
        <v>20.701751133660164</v>
      </c>
      <c r="M370" s="223"/>
      <c r="N370" s="223"/>
      <c r="O370" s="223"/>
      <c r="P370" s="223"/>
      <c r="Q370" s="223"/>
      <c r="R370" s="223"/>
      <c r="S370" s="173"/>
      <c r="T370" s="224"/>
    </row>
    <row r="371" spans="1:20" x14ac:dyDescent="0.25">
      <c r="A371" s="222" t="str">
        <f t="shared" si="41"/>
        <v>CIRC  610*30</v>
      </c>
      <c r="B371" s="174">
        <f t="shared" si="36"/>
        <v>429.11014055382981</v>
      </c>
      <c r="C371" s="173">
        <v>610</v>
      </c>
      <c r="D371" s="173">
        <v>30</v>
      </c>
      <c r="E371" s="173"/>
      <c r="F371" s="173"/>
      <c r="G371" s="173"/>
      <c r="H371" s="174">
        <f t="shared" si="37"/>
        <v>546.63712172462397</v>
      </c>
      <c r="I371" s="185">
        <f t="shared" si="38"/>
        <v>230475.8764471446</v>
      </c>
      <c r="J371" s="185">
        <f t="shared" si="39"/>
        <v>7556.5861130211342</v>
      </c>
      <c r="K371" s="230">
        <v>10101</v>
      </c>
      <c r="L371" s="223">
        <f t="shared" si="40"/>
        <v>20.533509198381072</v>
      </c>
      <c r="M371" s="223"/>
      <c r="N371" s="223"/>
      <c r="O371" s="223"/>
      <c r="P371" s="223"/>
      <c r="Q371" s="223"/>
      <c r="R371" s="223"/>
      <c r="S371" s="173"/>
      <c r="T371" s="224"/>
    </row>
    <row r="372" spans="1:20" x14ac:dyDescent="0.25">
      <c r="A372" s="222" t="str">
        <f t="shared" si="41"/>
        <v>CIRC  610*40</v>
      </c>
      <c r="B372" s="174">
        <f t="shared" si="36"/>
        <v>562.28225313950111</v>
      </c>
      <c r="C372" s="173">
        <v>610</v>
      </c>
      <c r="D372" s="173">
        <v>40</v>
      </c>
      <c r="E372" s="173"/>
      <c r="F372" s="173"/>
      <c r="G372" s="173"/>
      <c r="H372" s="174">
        <f t="shared" si="37"/>
        <v>716.28312501847279</v>
      </c>
      <c r="I372" s="185">
        <f t="shared" si="38"/>
        <v>292333.05039816425</v>
      </c>
      <c r="J372" s="185">
        <f t="shared" si="39"/>
        <v>9584.6901769889919</v>
      </c>
      <c r="K372" s="230">
        <v>13017</v>
      </c>
      <c r="L372" s="223">
        <f t="shared" si="40"/>
        <v>20.202103850836924</v>
      </c>
      <c r="M372" s="223"/>
      <c r="N372" s="223"/>
      <c r="O372" s="223"/>
      <c r="P372" s="223"/>
      <c r="Q372" s="223"/>
      <c r="R372" s="223"/>
      <c r="S372" s="173"/>
      <c r="T372" s="224"/>
    </row>
    <row r="373" spans="1:20" x14ac:dyDescent="0.25">
      <c r="A373" s="225" t="str">
        <f t="shared" si="41"/>
        <v>CIRC  610*50</v>
      </c>
      <c r="B373" s="180">
        <f t="shared" si="36"/>
        <v>690.52206525903648</v>
      </c>
      <c r="C373" s="179">
        <v>610</v>
      </c>
      <c r="D373" s="179">
        <v>50</v>
      </c>
      <c r="E373" s="179"/>
      <c r="F373" s="179"/>
      <c r="G373" s="179"/>
      <c r="H373" s="180">
        <f t="shared" si="37"/>
        <v>879.64594300514204</v>
      </c>
      <c r="I373" s="186">
        <f t="shared" si="38"/>
        <v>347570.10322990676</v>
      </c>
      <c r="J373" s="186">
        <f t="shared" si="39"/>
        <v>11395.74108950514</v>
      </c>
      <c r="K373" s="231">
        <v>15722</v>
      </c>
      <c r="L373" s="226">
        <f t="shared" si="40"/>
        <v>19.87775138188422</v>
      </c>
      <c r="M373" s="226"/>
      <c r="N373" s="226"/>
      <c r="O373" s="226"/>
      <c r="P373" s="226"/>
      <c r="Q373" s="226"/>
      <c r="R373" s="226"/>
      <c r="S373" s="179"/>
      <c r="T373" s="227"/>
    </row>
    <row r="374" spans="1:20" x14ac:dyDescent="0.25">
      <c r="A374" s="64" t="str">
        <f t="shared" si="41"/>
        <v>CIRC  711*6.3</v>
      </c>
      <c r="B374" s="163">
        <f t="shared" si="36"/>
        <v>109.48745236231007</v>
      </c>
      <c r="C374" s="64">
        <v>711</v>
      </c>
      <c r="D374" s="64">
        <v>6.3</v>
      </c>
      <c r="E374" s="64"/>
      <c r="F374" s="64"/>
      <c r="G374" s="64"/>
      <c r="H374" s="163">
        <f t="shared" si="37"/>
        <v>139.4744616080383</v>
      </c>
      <c r="I374" s="187">
        <f t="shared" si="38"/>
        <v>86586.056096947257</v>
      </c>
      <c r="J374" s="187">
        <f t="shared" si="39"/>
        <v>2435.613392319191</v>
      </c>
      <c r="K374" s="228">
        <v>3129</v>
      </c>
      <c r="L374" s="218">
        <f t="shared" si="40"/>
        <v>24.915903054073716</v>
      </c>
      <c r="M374" s="218"/>
      <c r="N374" s="218"/>
      <c r="O374" s="218"/>
      <c r="P374" s="218"/>
      <c r="Q374" s="218"/>
      <c r="R374" s="218"/>
      <c r="S374" s="64"/>
    </row>
    <row r="375" spans="1:20" x14ac:dyDescent="0.25">
      <c r="A375" s="64" t="str">
        <f t="shared" si="41"/>
        <v>CIRC  711*8</v>
      </c>
      <c r="B375" s="163">
        <f t="shared" si="36"/>
        <v>138.69628910774361</v>
      </c>
      <c r="C375" s="64">
        <v>711</v>
      </c>
      <c r="D375" s="64">
        <v>8</v>
      </c>
      <c r="E375" s="64"/>
      <c r="F375" s="64"/>
      <c r="G375" s="64"/>
      <c r="H375" s="163">
        <f t="shared" si="37"/>
        <v>176.68317083788995</v>
      </c>
      <c r="I375" s="187">
        <f t="shared" si="38"/>
        <v>109162.15112444549</v>
      </c>
      <c r="J375" s="187">
        <f t="shared" si="39"/>
        <v>3070.6652918268769</v>
      </c>
      <c r="K375" s="228">
        <v>3954</v>
      </c>
      <c r="L375" s="218">
        <f t="shared" si="40"/>
        <v>24.85641265347838</v>
      </c>
      <c r="M375" s="218"/>
      <c r="N375" s="218"/>
      <c r="O375" s="218"/>
      <c r="P375" s="218"/>
      <c r="Q375" s="218"/>
      <c r="R375" s="218"/>
      <c r="S375" s="64"/>
    </row>
    <row r="376" spans="1:20" x14ac:dyDescent="0.25">
      <c r="A376" s="64" t="str">
        <f t="shared" si="41"/>
        <v>CIRC  711*10</v>
      </c>
      <c r="B376" s="163">
        <f t="shared" si="36"/>
        <v>172.87713133806591</v>
      </c>
      <c r="C376" s="64">
        <v>711</v>
      </c>
      <c r="D376" s="64">
        <v>10</v>
      </c>
      <c r="E376" s="64"/>
      <c r="F376" s="64"/>
      <c r="G376" s="64"/>
      <c r="H376" s="163">
        <f t="shared" si="37"/>
        <v>220.22564501664448</v>
      </c>
      <c r="I376" s="187">
        <f t="shared" si="38"/>
        <v>135301.40593915724</v>
      </c>
      <c r="J376" s="187">
        <f t="shared" si="39"/>
        <v>3805.9467212139866</v>
      </c>
      <c r="K376" s="228">
        <v>4914</v>
      </c>
      <c r="L376" s="218">
        <f t="shared" si="40"/>
        <v>24.786614331126387</v>
      </c>
      <c r="M376" s="218"/>
      <c r="N376" s="218"/>
      <c r="O376" s="218"/>
      <c r="P376" s="218"/>
      <c r="Q376" s="218"/>
      <c r="R376" s="218"/>
      <c r="S376" s="64"/>
    </row>
    <row r="377" spans="1:20" x14ac:dyDescent="0.25">
      <c r="A377" s="64" t="str">
        <f t="shared" si="41"/>
        <v>CIRC  711*12.5</v>
      </c>
      <c r="B377" s="163">
        <f t="shared" si="36"/>
        <v>215.32574222474869</v>
      </c>
      <c r="C377" s="64">
        <v>711</v>
      </c>
      <c r="D377" s="64">
        <v>12.5</v>
      </c>
      <c r="E377" s="64"/>
      <c r="F377" s="64"/>
      <c r="G377" s="64"/>
      <c r="H377" s="163">
        <f t="shared" si="37"/>
        <v>274.30030856655884</v>
      </c>
      <c r="I377" s="187">
        <f t="shared" si="38"/>
        <v>167343.2464356648</v>
      </c>
      <c r="J377" s="187">
        <f t="shared" si="39"/>
        <v>4707.2643160524549</v>
      </c>
      <c r="K377" s="228">
        <v>6099</v>
      </c>
      <c r="L377" s="218">
        <f t="shared" si="40"/>
        <v>24.699658398447536</v>
      </c>
      <c r="M377" s="218"/>
      <c r="N377" s="218"/>
      <c r="O377" s="218"/>
      <c r="P377" s="218"/>
      <c r="Q377" s="218"/>
      <c r="R377" s="218"/>
      <c r="S377" s="64"/>
    </row>
    <row r="378" spans="1:20" x14ac:dyDescent="0.25">
      <c r="A378" s="64" t="str">
        <f t="shared" si="41"/>
        <v>CIRC  711*14.2</v>
      </c>
      <c r="B378" s="163">
        <f t="shared" si="36"/>
        <v>244.01471450105183</v>
      </c>
      <c r="C378" s="64">
        <v>711</v>
      </c>
      <c r="D378" s="64">
        <v>14.2</v>
      </c>
      <c r="E378" s="64"/>
      <c r="F378" s="64"/>
      <c r="G378" s="64"/>
      <c r="H378" s="163">
        <f t="shared" si="37"/>
        <v>310.84677006503415</v>
      </c>
      <c r="I378" s="187">
        <f t="shared" si="38"/>
        <v>188735.232519521</v>
      </c>
      <c r="J378" s="187">
        <f t="shared" si="39"/>
        <v>5309.0079471032623</v>
      </c>
      <c r="K378" s="228">
        <v>6895</v>
      </c>
      <c r="L378" s="218">
        <f t="shared" si="40"/>
        <v>24.640715289942378</v>
      </c>
      <c r="M378" s="218"/>
      <c r="N378" s="218"/>
      <c r="O378" s="218"/>
      <c r="P378" s="218"/>
      <c r="Q378" s="218"/>
      <c r="R378" s="218"/>
      <c r="S378" s="64"/>
    </row>
    <row r="379" spans="1:20" x14ac:dyDescent="0.25">
      <c r="A379" s="64" t="str">
        <f t="shared" si="41"/>
        <v>CIRC  711*16</v>
      </c>
      <c r="B379" s="163">
        <f t="shared" si="36"/>
        <v>274.23590591716021</v>
      </c>
      <c r="C379" s="64">
        <v>711</v>
      </c>
      <c r="D379" s="64">
        <v>16</v>
      </c>
      <c r="E379" s="64"/>
      <c r="F379" s="64"/>
      <c r="G379" s="64"/>
      <c r="H379" s="163">
        <f t="shared" si="37"/>
        <v>349.34510307918498</v>
      </c>
      <c r="I379" s="187">
        <f t="shared" si="38"/>
        <v>211039.81345151452</v>
      </c>
      <c r="J379" s="187">
        <f t="shared" si="39"/>
        <v>5936.4223193112375</v>
      </c>
      <c r="K379" s="228">
        <v>7730</v>
      </c>
      <c r="L379" s="218">
        <f t="shared" si="40"/>
        <v>24.57847127060591</v>
      </c>
      <c r="M379" s="218"/>
      <c r="N379" s="218"/>
      <c r="O379" s="218"/>
      <c r="P379" s="218"/>
      <c r="Q379" s="218"/>
      <c r="R379" s="218"/>
      <c r="S379" s="64"/>
    </row>
    <row r="380" spans="1:20" x14ac:dyDescent="0.25">
      <c r="A380" s="64" t="str">
        <f t="shared" si="41"/>
        <v>CIRC  711*20</v>
      </c>
      <c r="B380" s="163">
        <f t="shared" si="36"/>
        <v>340.82196220999589</v>
      </c>
      <c r="C380" s="64">
        <v>711</v>
      </c>
      <c r="D380" s="64">
        <v>20</v>
      </c>
      <c r="E380" s="64"/>
      <c r="F380" s="64"/>
      <c r="G380" s="64"/>
      <c r="H380" s="163">
        <f t="shared" si="37"/>
        <v>434.16810472610939</v>
      </c>
      <c r="I380" s="187">
        <f t="shared" si="38"/>
        <v>259350.86006827236</v>
      </c>
      <c r="J380" s="187">
        <f t="shared" si="39"/>
        <v>7295.3828429893765</v>
      </c>
      <c r="K380" s="228">
        <v>9552</v>
      </c>
      <c r="L380" s="218">
        <f t="shared" si="40"/>
        <v>24.440770241545174</v>
      </c>
      <c r="M380" s="218"/>
      <c r="N380" s="218"/>
      <c r="O380" s="218"/>
      <c r="P380" s="218"/>
      <c r="Q380" s="218"/>
      <c r="R380" s="218"/>
      <c r="S380" s="64"/>
    </row>
    <row r="381" spans="1:20" x14ac:dyDescent="0.25">
      <c r="A381" s="64" t="str">
        <f t="shared" si="41"/>
        <v>CIRC  711*25</v>
      </c>
      <c r="B381" s="163">
        <f t="shared" si="36"/>
        <v>422.94476497115994</v>
      </c>
      <c r="C381" s="64">
        <v>711</v>
      </c>
      <c r="D381" s="64">
        <v>25</v>
      </c>
      <c r="E381" s="64"/>
      <c r="F381" s="64"/>
      <c r="G381" s="64"/>
      <c r="H381" s="163">
        <f t="shared" si="37"/>
        <v>538.78314009064957</v>
      </c>
      <c r="I381" s="187">
        <f t="shared" si="38"/>
        <v>317357.41257081996</v>
      </c>
      <c r="J381" s="187">
        <f t="shared" si="39"/>
        <v>8927.0720835673674</v>
      </c>
      <c r="K381" s="228">
        <v>11770</v>
      </c>
      <c r="L381" s="218">
        <f t="shared" si="40"/>
        <v>24.269862999201294</v>
      </c>
      <c r="M381" s="218"/>
      <c r="N381" s="218"/>
      <c r="O381" s="218"/>
      <c r="P381" s="218"/>
      <c r="Q381" s="218"/>
      <c r="R381" s="218"/>
      <c r="S381" s="64"/>
    </row>
    <row r="382" spans="1:20" x14ac:dyDescent="0.25">
      <c r="A382" s="64" t="str">
        <f t="shared" si="41"/>
        <v>CIRC  711*30</v>
      </c>
      <c r="B382" s="163">
        <f t="shared" si="36"/>
        <v>503.83449261578994</v>
      </c>
      <c r="C382" s="64">
        <v>711</v>
      </c>
      <c r="D382" s="64">
        <v>30</v>
      </c>
      <c r="E382" s="64"/>
      <c r="F382" s="64"/>
      <c r="G382" s="64"/>
      <c r="H382" s="163">
        <f t="shared" si="37"/>
        <v>641.8273791283948</v>
      </c>
      <c r="I382" s="187">
        <f t="shared" si="38"/>
        <v>372790.18976647378</v>
      </c>
      <c r="J382" s="187">
        <f t="shared" si="39"/>
        <v>10486.362581335407</v>
      </c>
      <c r="K382" s="228">
        <v>13922</v>
      </c>
      <c r="L382" s="218">
        <f t="shared" si="40"/>
        <v>24.100337134571376</v>
      </c>
      <c r="M382" s="218"/>
      <c r="N382" s="218"/>
      <c r="O382" s="218"/>
      <c r="P382" s="218"/>
      <c r="Q382" s="218"/>
      <c r="R382" s="218"/>
      <c r="S382" s="64"/>
    </row>
    <row r="383" spans="1:20" x14ac:dyDescent="0.25">
      <c r="A383" s="64" t="str">
        <f t="shared" si="41"/>
        <v>CIRC  711*40</v>
      </c>
      <c r="B383" s="163">
        <f t="shared" si="36"/>
        <v>661.91472255544795</v>
      </c>
      <c r="C383" s="64">
        <v>711</v>
      </c>
      <c r="D383" s="64">
        <v>40</v>
      </c>
      <c r="E383" s="64"/>
      <c r="F383" s="64"/>
      <c r="G383" s="64"/>
      <c r="H383" s="163">
        <f t="shared" si="37"/>
        <v>843.20346822350052</v>
      </c>
      <c r="I383" s="187">
        <f t="shared" si="38"/>
        <v>476242.37285696832</v>
      </c>
      <c r="J383" s="187">
        <f t="shared" si="39"/>
        <v>13396.409925653115</v>
      </c>
      <c r="K383" s="228">
        <v>18031</v>
      </c>
      <c r="L383" s="218">
        <f t="shared" si="40"/>
        <v>23.765547542608818</v>
      </c>
      <c r="M383" s="218"/>
      <c r="N383" s="218"/>
      <c r="O383" s="218"/>
      <c r="P383" s="218"/>
      <c r="Q383" s="218"/>
      <c r="R383" s="218"/>
      <c r="S383" s="64"/>
    </row>
    <row r="384" spans="1:20" x14ac:dyDescent="0.25">
      <c r="A384" s="64" t="str">
        <f t="shared" si="41"/>
        <v>CIRC  711*50</v>
      </c>
      <c r="B384" s="163">
        <f t="shared" si="36"/>
        <v>815.06265202896998</v>
      </c>
      <c r="C384" s="64">
        <v>711</v>
      </c>
      <c r="D384" s="64">
        <v>50</v>
      </c>
      <c r="E384" s="64"/>
      <c r="F384" s="64"/>
      <c r="G384" s="64"/>
      <c r="H384" s="163">
        <f t="shared" si="37"/>
        <v>1038.2963720114267</v>
      </c>
      <c r="I384" s="187">
        <f t="shared" si="38"/>
        <v>570311.53760704142</v>
      </c>
      <c r="J384" s="187">
        <f t="shared" si="39"/>
        <v>16042.518638735341</v>
      </c>
      <c r="K384" s="228">
        <v>21888</v>
      </c>
      <c r="L384" s="218">
        <f t="shared" si="40"/>
        <v>23.436643317676701</v>
      </c>
      <c r="M384" s="218"/>
      <c r="N384" s="218"/>
      <c r="O384" s="218"/>
      <c r="P384" s="218"/>
      <c r="Q384" s="218"/>
      <c r="R384" s="218"/>
      <c r="S384" s="64"/>
    </row>
    <row r="385" spans="1:20" x14ac:dyDescent="0.25">
      <c r="A385" s="64" t="str">
        <f t="shared" si="41"/>
        <v>CIRC  711*60</v>
      </c>
      <c r="B385" s="163">
        <f t="shared" si="36"/>
        <v>963.27828103635602</v>
      </c>
      <c r="C385" s="64">
        <v>711</v>
      </c>
      <c r="D385" s="64">
        <v>60</v>
      </c>
      <c r="E385" s="64"/>
      <c r="F385" s="64"/>
      <c r="G385" s="64"/>
      <c r="H385" s="163">
        <f t="shared" si="37"/>
        <v>1227.1060904921733</v>
      </c>
      <c r="I385" s="187">
        <f t="shared" si="38"/>
        <v>655582.96272805671</v>
      </c>
      <c r="J385" s="187">
        <f t="shared" si="39"/>
        <v>18441.152256766713</v>
      </c>
      <c r="K385" s="228">
        <v>25500</v>
      </c>
      <c r="L385" s="218">
        <f t="shared" si="40"/>
        <v>23.113875702702913</v>
      </c>
      <c r="M385" s="218"/>
      <c r="N385" s="218"/>
      <c r="O385" s="218"/>
      <c r="P385" s="218"/>
      <c r="Q385" s="218"/>
      <c r="R385" s="218"/>
      <c r="S385" s="64"/>
    </row>
    <row r="386" spans="1:20" x14ac:dyDescent="0.25">
      <c r="A386" s="219" t="str">
        <f t="shared" si="41"/>
        <v>CIRC  762*6.3</v>
      </c>
      <c r="B386" s="168">
        <f t="shared" si="36"/>
        <v>117.41119306115722</v>
      </c>
      <c r="C386" s="167">
        <v>762</v>
      </c>
      <c r="D386" s="167">
        <v>6.3</v>
      </c>
      <c r="E386" s="167"/>
      <c r="F386" s="167"/>
      <c r="G386" s="167"/>
      <c r="H386" s="168">
        <f t="shared" si="37"/>
        <v>149.56839880402194</v>
      </c>
      <c r="I386" s="184">
        <f t="shared" si="38"/>
        <v>106777.28748007804</v>
      </c>
      <c r="J386" s="184">
        <f t="shared" si="39"/>
        <v>2802.5534771674024</v>
      </c>
      <c r="K386" s="229">
        <v>3598</v>
      </c>
      <c r="L386" s="220">
        <f t="shared" si="40"/>
        <v>26.7189581570839</v>
      </c>
      <c r="M386" s="220"/>
      <c r="N386" s="220"/>
      <c r="O386" s="220"/>
      <c r="P386" s="220"/>
      <c r="Q386" s="220"/>
      <c r="R386" s="220"/>
      <c r="S386" s="167"/>
      <c r="T386" s="221"/>
    </row>
    <row r="387" spans="1:20" x14ac:dyDescent="0.25">
      <c r="A387" s="222" t="str">
        <f t="shared" si="41"/>
        <v>CIRC  762*8</v>
      </c>
      <c r="B387" s="174">
        <f t="shared" si="36"/>
        <v>148.75818205866102</v>
      </c>
      <c r="C387" s="173">
        <v>762</v>
      </c>
      <c r="D387" s="173">
        <v>8</v>
      </c>
      <c r="E387" s="173"/>
      <c r="F387" s="173"/>
      <c r="G387" s="173"/>
      <c r="H387" s="174">
        <f t="shared" si="37"/>
        <v>189.50086886453633</v>
      </c>
      <c r="I387" s="185">
        <f t="shared" si="38"/>
        <v>134683.0050237476</v>
      </c>
      <c r="J387" s="185">
        <f t="shared" si="39"/>
        <v>3534.9870084973122</v>
      </c>
      <c r="K387" s="230">
        <v>4548</v>
      </c>
      <c r="L387" s="223">
        <f t="shared" si="40"/>
        <v>26.659426100349574</v>
      </c>
      <c r="M387" s="223"/>
      <c r="N387" s="223"/>
      <c r="O387" s="223"/>
      <c r="P387" s="223"/>
      <c r="Q387" s="223"/>
      <c r="R387" s="223"/>
      <c r="S387" s="173"/>
      <c r="T387" s="224"/>
    </row>
    <row r="388" spans="1:20" x14ac:dyDescent="0.25">
      <c r="A388" s="222" t="str">
        <f t="shared" si="41"/>
        <v>CIRC  762*10</v>
      </c>
      <c r="B388" s="174">
        <f t="shared" si="36"/>
        <v>185.45449752671269</v>
      </c>
      <c r="C388" s="173">
        <v>762</v>
      </c>
      <c r="D388" s="173">
        <v>10</v>
      </c>
      <c r="E388" s="173"/>
      <c r="F388" s="173"/>
      <c r="G388" s="173"/>
      <c r="H388" s="174">
        <f t="shared" si="37"/>
        <v>236.24776754995244</v>
      </c>
      <c r="I388" s="185">
        <f t="shared" si="38"/>
        <v>167028.35289665413</v>
      </c>
      <c r="J388" s="185">
        <f t="shared" si="39"/>
        <v>4383.9462702533892</v>
      </c>
      <c r="K388" s="230">
        <v>5655</v>
      </c>
      <c r="L388" s="223">
        <f t="shared" si="40"/>
        <v>26.589565622627234</v>
      </c>
      <c r="M388" s="223"/>
      <c r="N388" s="223"/>
      <c r="O388" s="223"/>
      <c r="P388" s="223"/>
      <c r="Q388" s="223"/>
      <c r="R388" s="223"/>
      <c r="S388" s="173"/>
      <c r="T388" s="224"/>
    </row>
    <row r="389" spans="1:20" x14ac:dyDescent="0.25">
      <c r="A389" s="222" t="str">
        <f t="shared" si="41"/>
        <v>CIRC  762*12.5</v>
      </c>
      <c r="B389" s="174">
        <f t="shared" si="36"/>
        <v>231.04744996055709</v>
      </c>
      <c r="C389" s="173">
        <v>762</v>
      </c>
      <c r="D389" s="173">
        <v>12.5</v>
      </c>
      <c r="E389" s="173"/>
      <c r="F389" s="173"/>
      <c r="G389" s="173"/>
      <c r="H389" s="174">
        <f t="shared" si="37"/>
        <v>294.32796173319372</v>
      </c>
      <c r="I389" s="185">
        <f t="shared" si="38"/>
        <v>206730.99353704107</v>
      </c>
      <c r="J389" s="185">
        <f t="shared" si="39"/>
        <v>5426.0103290561956</v>
      </c>
      <c r="K389" s="230">
        <v>7023</v>
      </c>
      <c r="L389" s="223">
        <f t="shared" si="40"/>
        <v>26.502511673424468</v>
      </c>
      <c r="M389" s="223"/>
      <c r="N389" s="223"/>
      <c r="O389" s="223"/>
      <c r="P389" s="223"/>
      <c r="Q389" s="223"/>
      <c r="R389" s="223"/>
      <c r="S389" s="173"/>
      <c r="T389" s="224"/>
    </row>
    <row r="390" spans="1:20" x14ac:dyDescent="0.25">
      <c r="A390" s="222" t="str">
        <f t="shared" si="41"/>
        <v>CIRC  762*14.2</v>
      </c>
      <c r="B390" s="174">
        <f t="shared" si="36"/>
        <v>261.8745744889298</v>
      </c>
      <c r="C390" s="173">
        <v>762</v>
      </c>
      <c r="D390" s="173">
        <v>14.2</v>
      </c>
      <c r="E390" s="173"/>
      <c r="F390" s="173"/>
      <c r="G390" s="173"/>
      <c r="H390" s="174">
        <f t="shared" si="37"/>
        <v>333.59818406233092</v>
      </c>
      <c r="I390" s="185">
        <f t="shared" si="38"/>
        <v>233271.23235087577</v>
      </c>
      <c r="J390" s="185">
        <f t="shared" si="39"/>
        <v>6122.6045236450327</v>
      </c>
      <c r="K390" s="230">
        <v>7942</v>
      </c>
      <c r="L390" s="223">
        <f t="shared" si="40"/>
        <v>26.443488801593482</v>
      </c>
      <c r="M390" s="223"/>
      <c r="N390" s="223"/>
      <c r="O390" s="223"/>
      <c r="P390" s="223"/>
      <c r="Q390" s="223"/>
      <c r="R390" s="223"/>
      <c r="S390" s="173"/>
      <c r="T390" s="224"/>
    </row>
    <row r="391" spans="1:20" x14ac:dyDescent="0.25">
      <c r="A391" s="222" t="str">
        <f t="shared" si="41"/>
        <v>CIRC  762*16</v>
      </c>
      <c r="B391" s="174">
        <f t="shared" si="36"/>
        <v>294.35969181899497</v>
      </c>
      <c r="C391" s="173">
        <v>762</v>
      </c>
      <c r="D391" s="173">
        <v>16</v>
      </c>
      <c r="E391" s="173"/>
      <c r="F391" s="173"/>
      <c r="G391" s="173"/>
      <c r="H391" s="174">
        <f t="shared" si="37"/>
        <v>374.98049913247769</v>
      </c>
      <c r="I391" s="185">
        <f t="shared" si="38"/>
        <v>260973.30307873484</v>
      </c>
      <c r="J391" s="185">
        <f t="shared" si="39"/>
        <v>6849.6929941925155</v>
      </c>
      <c r="K391" s="230">
        <v>8906</v>
      </c>
      <c r="L391" s="223">
        <f t="shared" si="40"/>
        <v>26.381148572418148</v>
      </c>
      <c r="M391" s="223"/>
      <c r="N391" s="223"/>
      <c r="O391" s="223"/>
      <c r="P391" s="223"/>
      <c r="Q391" s="223"/>
      <c r="R391" s="223"/>
      <c r="S391" s="173"/>
      <c r="T391" s="224"/>
    </row>
    <row r="392" spans="1:20" x14ac:dyDescent="0.25">
      <c r="A392" s="222" t="str">
        <f t="shared" si="41"/>
        <v>CIRC  762*20</v>
      </c>
      <c r="B392" s="174">
        <f t="shared" si="36"/>
        <v>365.97669458728939</v>
      </c>
      <c r="C392" s="173">
        <v>762</v>
      </c>
      <c r="D392" s="173">
        <v>20</v>
      </c>
      <c r="E392" s="173"/>
      <c r="F392" s="173"/>
      <c r="G392" s="173"/>
      <c r="H392" s="174">
        <f t="shared" si="37"/>
        <v>466.21234979272532</v>
      </c>
      <c r="I392" s="185">
        <f t="shared" si="38"/>
        <v>321082.77636399888</v>
      </c>
      <c r="J392" s="185">
        <f t="shared" si="39"/>
        <v>8427.3694583726738</v>
      </c>
      <c r="K392" s="230">
        <v>11014</v>
      </c>
      <c r="L392" s="223">
        <f t="shared" si="40"/>
        <v>26.243189592730531</v>
      </c>
      <c r="M392" s="223"/>
      <c r="N392" s="223"/>
      <c r="O392" s="223"/>
      <c r="P392" s="223"/>
      <c r="Q392" s="223"/>
      <c r="R392" s="223"/>
      <c r="S392" s="173"/>
      <c r="T392" s="224"/>
    </row>
    <row r="393" spans="1:20" x14ac:dyDescent="0.25">
      <c r="A393" s="222" t="str">
        <f>$B$225&amp;"  "&amp;C393&amp;"*"&amp;D393</f>
        <v>CIRC  762*25</v>
      </c>
      <c r="B393" s="174">
        <f>H393*0.785</f>
        <v>454.38818044277679</v>
      </c>
      <c r="C393" s="173">
        <v>762</v>
      </c>
      <c r="D393" s="173">
        <v>25</v>
      </c>
      <c r="E393" s="173"/>
      <c r="F393" s="173"/>
      <c r="G393" s="173"/>
      <c r="H393" s="174">
        <f>(C393^2-(C393-2*D393)^2)*PI()*0.01/4</f>
        <v>578.83844642391944</v>
      </c>
      <c r="I393" s="185">
        <f>(C393^4-(C393-2*D393)^4)*PI()*0.0001/64</f>
        <v>393461.09266831103</v>
      </c>
      <c r="J393" s="185">
        <f>I393/(C393*0.5*0.1)</f>
        <v>10327.062799693202</v>
      </c>
      <c r="K393" s="230">
        <v>13584</v>
      </c>
      <c r="L393" s="223">
        <f>SQRT(I393/H393)</f>
        <v>26.071871816193021</v>
      </c>
      <c r="M393" s="223"/>
      <c r="N393" s="223"/>
      <c r="O393" s="223"/>
      <c r="P393" s="223"/>
      <c r="Q393" s="223"/>
      <c r="R393" s="223"/>
      <c r="S393" s="173"/>
      <c r="T393" s="224"/>
    </row>
    <row r="394" spans="1:20" x14ac:dyDescent="0.25">
      <c r="A394" s="222" t="str">
        <f>$B$225&amp;"  "&amp;C394&amp;"*"&amp;D394</f>
        <v>CIRC  762*30</v>
      </c>
      <c r="B394" s="174">
        <f>H394*0.785</f>
        <v>541.56659118173013</v>
      </c>
      <c r="C394" s="173">
        <v>762</v>
      </c>
      <c r="D394" s="173">
        <v>30</v>
      </c>
      <c r="E394" s="173"/>
      <c r="F394" s="173"/>
      <c r="G394" s="173"/>
      <c r="H394" s="174">
        <f>(C394^2-(C394-2*D394)^2)*PI()*0.01/4</f>
        <v>689.89374672831855</v>
      </c>
      <c r="I394" s="185">
        <f>(C394^4-(C394-2*D394)^4)*PI()*0.0001/64</f>
        <v>462853.16414876265</v>
      </c>
      <c r="J394" s="185">
        <f>I394/(C394*0.5*0.1)</f>
        <v>12148.377011778546</v>
      </c>
      <c r="K394" s="230">
        <v>16084</v>
      </c>
      <c r="L394" s="223">
        <f>SQRT(I394/H394)</f>
        <v>25.901833911906703</v>
      </c>
      <c r="M394" s="223"/>
      <c r="N394" s="223"/>
      <c r="O394" s="223"/>
      <c r="P394" s="223"/>
      <c r="Q394" s="223"/>
      <c r="R394" s="223"/>
      <c r="S394" s="173"/>
      <c r="T394" s="224"/>
    </row>
    <row r="395" spans="1:20" x14ac:dyDescent="0.25">
      <c r="A395" s="222" t="str">
        <f>$B$225&amp;"  "&amp;C395&amp;"*"&amp;D395</f>
        <v>CIRC  762*40</v>
      </c>
      <c r="B395" s="174">
        <f>H395*0.785</f>
        <v>712.22418731003484</v>
      </c>
      <c r="C395" s="173">
        <v>762</v>
      </c>
      <c r="D395" s="173">
        <v>40</v>
      </c>
      <c r="E395" s="173"/>
      <c r="F395" s="173"/>
      <c r="G395" s="173"/>
      <c r="H395" s="174">
        <f>(C395^2-(C395-2*D395)^2)*PI()*0.01/4</f>
        <v>907.29195835673227</v>
      </c>
      <c r="I395" s="185">
        <f>(C395^4-(C395-2*D395)^4)*PI()*0.0001/64</f>
        <v>593010.56044175196</v>
      </c>
      <c r="J395" s="185">
        <f>I395/(C395*0.5*0.1)</f>
        <v>15564.581638891126</v>
      </c>
      <c r="K395" s="230">
        <v>20873</v>
      </c>
      <c r="L395" s="223">
        <f>SQRT(I395/H395)</f>
        <v>25.565699677497584</v>
      </c>
      <c r="M395" s="223"/>
      <c r="N395" s="223"/>
      <c r="O395" s="223"/>
      <c r="P395" s="223"/>
      <c r="Q395" s="223"/>
      <c r="R395" s="223"/>
      <c r="S395" s="173"/>
      <c r="T395" s="224"/>
    </row>
    <row r="396" spans="1:20" x14ac:dyDescent="0.25">
      <c r="A396" s="225" t="str">
        <f>$B$225&amp;"  "&amp;C396&amp;"*"&amp;D396</f>
        <v>CIRC  762*50</v>
      </c>
      <c r="B396" s="180">
        <f>H396*0.785</f>
        <v>877.94948297220367</v>
      </c>
      <c r="C396" s="179">
        <v>762</v>
      </c>
      <c r="D396" s="179">
        <v>50</v>
      </c>
      <c r="E396" s="179"/>
      <c r="F396" s="179"/>
      <c r="G396" s="179"/>
      <c r="H396" s="180">
        <f>(C396^2-(C396-2*D396)^2)*PI()*0.01/4</f>
        <v>1118.4069846779664</v>
      </c>
      <c r="I396" s="186">
        <f>(C396^4-(C396-2*D396)^4)*PI()*0.0001/64</f>
        <v>712207.15987785242</v>
      </c>
      <c r="J396" s="186">
        <f>I396/(C396*0.5*0.1)</f>
        <v>18693.101309129983</v>
      </c>
      <c r="K396" s="231">
        <v>25389</v>
      </c>
      <c r="L396" s="226">
        <f>SQRT(I396/H396)</f>
        <v>25.23499554190569</v>
      </c>
      <c r="M396" s="226"/>
      <c r="N396" s="226"/>
      <c r="O396" s="226"/>
      <c r="P396" s="226"/>
      <c r="Q396" s="226"/>
      <c r="R396" s="226"/>
      <c r="S396" s="179"/>
      <c r="T396" s="227"/>
    </row>
    <row r="397" spans="1:20" x14ac:dyDescent="0.25">
      <c r="A397" s="64" t="str">
        <f t="shared" si="41"/>
        <v>CIRC  813*8</v>
      </c>
      <c r="B397" s="163">
        <f t="shared" si="36"/>
        <v>158.8200750095784</v>
      </c>
      <c r="C397" s="64">
        <v>813</v>
      </c>
      <c r="D397" s="64">
        <v>8</v>
      </c>
      <c r="E397" s="64"/>
      <c r="F397" s="64"/>
      <c r="G397" s="64"/>
      <c r="H397" s="163">
        <f t="shared" si="37"/>
        <v>202.31856689118268</v>
      </c>
      <c r="I397" s="187">
        <f t="shared" si="38"/>
        <v>163900.54712242461</v>
      </c>
      <c r="J397" s="187">
        <f t="shared" si="39"/>
        <v>4031.9937791494363</v>
      </c>
      <c r="K397" s="228">
        <v>5184</v>
      </c>
      <c r="L397" s="218">
        <f t="shared" si="40"/>
        <v>28.462453337686824</v>
      </c>
      <c r="M397" s="218"/>
      <c r="N397" s="218"/>
      <c r="O397" s="218"/>
      <c r="P397" s="218"/>
      <c r="Q397" s="218"/>
      <c r="R397" s="218"/>
      <c r="S397" s="64"/>
    </row>
    <row r="398" spans="1:20" x14ac:dyDescent="0.25">
      <c r="A398" s="64" t="str">
        <f t="shared" si="41"/>
        <v>CIRC  813*10</v>
      </c>
      <c r="B398" s="163">
        <f t="shared" si="36"/>
        <v>198.03186371535944</v>
      </c>
      <c r="C398" s="64">
        <v>813</v>
      </c>
      <c r="D398" s="64">
        <v>10</v>
      </c>
      <c r="E398" s="64"/>
      <c r="F398" s="64"/>
      <c r="G398" s="64"/>
      <c r="H398" s="163">
        <f t="shared" si="37"/>
        <v>252.26989008326041</v>
      </c>
      <c r="I398" s="187">
        <f t="shared" si="38"/>
        <v>203363.90317963171</v>
      </c>
      <c r="J398" s="187">
        <f t="shared" si="39"/>
        <v>5002.8020462394015</v>
      </c>
      <c r="K398" s="228">
        <v>6448</v>
      </c>
      <c r="L398" s="218">
        <f t="shared" si="40"/>
        <v>28.392538632535132</v>
      </c>
      <c r="M398" s="218"/>
      <c r="N398" s="218"/>
      <c r="O398" s="218"/>
      <c r="P398" s="218"/>
      <c r="Q398" s="218"/>
      <c r="R398" s="218"/>
      <c r="S398" s="64"/>
    </row>
    <row r="399" spans="1:20" x14ac:dyDescent="0.25">
      <c r="A399" s="64" t="str">
        <f t="shared" si="41"/>
        <v>CIRC  813*12.5</v>
      </c>
      <c r="B399" s="163">
        <f t="shared" si="36"/>
        <v>246.76915769636554</v>
      </c>
      <c r="C399" s="64">
        <v>813</v>
      </c>
      <c r="D399" s="64">
        <v>12.5</v>
      </c>
      <c r="E399" s="64"/>
      <c r="F399" s="64"/>
      <c r="G399" s="64"/>
      <c r="H399" s="163">
        <f t="shared" si="37"/>
        <v>314.35561489982871</v>
      </c>
      <c r="I399" s="187">
        <f t="shared" si="38"/>
        <v>251860.34335192759</v>
      </c>
      <c r="J399" s="187">
        <f t="shared" si="39"/>
        <v>6195.8264047214652</v>
      </c>
      <c r="K399" s="228">
        <v>8011</v>
      </c>
      <c r="L399" s="218">
        <f t="shared" si="40"/>
        <v>28.305399219936824</v>
      </c>
      <c r="M399" s="218"/>
      <c r="N399" s="218"/>
      <c r="O399" s="218"/>
      <c r="P399" s="218"/>
      <c r="Q399" s="218"/>
      <c r="R399" s="218"/>
      <c r="S399" s="64"/>
    </row>
    <row r="400" spans="1:20" x14ac:dyDescent="0.25">
      <c r="A400" s="64" t="str">
        <f t="shared" si="41"/>
        <v>CIRC  813*14.2</v>
      </c>
      <c r="B400" s="163">
        <f t="shared" si="36"/>
        <v>279.73443447680842</v>
      </c>
      <c r="C400" s="64">
        <v>813</v>
      </c>
      <c r="D400" s="64">
        <v>14.2</v>
      </c>
      <c r="E400" s="64"/>
      <c r="F400" s="64"/>
      <c r="G400" s="64"/>
      <c r="H400" s="163">
        <f t="shared" si="37"/>
        <v>356.34959805962853</v>
      </c>
      <c r="I400" s="187">
        <f t="shared" si="38"/>
        <v>284314.89875782729</v>
      </c>
      <c r="J400" s="187">
        <f t="shared" si="39"/>
        <v>6994.2164516070661</v>
      </c>
      <c r="K400" s="228">
        <v>9062</v>
      </c>
      <c r="L400" s="218">
        <f t="shared" si="40"/>
        <v>28.246306838239942</v>
      </c>
      <c r="M400" s="218"/>
      <c r="N400" s="218"/>
      <c r="O400" s="218"/>
      <c r="P400" s="218"/>
      <c r="Q400" s="218"/>
      <c r="R400" s="218"/>
      <c r="S400" s="64"/>
    </row>
    <row r="401" spans="1:20" x14ac:dyDescent="0.25">
      <c r="A401" s="64" t="str">
        <f t="shared" si="41"/>
        <v>CIRC  813*16</v>
      </c>
      <c r="B401" s="163">
        <f t="shared" si="36"/>
        <v>314.4834777208298</v>
      </c>
      <c r="C401" s="64">
        <v>813</v>
      </c>
      <c r="D401" s="64">
        <v>16</v>
      </c>
      <c r="E401" s="64"/>
      <c r="F401" s="64"/>
      <c r="G401" s="64"/>
      <c r="H401" s="163">
        <f t="shared" si="37"/>
        <v>400.61589518577046</v>
      </c>
      <c r="I401" s="187">
        <f t="shared" si="38"/>
        <v>318221.72479278204</v>
      </c>
      <c r="J401" s="187">
        <f t="shared" si="39"/>
        <v>7828.3327132295699</v>
      </c>
      <c r="K401" s="228">
        <v>10165</v>
      </c>
      <c r="L401" s="218">
        <f t="shared" si="40"/>
        <v>28.183882805603631</v>
      </c>
      <c r="M401" s="218"/>
      <c r="N401" s="218"/>
      <c r="O401" s="218"/>
      <c r="P401" s="218"/>
      <c r="Q401" s="218"/>
      <c r="R401" s="218"/>
      <c r="S401" s="64"/>
    </row>
    <row r="402" spans="1:20" x14ac:dyDescent="0.25">
      <c r="A402" s="64" t="str">
        <f t="shared" si="41"/>
        <v>CIRC  813*20</v>
      </c>
      <c r="B402" s="163">
        <f t="shared" si="36"/>
        <v>391.13142696458283</v>
      </c>
      <c r="C402" s="64">
        <v>813</v>
      </c>
      <c r="D402" s="64">
        <v>20</v>
      </c>
      <c r="E402" s="64"/>
      <c r="F402" s="64"/>
      <c r="G402" s="64"/>
      <c r="H402" s="163">
        <f t="shared" si="37"/>
        <v>498.25659485934119</v>
      </c>
      <c r="I402" s="187">
        <f t="shared" si="38"/>
        <v>391909.33007330704</v>
      </c>
      <c r="J402" s="187">
        <f t="shared" si="39"/>
        <v>9641.065930462657</v>
      </c>
      <c r="K402" s="228">
        <v>12580</v>
      </c>
      <c r="L402" s="218">
        <f t="shared" si="40"/>
        <v>28.045699313798544</v>
      </c>
      <c r="M402" s="218"/>
      <c r="N402" s="218"/>
      <c r="O402" s="218"/>
      <c r="P402" s="218"/>
      <c r="Q402" s="218"/>
      <c r="R402" s="218"/>
      <c r="S402" s="64"/>
    </row>
    <row r="403" spans="1:20" x14ac:dyDescent="0.25">
      <c r="A403" s="64" t="str">
        <f t="shared" si="41"/>
        <v>CIRC  813*25</v>
      </c>
      <c r="B403" s="163">
        <f t="shared" si="36"/>
        <v>485.83159591439352</v>
      </c>
      <c r="C403" s="64">
        <v>813</v>
      </c>
      <c r="D403" s="64">
        <v>25</v>
      </c>
      <c r="E403" s="64"/>
      <c r="F403" s="64"/>
      <c r="G403" s="64"/>
      <c r="H403" s="163">
        <f t="shared" si="37"/>
        <v>618.89375275718919</v>
      </c>
      <c r="I403" s="187">
        <f t="shared" si="38"/>
        <v>480856.46375941671</v>
      </c>
      <c r="J403" s="187">
        <f t="shared" si="39"/>
        <v>11829.187300354653</v>
      </c>
      <c r="K403" s="228">
        <v>15529</v>
      </c>
      <c r="L403" s="218">
        <f t="shared" si="40"/>
        <v>27.874024646613197</v>
      </c>
      <c r="M403" s="218"/>
      <c r="N403" s="218"/>
      <c r="O403" s="218"/>
      <c r="P403" s="218"/>
      <c r="Q403" s="218"/>
      <c r="R403" s="218"/>
      <c r="S403" s="64"/>
    </row>
    <row r="404" spans="1:20" x14ac:dyDescent="0.25">
      <c r="A404" s="64" t="str">
        <f t="shared" si="41"/>
        <v>CIRC  813*30</v>
      </c>
      <c r="B404" s="163">
        <f t="shared" si="36"/>
        <v>579.29868974767032</v>
      </c>
      <c r="C404" s="64">
        <v>813</v>
      </c>
      <c r="D404" s="64">
        <v>30</v>
      </c>
      <c r="E404" s="64"/>
      <c r="F404" s="64"/>
      <c r="G404" s="64"/>
      <c r="H404" s="163">
        <f t="shared" si="37"/>
        <v>737.96011432824241</v>
      </c>
      <c r="I404" s="187">
        <f t="shared" si="38"/>
        <v>566374.24079535401</v>
      </c>
      <c r="J404" s="187">
        <f t="shared" si="39"/>
        <v>13932.945653022236</v>
      </c>
      <c r="K404" s="228">
        <v>18402</v>
      </c>
      <c r="L404" s="218">
        <f t="shared" si="40"/>
        <v>27.70354219229014</v>
      </c>
      <c r="M404" s="218"/>
      <c r="N404" s="218"/>
      <c r="O404" s="218"/>
      <c r="P404" s="218"/>
      <c r="Q404" s="218"/>
      <c r="R404" s="218"/>
      <c r="S404" s="64"/>
    </row>
    <row r="405" spans="1:20" x14ac:dyDescent="0.25">
      <c r="A405" s="219" t="str">
        <f t="shared" si="41"/>
        <v>CIRC  914*8</v>
      </c>
      <c r="B405" s="168">
        <f t="shared" si="36"/>
        <v>178.74656889276775</v>
      </c>
      <c r="C405" s="167">
        <v>914</v>
      </c>
      <c r="D405" s="167">
        <v>8</v>
      </c>
      <c r="E405" s="167"/>
      <c r="F405" s="167"/>
      <c r="G405" s="167"/>
      <c r="H405" s="168">
        <f t="shared" si="37"/>
        <v>227.70263553218822</v>
      </c>
      <c r="I405" s="184">
        <f t="shared" si="38"/>
        <v>233651.36688546665</v>
      </c>
      <c r="J405" s="184">
        <f t="shared" si="39"/>
        <v>5112.7213760495979</v>
      </c>
      <c r="K405" s="229">
        <v>6567</v>
      </c>
      <c r="L405" s="220">
        <f t="shared" si="40"/>
        <v>32.0331859171079</v>
      </c>
      <c r="M405" s="220"/>
      <c r="N405" s="220"/>
      <c r="O405" s="220"/>
      <c r="P405" s="220"/>
      <c r="Q405" s="220"/>
      <c r="R405" s="220"/>
      <c r="S405" s="167"/>
      <c r="T405" s="221"/>
    </row>
    <row r="406" spans="1:20" x14ac:dyDescent="0.25">
      <c r="A406" s="222" t="str">
        <f t="shared" si="41"/>
        <v>CIRC  914*10</v>
      </c>
      <c r="B406" s="174">
        <f t="shared" si="36"/>
        <v>222.93998106934609</v>
      </c>
      <c r="C406" s="173">
        <v>914</v>
      </c>
      <c r="D406" s="173">
        <v>10</v>
      </c>
      <c r="E406" s="173"/>
      <c r="F406" s="173"/>
      <c r="G406" s="173"/>
      <c r="H406" s="174">
        <f t="shared" si="37"/>
        <v>283.99997588451731</v>
      </c>
      <c r="I406" s="185">
        <f t="shared" si="38"/>
        <v>290147.15536253771</v>
      </c>
      <c r="J406" s="185">
        <f t="shared" si="39"/>
        <v>6348.9530713903214</v>
      </c>
      <c r="K406" s="230">
        <v>8172</v>
      </c>
      <c r="L406" s="223">
        <f t="shared" si="40"/>
        <v>31.963181944230772</v>
      </c>
      <c r="M406" s="223"/>
      <c r="N406" s="223"/>
      <c r="O406" s="223"/>
      <c r="P406" s="223"/>
      <c r="Q406" s="223"/>
      <c r="R406" s="223"/>
      <c r="S406" s="173"/>
      <c r="T406" s="224"/>
    </row>
    <row r="407" spans="1:20" x14ac:dyDescent="0.25">
      <c r="A407" s="222" t="str">
        <f t="shared" si="41"/>
        <v>CIRC  914*12.5</v>
      </c>
      <c r="B407" s="174">
        <f t="shared" si="36"/>
        <v>277.90430438884886</v>
      </c>
      <c r="C407" s="173">
        <v>914</v>
      </c>
      <c r="D407" s="173">
        <v>12.5</v>
      </c>
      <c r="E407" s="173"/>
      <c r="F407" s="173"/>
      <c r="G407" s="173"/>
      <c r="H407" s="174">
        <f t="shared" si="37"/>
        <v>354.01822215139981</v>
      </c>
      <c r="I407" s="185">
        <f t="shared" si="38"/>
        <v>359708.40128831705</v>
      </c>
      <c r="J407" s="185">
        <f t="shared" si="39"/>
        <v>7871.0809909916197</v>
      </c>
      <c r="K407" s="230">
        <v>10159</v>
      </c>
      <c r="L407" s="223">
        <f t="shared" si="40"/>
        <v>31.875901948023369</v>
      </c>
      <c r="M407" s="223"/>
      <c r="N407" s="223"/>
      <c r="O407" s="223"/>
      <c r="P407" s="223"/>
      <c r="Q407" s="223"/>
      <c r="R407" s="223"/>
      <c r="S407" s="173"/>
      <c r="T407" s="224"/>
    </row>
    <row r="408" spans="1:20" x14ac:dyDescent="0.25">
      <c r="A408" s="222" t="str">
        <f t="shared" si="41"/>
        <v>CIRC  914*14.2</v>
      </c>
      <c r="B408" s="174">
        <f t="shared" si="36"/>
        <v>315.10396111946977</v>
      </c>
      <c r="C408" s="173">
        <v>914</v>
      </c>
      <c r="D408" s="173">
        <v>14.2</v>
      </c>
      <c r="E408" s="173"/>
      <c r="F408" s="173"/>
      <c r="G408" s="173"/>
      <c r="H408" s="174">
        <f t="shared" si="37"/>
        <v>401.40631989741371</v>
      </c>
      <c r="I408" s="185">
        <f t="shared" si="38"/>
        <v>406344.46058542392</v>
      </c>
      <c r="J408" s="185">
        <f t="shared" si="39"/>
        <v>8891.5636889589478</v>
      </c>
      <c r="K408" s="230">
        <v>11498</v>
      </c>
      <c r="L408" s="223">
        <f t="shared" si="40"/>
        <v>31.816695302938058</v>
      </c>
      <c r="M408" s="223"/>
      <c r="N408" s="223"/>
      <c r="O408" s="223"/>
      <c r="P408" s="223"/>
      <c r="Q408" s="223"/>
      <c r="R408" s="223"/>
      <c r="S408" s="173"/>
      <c r="T408" s="224"/>
    </row>
    <row r="409" spans="1:20" x14ac:dyDescent="0.25">
      <c r="A409" s="222" t="str">
        <f t="shared" si="41"/>
        <v>CIRC  914*16</v>
      </c>
      <c r="B409" s="174">
        <f t="shared" si="36"/>
        <v>354.3364654872085</v>
      </c>
      <c r="C409" s="173">
        <v>914</v>
      </c>
      <c r="D409" s="173">
        <v>16</v>
      </c>
      <c r="E409" s="173"/>
      <c r="F409" s="173"/>
      <c r="G409" s="173"/>
      <c r="H409" s="174">
        <f t="shared" si="37"/>
        <v>451.38403246778154</v>
      </c>
      <c r="I409" s="185">
        <f t="shared" si="38"/>
        <v>455141.80453807575</v>
      </c>
      <c r="J409" s="185">
        <f t="shared" si="39"/>
        <v>9959.3392677915908</v>
      </c>
      <c r="K409" s="230">
        <v>12904</v>
      </c>
      <c r="L409" s="223">
        <f t="shared" si="40"/>
        <v>31.754133589188037</v>
      </c>
      <c r="M409" s="223"/>
      <c r="N409" s="223"/>
      <c r="O409" s="223"/>
      <c r="P409" s="223"/>
      <c r="Q409" s="223"/>
      <c r="R409" s="223"/>
      <c r="S409" s="173"/>
      <c r="T409" s="224"/>
    </row>
    <row r="410" spans="1:20" x14ac:dyDescent="0.25">
      <c r="A410" s="222" t="str">
        <f t="shared" si="41"/>
        <v>CIRC  914*20</v>
      </c>
      <c r="B410" s="174">
        <f t="shared" si="36"/>
        <v>440.94766167255625</v>
      </c>
      <c r="C410" s="173">
        <v>914</v>
      </c>
      <c r="D410" s="173">
        <v>20</v>
      </c>
      <c r="E410" s="173"/>
      <c r="F410" s="173"/>
      <c r="G410" s="173"/>
      <c r="H410" s="174">
        <f t="shared" si="37"/>
        <v>561.71676646185506</v>
      </c>
      <c r="I410" s="185">
        <f t="shared" si="38"/>
        <v>561461.18533311493</v>
      </c>
      <c r="J410" s="185">
        <f t="shared" si="39"/>
        <v>12285.802742518925</v>
      </c>
      <c r="K410" s="230">
        <v>15987</v>
      </c>
      <c r="L410" s="223">
        <f t="shared" si="40"/>
        <v>31.615581601482521</v>
      </c>
      <c r="M410" s="223"/>
      <c r="N410" s="223"/>
      <c r="O410" s="223"/>
      <c r="P410" s="223"/>
      <c r="Q410" s="223"/>
      <c r="R410" s="223"/>
      <c r="S410" s="173"/>
      <c r="T410" s="224"/>
    </row>
    <row r="411" spans="1:20" x14ac:dyDescent="0.25">
      <c r="A411" s="222" t="str">
        <f t="shared" si="41"/>
        <v>CIRC  914*25</v>
      </c>
      <c r="B411" s="174">
        <f t="shared" ref="B411:B439" si="42">H411*0.785</f>
        <v>548.10188929936032</v>
      </c>
      <c r="C411" s="173">
        <v>914</v>
      </c>
      <c r="D411" s="173">
        <v>25</v>
      </c>
      <c r="E411" s="173"/>
      <c r="F411" s="173"/>
      <c r="G411" s="173"/>
      <c r="H411" s="174">
        <f t="shared" ref="H411:H439" si="43">(C411^2-(C411-2*D411)^2)*PI()*0.01/4</f>
        <v>698.21896726033162</v>
      </c>
      <c r="I411" s="185">
        <f t="shared" ref="I411:I439" si="44">(C411^4-(C411-2*D411)^4)*PI()*0.0001/64</f>
        <v>690316.87409836275</v>
      </c>
      <c r="J411" s="185">
        <f t="shared" ref="J411:J439" si="45">I411/(C411*0.5*0.1)</f>
        <v>15105.402059045136</v>
      </c>
      <c r="K411" s="230">
        <v>19763</v>
      </c>
      <c r="L411" s="223">
        <f t="shared" ref="L411:L439" si="46">SQRT(I411/H411)</f>
        <v>31.443322025511232</v>
      </c>
      <c r="M411" s="223"/>
      <c r="N411" s="223"/>
      <c r="O411" s="223"/>
      <c r="P411" s="223"/>
      <c r="Q411" s="223"/>
      <c r="R411" s="223"/>
      <c r="S411" s="173"/>
      <c r="T411" s="224"/>
    </row>
    <row r="412" spans="1:20" x14ac:dyDescent="0.25">
      <c r="A412" s="225" t="str">
        <f t="shared" si="41"/>
        <v>CIRC  914*30</v>
      </c>
      <c r="B412" s="180">
        <f t="shared" si="42"/>
        <v>654.02304180963029</v>
      </c>
      <c r="C412" s="179">
        <v>914</v>
      </c>
      <c r="D412" s="179">
        <v>30</v>
      </c>
      <c r="E412" s="179"/>
      <c r="F412" s="179"/>
      <c r="G412" s="179"/>
      <c r="H412" s="180">
        <f t="shared" si="43"/>
        <v>833.15037173201313</v>
      </c>
      <c r="I412" s="186">
        <f t="shared" si="44"/>
        <v>814775.24028346362</v>
      </c>
      <c r="J412" s="186">
        <f t="shared" si="45"/>
        <v>17828.779874911674</v>
      </c>
      <c r="K412" s="231">
        <v>23453</v>
      </c>
      <c r="L412" s="226">
        <f t="shared" si="46"/>
        <v>31.272112176826177</v>
      </c>
      <c r="M412" s="226"/>
      <c r="N412" s="226"/>
      <c r="O412" s="226"/>
      <c r="P412" s="226"/>
      <c r="Q412" s="226"/>
      <c r="R412" s="226"/>
      <c r="S412" s="179"/>
      <c r="T412" s="227"/>
    </row>
    <row r="413" spans="1:20" x14ac:dyDescent="0.25">
      <c r="A413" s="64" t="str">
        <f t="shared" si="41"/>
        <v>CIRC  1016*8</v>
      </c>
      <c r="B413" s="163">
        <f t="shared" si="42"/>
        <v>198.87035479460255</v>
      </c>
      <c r="C413" s="64">
        <v>1016</v>
      </c>
      <c r="D413" s="64">
        <v>8</v>
      </c>
      <c r="E413" s="64"/>
      <c r="F413" s="64"/>
      <c r="G413" s="64"/>
      <c r="H413" s="163">
        <f t="shared" si="43"/>
        <v>253.33803158548093</v>
      </c>
      <c r="I413" s="187">
        <f t="shared" si="44"/>
        <v>321779.83419861447</v>
      </c>
      <c r="J413" s="187">
        <f t="shared" si="45"/>
        <v>6334.2487046971346</v>
      </c>
      <c r="K413" s="228">
        <v>8129</v>
      </c>
      <c r="L413" s="218">
        <f t="shared" si="46"/>
        <v>35.639304145844378</v>
      </c>
      <c r="M413" s="218"/>
      <c r="N413" s="218"/>
      <c r="O413" s="218"/>
      <c r="P413" s="218"/>
      <c r="Q413" s="218"/>
      <c r="R413" s="218"/>
      <c r="S413" s="64"/>
    </row>
    <row r="414" spans="1:20" x14ac:dyDescent="0.25">
      <c r="A414" s="64" t="str">
        <f t="shared" si="41"/>
        <v>CIRC  1016*10</v>
      </c>
      <c r="B414" s="163">
        <f t="shared" si="42"/>
        <v>248.09471344663956</v>
      </c>
      <c r="C414" s="64">
        <v>1016</v>
      </c>
      <c r="D414" s="64">
        <v>10</v>
      </c>
      <c r="E414" s="64"/>
      <c r="F414" s="64"/>
      <c r="G414" s="64"/>
      <c r="H414" s="163">
        <f t="shared" si="43"/>
        <v>316.04422095113318</v>
      </c>
      <c r="I414" s="187">
        <f t="shared" si="44"/>
        <v>399849.66702074523</v>
      </c>
      <c r="J414" s="187">
        <f t="shared" si="45"/>
        <v>7871.0564374162441</v>
      </c>
      <c r="K414" s="228">
        <v>10121</v>
      </c>
      <c r="L414" s="218">
        <f t="shared" si="46"/>
        <v>35.569228273888655</v>
      </c>
      <c r="M414" s="218"/>
      <c r="N414" s="218"/>
      <c r="O414" s="218"/>
      <c r="P414" s="218"/>
      <c r="Q414" s="218"/>
      <c r="R414" s="218"/>
      <c r="S414" s="64"/>
    </row>
    <row r="415" spans="1:20" x14ac:dyDescent="0.25">
      <c r="A415" s="64" t="str">
        <f t="shared" si="41"/>
        <v>CIRC  1016*12.5</v>
      </c>
      <c r="B415" s="163">
        <f t="shared" si="42"/>
        <v>309.3477198604657</v>
      </c>
      <c r="C415" s="64">
        <v>1016</v>
      </c>
      <c r="D415" s="64">
        <v>12.5</v>
      </c>
      <c r="E415" s="64"/>
      <c r="F415" s="64"/>
      <c r="G415" s="64"/>
      <c r="H415" s="163">
        <f t="shared" si="43"/>
        <v>394.07352848466968</v>
      </c>
      <c r="I415" s="187">
        <f t="shared" si="44"/>
        <v>496123.05571701512</v>
      </c>
      <c r="J415" s="187">
        <f t="shared" si="45"/>
        <v>9766.2018841932095</v>
      </c>
      <c r="K415" s="228">
        <v>12588</v>
      </c>
      <c r="L415" s="218">
        <f t="shared" si="46"/>
        <v>35.481835141379037</v>
      </c>
      <c r="M415" s="218"/>
      <c r="N415" s="218"/>
      <c r="O415" s="218"/>
      <c r="P415" s="218"/>
      <c r="Q415" s="218"/>
      <c r="R415" s="218"/>
      <c r="S415" s="64"/>
    </row>
    <row r="416" spans="1:20" x14ac:dyDescent="0.25">
      <c r="A416" s="64" t="str">
        <f t="shared" si="41"/>
        <v>CIRC  1016*14.2</v>
      </c>
      <c r="B416" s="163">
        <f t="shared" si="42"/>
        <v>350.82368109522639</v>
      </c>
      <c r="C416" s="64">
        <v>1016</v>
      </c>
      <c r="D416" s="64">
        <v>14.2</v>
      </c>
      <c r="E416" s="64"/>
      <c r="F416" s="64"/>
      <c r="G416" s="64"/>
      <c r="H416" s="163">
        <f t="shared" si="43"/>
        <v>446.90914789200815</v>
      </c>
      <c r="I416" s="187">
        <f t="shared" si="44"/>
        <v>560761.97946329962</v>
      </c>
      <c r="J416" s="187">
        <f t="shared" si="45"/>
        <v>11038.621642978338</v>
      </c>
      <c r="K416" s="228">
        <v>14252</v>
      </c>
      <c r="L416" s="218">
        <f t="shared" si="46"/>
        <v>35.422536611597998</v>
      </c>
      <c r="M416" s="218"/>
      <c r="N416" s="218"/>
      <c r="O416" s="218"/>
      <c r="P416" s="218"/>
      <c r="Q416" s="218"/>
      <c r="R416" s="218"/>
      <c r="S416" s="64"/>
    </row>
    <row r="417" spans="1:20" x14ac:dyDescent="0.25">
      <c r="A417" s="64" t="str">
        <f t="shared" si="41"/>
        <v>CIRC  1016*16</v>
      </c>
      <c r="B417" s="163">
        <f t="shared" si="42"/>
        <v>394.58403729087803</v>
      </c>
      <c r="C417" s="64">
        <v>1016</v>
      </c>
      <c r="D417" s="64">
        <v>16</v>
      </c>
      <c r="E417" s="64"/>
      <c r="F417" s="64"/>
      <c r="G417" s="64"/>
      <c r="H417" s="163">
        <f t="shared" si="43"/>
        <v>502.6548245743669</v>
      </c>
      <c r="I417" s="187">
        <f t="shared" si="44"/>
        <v>628479.38026182249</v>
      </c>
      <c r="J417" s="187">
        <f t="shared" si="45"/>
        <v>12371.641343736663</v>
      </c>
      <c r="K417" s="228">
        <v>16001</v>
      </c>
      <c r="L417" s="218">
        <f t="shared" si="46"/>
        <v>35.359864253133104</v>
      </c>
      <c r="M417" s="218"/>
      <c r="N417" s="218"/>
      <c r="O417" s="218"/>
      <c r="P417" s="218"/>
      <c r="Q417" s="218"/>
      <c r="R417" s="218"/>
      <c r="S417" s="64"/>
    </row>
    <row r="418" spans="1:20" x14ac:dyDescent="0.25">
      <c r="A418" s="64" t="str">
        <f t="shared" si="41"/>
        <v>CIRC  1016*20</v>
      </c>
      <c r="B418" s="163">
        <f t="shared" si="42"/>
        <v>491.25712642714313</v>
      </c>
      <c r="C418" s="64">
        <v>1016</v>
      </c>
      <c r="D418" s="64">
        <v>20</v>
      </c>
      <c r="E418" s="64"/>
      <c r="F418" s="64"/>
      <c r="G418" s="64"/>
      <c r="H418" s="163">
        <f t="shared" si="43"/>
        <v>625.8052565950868</v>
      </c>
      <c r="I418" s="187">
        <f t="shared" si="44"/>
        <v>776323.93691133708</v>
      </c>
      <c r="J418" s="187">
        <f t="shared" si="45"/>
        <v>15281.967262034193</v>
      </c>
      <c r="K418" s="228">
        <v>19843</v>
      </c>
      <c r="L418" s="218">
        <f t="shared" si="46"/>
        <v>35.221016453248481</v>
      </c>
      <c r="M418" s="218"/>
      <c r="N418" s="218"/>
      <c r="O418" s="218"/>
      <c r="P418" s="218"/>
      <c r="Q418" s="218"/>
      <c r="R418" s="218"/>
      <c r="S418" s="64"/>
    </row>
    <row r="419" spans="1:20" x14ac:dyDescent="0.25">
      <c r="A419" s="64" t="str">
        <f t="shared" si="41"/>
        <v>CIRC  1016*25</v>
      </c>
      <c r="B419" s="163">
        <f t="shared" si="42"/>
        <v>610.9887202425939</v>
      </c>
      <c r="C419" s="64">
        <v>1016</v>
      </c>
      <c r="D419" s="64">
        <v>25</v>
      </c>
      <c r="E419" s="64"/>
      <c r="F419" s="64"/>
      <c r="G419" s="64"/>
      <c r="H419" s="163">
        <f t="shared" si="43"/>
        <v>778.32957992687125</v>
      </c>
      <c r="I419" s="187">
        <f t="shared" si="44"/>
        <v>956086.43521451997</v>
      </c>
      <c r="J419" s="187">
        <f t="shared" si="45"/>
        <v>18820.599118396061</v>
      </c>
      <c r="K419" s="228">
        <v>24557</v>
      </c>
      <c r="L419" s="218">
        <f t="shared" si="46"/>
        <v>35.048288117966621</v>
      </c>
      <c r="M419" s="218"/>
      <c r="N419" s="218"/>
      <c r="O419" s="218"/>
      <c r="P419" s="218"/>
      <c r="Q419" s="218"/>
      <c r="R419" s="218"/>
      <c r="S419" s="64"/>
    </row>
    <row r="420" spans="1:20" x14ac:dyDescent="0.25">
      <c r="A420" s="64" t="str">
        <f t="shared" si="41"/>
        <v>CIRC  1016*30</v>
      </c>
      <c r="B420" s="163">
        <f t="shared" si="42"/>
        <v>729.48723894151078</v>
      </c>
      <c r="C420" s="64">
        <v>1016</v>
      </c>
      <c r="D420" s="64">
        <v>30</v>
      </c>
      <c r="E420" s="64"/>
      <c r="F420" s="64"/>
      <c r="G420" s="64"/>
      <c r="H420" s="163">
        <f t="shared" si="43"/>
        <v>929.28310693186086</v>
      </c>
      <c r="I420" s="187">
        <f t="shared" si="44"/>
        <v>1130352.0927787076</v>
      </c>
      <c r="J420" s="187">
        <f t="shared" si="45"/>
        <v>22251.025448399756</v>
      </c>
      <c r="K420" s="228">
        <v>29175</v>
      </c>
      <c r="L420" s="218">
        <f t="shared" si="46"/>
        <v>34.876496383667899</v>
      </c>
      <c r="M420" s="218"/>
      <c r="N420" s="218"/>
      <c r="O420" s="218"/>
      <c r="P420" s="218"/>
      <c r="Q420" s="218"/>
      <c r="R420" s="218"/>
      <c r="S420" s="64"/>
    </row>
    <row r="421" spans="1:20" x14ac:dyDescent="0.25">
      <c r="A421" s="219" t="str">
        <f t="shared" si="41"/>
        <v>CIRC  1067*10</v>
      </c>
      <c r="B421" s="168">
        <f t="shared" si="42"/>
        <v>260.67207963528631</v>
      </c>
      <c r="C421" s="167">
        <v>1067</v>
      </c>
      <c r="D421" s="167">
        <v>10</v>
      </c>
      <c r="E421" s="167"/>
      <c r="F421" s="167"/>
      <c r="G421" s="167"/>
      <c r="H421" s="168">
        <f t="shared" si="43"/>
        <v>332.06634348444118</v>
      </c>
      <c r="I421" s="184">
        <f t="shared" si="44"/>
        <v>463792.49603249598</v>
      </c>
      <c r="J421" s="184">
        <f t="shared" si="45"/>
        <v>8693.3926154169822</v>
      </c>
      <c r="K421" s="229">
        <v>11173</v>
      </c>
      <c r="L421" s="220">
        <f t="shared" si="46"/>
        <v>37.37226578627525</v>
      </c>
      <c r="M421" s="220"/>
      <c r="N421" s="220"/>
      <c r="O421" s="220"/>
      <c r="P421" s="220"/>
      <c r="Q421" s="220"/>
      <c r="R421" s="220"/>
      <c r="S421" s="167"/>
      <c r="T421" s="221"/>
    </row>
    <row r="422" spans="1:20" x14ac:dyDescent="0.25">
      <c r="A422" s="222" t="str">
        <f t="shared" si="41"/>
        <v>CIRC  1067*12.5</v>
      </c>
      <c r="B422" s="174">
        <f t="shared" si="42"/>
        <v>325.06942759627412</v>
      </c>
      <c r="C422" s="173">
        <v>1067</v>
      </c>
      <c r="D422" s="173">
        <v>12.5</v>
      </c>
      <c r="E422" s="173"/>
      <c r="F422" s="173"/>
      <c r="G422" s="173"/>
      <c r="H422" s="174">
        <f t="shared" si="43"/>
        <v>414.10118165130461</v>
      </c>
      <c r="I422" s="185">
        <f t="shared" si="44"/>
        <v>575666.12224466202</v>
      </c>
      <c r="J422" s="185">
        <f t="shared" si="45"/>
        <v>10790.367802149241</v>
      </c>
      <c r="K422" s="230">
        <v>13900</v>
      </c>
      <c r="L422" s="223">
        <f t="shared" si="46"/>
        <v>37.284824325722653</v>
      </c>
      <c r="M422" s="223"/>
      <c r="N422" s="223"/>
      <c r="O422" s="223"/>
      <c r="P422" s="223"/>
      <c r="Q422" s="223"/>
      <c r="R422" s="223"/>
      <c r="S422" s="173"/>
      <c r="T422" s="224"/>
    </row>
    <row r="423" spans="1:20" x14ac:dyDescent="0.25">
      <c r="A423" s="222" t="str">
        <f t="shared" si="41"/>
        <v>CIRC  1067*14.2</v>
      </c>
      <c r="B423" s="174">
        <f t="shared" si="42"/>
        <v>368.68354108310649</v>
      </c>
      <c r="C423" s="173">
        <v>1067</v>
      </c>
      <c r="D423" s="173">
        <v>14.2</v>
      </c>
      <c r="E423" s="173"/>
      <c r="F423" s="173"/>
      <c r="G423" s="173"/>
      <c r="H423" s="174">
        <f t="shared" si="43"/>
        <v>469.66056188930759</v>
      </c>
      <c r="I423" s="185">
        <f t="shared" si="44"/>
        <v>650825.94760171906</v>
      </c>
      <c r="J423" s="185">
        <f t="shared" si="45"/>
        <v>12199.174275571117</v>
      </c>
      <c r="K423" s="230">
        <v>15740</v>
      </c>
      <c r="L423" s="223">
        <f t="shared" si="46"/>
        <v>37.225486564986625</v>
      </c>
      <c r="M423" s="223"/>
      <c r="N423" s="223"/>
      <c r="O423" s="223"/>
      <c r="P423" s="223"/>
      <c r="Q423" s="223"/>
      <c r="R423" s="223"/>
      <c r="S423" s="173"/>
      <c r="T423" s="224"/>
    </row>
    <row r="424" spans="1:20" x14ac:dyDescent="0.25">
      <c r="A424" s="222" t="str">
        <f t="shared" si="41"/>
        <v>CIRC  1067*16</v>
      </c>
      <c r="B424" s="174">
        <f t="shared" si="42"/>
        <v>414.70782319271274</v>
      </c>
      <c r="C424" s="173">
        <v>1067</v>
      </c>
      <c r="D424" s="173">
        <v>16</v>
      </c>
      <c r="E424" s="173"/>
      <c r="F424" s="173"/>
      <c r="G424" s="173"/>
      <c r="H424" s="174">
        <f t="shared" si="43"/>
        <v>528.29022062765955</v>
      </c>
      <c r="I424" s="185">
        <f t="shared" si="44"/>
        <v>729606.43536501762</v>
      </c>
      <c r="J424" s="185">
        <f t="shared" si="45"/>
        <v>13675.846960918792</v>
      </c>
      <c r="K424" s="230">
        <v>17675</v>
      </c>
      <c r="L424" s="223">
        <f t="shared" si="46"/>
        <v>37.162766985250173</v>
      </c>
      <c r="M424" s="223"/>
      <c r="N424" s="223"/>
      <c r="O424" s="223"/>
      <c r="P424" s="223"/>
      <c r="Q424" s="223"/>
      <c r="R424" s="223"/>
      <c r="S424" s="173"/>
      <c r="T424" s="224"/>
    </row>
    <row r="425" spans="1:20" x14ac:dyDescent="0.25">
      <c r="A425" s="222" t="str">
        <f t="shared" si="41"/>
        <v>CIRC  1067*20</v>
      </c>
      <c r="B425" s="174">
        <f t="shared" si="42"/>
        <v>516.41185880443663</v>
      </c>
      <c r="C425" s="173">
        <v>1067</v>
      </c>
      <c r="D425" s="173">
        <v>20</v>
      </c>
      <c r="E425" s="173"/>
      <c r="F425" s="173"/>
      <c r="G425" s="173"/>
      <c r="H425" s="174">
        <f t="shared" si="43"/>
        <v>657.84950166170267</v>
      </c>
      <c r="I425" s="185">
        <f t="shared" si="44"/>
        <v>901754.60520967259</v>
      </c>
      <c r="J425" s="185">
        <f t="shared" si="45"/>
        <v>16902.616779937631</v>
      </c>
      <c r="K425" s="230">
        <v>21927</v>
      </c>
      <c r="L425" s="223">
        <f t="shared" si="46"/>
        <v>37.023793025566683</v>
      </c>
      <c r="M425" s="223"/>
      <c r="N425" s="223"/>
      <c r="O425" s="223"/>
      <c r="P425" s="223"/>
      <c r="Q425" s="223"/>
      <c r="R425" s="223"/>
      <c r="S425" s="173"/>
      <c r="T425" s="224"/>
    </row>
    <row r="426" spans="1:20" x14ac:dyDescent="0.25">
      <c r="A426" s="222" t="str">
        <f t="shared" ref="A426:A439" si="47">$B$225&amp;"  "&amp;C426&amp;"*"&amp;D426</f>
        <v>CIRC  1067*25</v>
      </c>
      <c r="B426" s="174">
        <f t="shared" si="42"/>
        <v>642.43213571421074</v>
      </c>
      <c r="C426" s="173">
        <v>1067</v>
      </c>
      <c r="D426" s="173">
        <v>25</v>
      </c>
      <c r="E426" s="173"/>
      <c r="F426" s="173"/>
      <c r="G426" s="173"/>
      <c r="H426" s="174">
        <f t="shared" si="43"/>
        <v>818.38488626014112</v>
      </c>
      <c r="I426" s="185">
        <f t="shared" si="44"/>
        <v>1111355.4227490856</v>
      </c>
      <c r="J426" s="185">
        <f t="shared" si="45"/>
        <v>20831.404362682017</v>
      </c>
      <c r="K426" s="230">
        <v>27149</v>
      </c>
      <c r="L426" s="223">
        <f t="shared" si="46"/>
        <v>36.850864983063829</v>
      </c>
      <c r="M426" s="223"/>
      <c r="N426" s="223"/>
      <c r="O426" s="223"/>
      <c r="P426" s="223"/>
      <c r="Q426" s="223"/>
      <c r="R426" s="223"/>
      <c r="S426" s="173"/>
      <c r="T426" s="224"/>
    </row>
    <row r="427" spans="1:20" x14ac:dyDescent="0.25">
      <c r="A427" s="225" t="str">
        <f t="shared" si="47"/>
        <v>CIRC  1067*30</v>
      </c>
      <c r="B427" s="180">
        <f t="shared" si="42"/>
        <v>767.21933750745109</v>
      </c>
      <c r="C427" s="179">
        <v>1067</v>
      </c>
      <c r="D427" s="179">
        <v>30</v>
      </c>
      <c r="E427" s="179"/>
      <c r="F427" s="179"/>
      <c r="G427" s="179"/>
      <c r="H427" s="180">
        <f t="shared" si="43"/>
        <v>977.34947453178472</v>
      </c>
      <c r="I427" s="186">
        <f t="shared" si="44"/>
        <v>1314863.6770060619</v>
      </c>
      <c r="J427" s="186">
        <f t="shared" si="45"/>
        <v>24645.992071341367</v>
      </c>
      <c r="K427" s="231">
        <v>32270</v>
      </c>
      <c r="L427" s="226">
        <f t="shared" si="46"/>
        <v>36.678825635508019</v>
      </c>
      <c r="M427" s="226"/>
      <c r="N427" s="226"/>
      <c r="O427" s="226"/>
      <c r="P427" s="226"/>
      <c r="Q427" s="226"/>
      <c r="R427" s="226"/>
      <c r="S427" s="179"/>
      <c r="T427" s="227"/>
    </row>
    <row r="428" spans="1:20" x14ac:dyDescent="0.25">
      <c r="A428" s="64" t="str">
        <f t="shared" si="47"/>
        <v>CIRC  1168*10</v>
      </c>
      <c r="B428" s="163">
        <f t="shared" si="42"/>
        <v>285.58019698927296</v>
      </c>
      <c r="C428" s="64">
        <v>1168</v>
      </c>
      <c r="D428" s="64">
        <v>10</v>
      </c>
      <c r="E428" s="64"/>
      <c r="F428" s="64"/>
      <c r="G428" s="64"/>
      <c r="H428" s="163">
        <f t="shared" si="43"/>
        <v>363.79642928569803</v>
      </c>
      <c r="I428" s="187">
        <f t="shared" si="44"/>
        <v>609842.86830449419</v>
      </c>
      <c r="J428" s="187">
        <f t="shared" si="45"/>
        <v>10442.514868227639</v>
      </c>
      <c r="K428" s="228">
        <v>13410</v>
      </c>
      <c r="L428" s="218">
        <f t="shared" si="46"/>
        <v>40.943009171285887</v>
      </c>
      <c r="M428" s="218"/>
      <c r="N428" s="218"/>
      <c r="O428" s="218"/>
      <c r="P428" s="218"/>
      <c r="Q428" s="218"/>
      <c r="R428" s="218"/>
      <c r="S428" s="64"/>
    </row>
    <row r="429" spans="1:20" x14ac:dyDescent="0.25">
      <c r="A429" s="64" t="str">
        <f t="shared" si="47"/>
        <v>CIRC  1168*12.5</v>
      </c>
      <c r="B429" s="163">
        <f t="shared" si="42"/>
        <v>356.2045742887575</v>
      </c>
      <c r="C429" s="64">
        <v>1168</v>
      </c>
      <c r="D429" s="64">
        <v>12.5</v>
      </c>
      <c r="E429" s="64"/>
      <c r="F429" s="64"/>
      <c r="G429" s="64"/>
      <c r="H429" s="163">
        <f t="shared" si="43"/>
        <v>453.76378890287577</v>
      </c>
      <c r="I429" s="187">
        <f t="shared" si="44"/>
        <v>757409.1871253812</v>
      </c>
      <c r="J429" s="187">
        <f t="shared" si="45"/>
        <v>12969.335395982553</v>
      </c>
      <c r="K429" s="228">
        <v>16690</v>
      </c>
      <c r="L429" s="218">
        <f t="shared" si="46"/>
        <v>40.855484637928356</v>
      </c>
      <c r="M429" s="218"/>
      <c r="N429" s="218"/>
      <c r="O429" s="218"/>
      <c r="P429" s="218"/>
      <c r="Q429" s="218"/>
      <c r="R429" s="218"/>
      <c r="S429" s="64"/>
    </row>
    <row r="430" spans="1:20" x14ac:dyDescent="0.25">
      <c r="A430" s="64" t="str">
        <f t="shared" si="47"/>
        <v>CIRC  1168*14.2</v>
      </c>
      <c r="B430" s="163">
        <f t="shared" si="42"/>
        <v>404.05306772576785</v>
      </c>
      <c r="C430" s="64">
        <v>1168</v>
      </c>
      <c r="D430" s="64">
        <v>14.2</v>
      </c>
      <c r="E430" s="64"/>
      <c r="F430" s="64"/>
      <c r="G430" s="64"/>
      <c r="H430" s="163">
        <f t="shared" si="43"/>
        <v>514.71728372709276</v>
      </c>
      <c r="I430" s="187">
        <f t="shared" si="44"/>
        <v>856654.32112440316</v>
      </c>
      <c r="J430" s="187">
        <f t="shared" si="45"/>
        <v>14668.738375417861</v>
      </c>
      <c r="K430" s="228">
        <v>18905</v>
      </c>
      <c r="L430" s="218">
        <f t="shared" si="46"/>
        <v>40.796079468497943</v>
      </c>
      <c r="M430" s="218"/>
      <c r="N430" s="218"/>
      <c r="O430" s="218"/>
      <c r="P430" s="218"/>
      <c r="Q430" s="218"/>
      <c r="R430" s="218"/>
      <c r="S430" s="64"/>
    </row>
    <row r="431" spans="1:20" x14ac:dyDescent="0.25">
      <c r="A431" s="64" t="str">
        <f t="shared" si="47"/>
        <v>CIRC  1168*16</v>
      </c>
      <c r="B431" s="163">
        <f t="shared" si="42"/>
        <v>454.5608109590915</v>
      </c>
      <c r="C431" s="64">
        <v>1168</v>
      </c>
      <c r="D431" s="64">
        <v>16</v>
      </c>
      <c r="E431" s="64"/>
      <c r="F431" s="64"/>
      <c r="G431" s="64"/>
      <c r="H431" s="163">
        <f t="shared" si="43"/>
        <v>579.05835790967069</v>
      </c>
      <c r="I431" s="187">
        <f t="shared" si="44"/>
        <v>960773.62744372559</v>
      </c>
      <c r="J431" s="187">
        <f t="shared" si="45"/>
        <v>16451.603209652832</v>
      </c>
      <c r="K431" s="228">
        <v>21235</v>
      </c>
      <c r="L431" s="218">
        <f t="shared" si="46"/>
        <v>40.733278777923097</v>
      </c>
      <c r="M431" s="218"/>
      <c r="N431" s="218"/>
      <c r="O431" s="218"/>
      <c r="P431" s="218"/>
      <c r="Q431" s="218"/>
      <c r="R431" s="218"/>
      <c r="S431" s="64"/>
    </row>
    <row r="432" spans="1:20" x14ac:dyDescent="0.25">
      <c r="A432" s="64" t="str">
        <f t="shared" si="47"/>
        <v>CIRC  1168*20</v>
      </c>
      <c r="B432" s="163">
        <f t="shared" si="42"/>
        <v>566.22809351241006</v>
      </c>
      <c r="C432" s="64">
        <v>1168</v>
      </c>
      <c r="D432" s="64">
        <v>20</v>
      </c>
      <c r="E432" s="64"/>
      <c r="F432" s="64"/>
      <c r="G432" s="64"/>
      <c r="H432" s="163">
        <f t="shared" si="43"/>
        <v>721.3096732642166</v>
      </c>
      <c r="I432" s="187">
        <f t="shared" si="44"/>
        <v>1188631.7843786371</v>
      </c>
      <c r="J432" s="187">
        <f t="shared" si="45"/>
        <v>20353.283979086249</v>
      </c>
      <c r="K432" s="228">
        <v>26361</v>
      </c>
      <c r="L432" s="218">
        <f t="shared" si="46"/>
        <v>40.594088239545421</v>
      </c>
      <c r="M432" s="218"/>
      <c r="N432" s="218"/>
      <c r="O432" s="218"/>
      <c r="P432" s="218"/>
      <c r="Q432" s="218"/>
      <c r="R432" s="218"/>
      <c r="S432" s="64"/>
    </row>
    <row r="433" spans="1:20" x14ac:dyDescent="0.25">
      <c r="A433" s="64" t="str">
        <f t="shared" si="47"/>
        <v>CIRC  1168*25</v>
      </c>
      <c r="B433" s="163">
        <f t="shared" si="42"/>
        <v>704.70242909917749</v>
      </c>
      <c r="C433" s="64">
        <v>1168</v>
      </c>
      <c r="D433" s="64">
        <v>25</v>
      </c>
      <c r="E433" s="64"/>
      <c r="F433" s="64"/>
      <c r="G433" s="64"/>
      <c r="H433" s="163">
        <f t="shared" si="43"/>
        <v>897.71010076328344</v>
      </c>
      <c r="I433" s="187">
        <f t="shared" si="44"/>
        <v>1466716.9153063348</v>
      </c>
      <c r="J433" s="187">
        <f t="shared" si="45"/>
        <v>25115.015673053676</v>
      </c>
      <c r="K433" s="228">
        <v>32666</v>
      </c>
      <c r="L433" s="218">
        <f t="shared" si="46"/>
        <v>40.420817656252325</v>
      </c>
      <c r="M433" s="218"/>
      <c r="N433" s="218"/>
      <c r="O433" s="218"/>
      <c r="P433" s="218"/>
      <c r="Q433" s="218"/>
      <c r="R433" s="218"/>
      <c r="S433" s="64"/>
    </row>
    <row r="434" spans="1:20" x14ac:dyDescent="0.25">
      <c r="A434" s="219" t="str">
        <f t="shared" si="47"/>
        <v>CIRC  1219*10</v>
      </c>
      <c r="B434" s="168">
        <f t="shared" si="42"/>
        <v>298.15756317791971</v>
      </c>
      <c r="C434" s="167">
        <v>1219</v>
      </c>
      <c r="D434" s="167">
        <v>10</v>
      </c>
      <c r="E434" s="167"/>
      <c r="F434" s="167"/>
      <c r="G434" s="167"/>
      <c r="H434" s="168">
        <f t="shared" si="43"/>
        <v>379.81855181900596</v>
      </c>
      <c r="I434" s="184">
        <f t="shared" si="44"/>
        <v>694014.42812067305</v>
      </c>
      <c r="J434" s="184">
        <f t="shared" si="45"/>
        <v>11386.619001159524</v>
      </c>
      <c r="K434" s="229">
        <v>14617</v>
      </c>
      <c r="L434" s="220">
        <f t="shared" si="46"/>
        <v>42.746067070550481</v>
      </c>
      <c r="M434" s="220"/>
      <c r="N434" s="220"/>
      <c r="O434" s="220"/>
      <c r="P434" s="220"/>
      <c r="Q434" s="220"/>
      <c r="R434" s="220"/>
      <c r="S434" s="167"/>
      <c r="T434" s="221"/>
    </row>
    <row r="435" spans="1:20" x14ac:dyDescent="0.25">
      <c r="A435" s="222" t="str">
        <f t="shared" si="47"/>
        <v>CIRC  1219*12.5</v>
      </c>
      <c r="B435" s="174">
        <f t="shared" si="42"/>
        <v>371.92628202456586</v>
      </c>
      <c r="C435" s="173">
        <v>1219</v>
      </c>
      <c r="D435" s="173">
        <v>12.5</v>
      </c>
      <c r="E435" s="173"/>
      <c r="F435" s="173"/>
      <c r="G435" s="173"/>
      <c r="H435" s="174">
        <f t="shared" si="43"/>
        <v>473.79144206951065</v>
      </c>
      <c r="I435" s="185">
        <f t="shared" si="44"/>
        <v>862181.08834703814</v>
      </c>
      <c r="J435" s="185">
        <f t="shared" si="45"/>
        <v>14145.711047531388</v>
      </c>
      <c r="K435" s="230">
        <v>18196</v>
      </c>
      <c r="L435" s="223">
        <f t="shared" si="46"/>
        <v>42.65850589272906</v>
      </c>
      <c r="M435" s="223"/>
      <c r="N435" s="223"/>
      <c r="O435" s="223"/>
      <c r="P435" s="223"/>
      <c r="Q435" s="223"/>
      <c r="R435" s="223"/>
      <c r="S435" s="173"/>
      <c r="T435" s="224"/>
    </row>
    <row r="436" spans="1:20" x14ac:dyDescent="0.25">
      <c r="A436" s="222" t="str">
        <f t="shared" si="47"/>
        <v>CIRC  1219*14.2</v>
      </c>
      <c r="B436" s="174">
        <f t="shared" si="42"/>
        <v>421.91292771364505</v>
      </c>
      <c r="C436" s="173">
        <v>1219</v>
      </c>
      <c r="D436" s="173">
        <v>14.2</v>
      </c>
      <c r="E436" s="173"/>
      <c r="F436" s="173"/>
      <c r="G436" s="173"/>
      <c r="H436" s="174">
        <f t="shared" si="43"/>
        <v>537.46869772438856</v>
      </c>
      <c r="I436" s="185">
        <f t="shared" si="44"/>
        <v>975334.15323488624</v>
      </c>
      <c r="J436" s="185">
        <f t="shared" si="45"/>
        <v>16002.201037487879</v>
      </c>
      <c r="K436" s="230">
        <v>20613</v>
      </c>
      <c r="L436" s="223">
        <f t="shared" si="46"/>
        <v>42.599070999260057</v>
      </c>
      <c r="M436" s="223"/>
      <c r="N436" s="223"/>
      <c r="O436" s="223"/>
      <c r="P436" s="223"/>
      <c r="Q436" s="223"/>
      <c r="R436" s="223"/>
      <c r="S436" s="173"/>
      <c r="T436" s="224"/>
    </row>
    <row r="437" spans="1:20" x14ac:dyDescent="0.25">
      <c r="A437" s="222" t="str">
        <f t="shared" si="47"/>
        <v>CIRC  1219*16</v>
      </c>
      <c r="B437" s="174">
        <f t="shared" si="42"/>
        <v>474.68459686092626</v>
      </c>
      <c r="C437" s="173">
        <v>1219</v>
      </c>
      <c r="D437" s="173">
        <v>16</v>
      </c>
      <c r="E437" s="173"/>
      <c r="F437" s="173"/>
      <c r="G437" s="173"/>
      <c r="H437" s="174">
        <f t="shared" si="43"/>
        <v>604.69375396296334</v>
      </c>
      <c r="I437" s="185">
        <f t="shared" si="44"/>
        <v>1094091.305725001</v>
      </c>
      <c r="J437" s="185">
        <f t="shared" si="45"/>
        <v>17950.636681296161</v>
      </c>
      <c r="K437" s="230">
        <v>23157</v>
      </c>
      <c r="L437" s="223">
        <f t="shared" si="46"/>
        <v>42.536234553613234</v>
      </c>
      <c r="M437" s="223"/>
      <c r="N437" s="223"/>
      <c r="O437" s="223"/>
      <c r="P437" s="223"/>
      <c r="Q437" s="223"/>
      <c r="R437" s="223"/>
      <c r="S437" s="173"/>
      <c r="T437" s="224"/>
    </row>
    <row r="438" spans="1:20" x14ac:dyDescent="0.25">
      <c r="A438" s="222" t="str">
        <f t="shared" si="47"/>
        <v>CIRC  1219*20</v>
      </c>
      <c r="B438" s="174">
        <f t="shared" si="42"/>
        <v>591.38282588970344</v>
      </c>
      <c r="C438" s="173">
        <v>1219</v>
      </c>
      <c r="D438" s="173">
        <v>20</v>
      </c>
      <c r="E438" s="173"/>
      <c r="F438" s="173"/>
      <c r="G438" s="173"/>
      <c r="H438" s="174">
        <f t="shared" si="43"/>
        <v>753.35391833083236</v>
      </c>
      <c r="I438" s="185">
        <f t="shared" si="44"/>
        <v>1354154.6098920691</v>
      </c>
      <c r="J438" s="185">
        <f t="shared" si="45"/>
        <v>22217.466938344038</v>
      </c>
      <c r="K438" s="230">
        <v>28755</v>
      </c>
      <c r="L438" s="223">
        <f t="shared" si="46"/>
        <v>42.396948593029663</v>
      </c>
      <c r="M438" s="223"/>
      <c r="N438" s="223"/>
      <c r="O438" s="223"/>
      <c r="P438" s="223"/>
      <c r="Q438" s="223"/>
      <c r="R438" s="223"/>
      <c r="S438" s="173"/>
      <c r="T438" s="224"/>
    </row>
    <row r="439" spans="1:20" x14ac:dyDescent="0.25">
      <c r="A439" s="225" t="str">
        <f t="shared" si="47"/>
        <v>CIRC  1219*25</v>
      </c>
      <c r="B439" s="180">
        <f t="shared" si="42"/>
        <v>736.14584457079434</v>
      </c>
      <c r="C439" s="179">
        <v>1219</v>
      </c>
      <c r="D439" s="179">
        <v>25</v>
      </c>
      <c r="E439" s="179"/>
      <c r="F439" s="179"/>
      <c r="G439" s="179"/>
      <c r="H439" s="180">
        <f t="shared" si="43"/>
        <v>937.7654070965533</v>
      </c>
      <c r="I439" s="186">
        <f t="shared" si="44"/>
        <v>1671872.7841136716</v>
      </c>
      <c r="J439" s="186">
        <f t="shared" si="45"/>
        <v>27430.234357894529</v>
      </c>
      <c r="K439" s="231">
        <v>35646</v>
      </c>
      <c r="L439" s="226">
        <f t="shared" si="46"/>
        <v>42.223527209365159</v>
      </c>
      <c r="M439" s="226"/>
      <c r="N439" s="226"/>
      <c r="O439" s="226"/>
      <c r="P439" s="226"/>
      <c r="Q439" s="226"/>
      <c r="R439" s="226"/>
      <c r="S439" s="179"/>
      <c r="T439" s="227"/>
    </row>
  </sheetData>
  <sheetProtection algorithmName="SHA-512" hashValue="amfZ19HuS3IIfHO47lnqkg7HkcScbWXX2pEJPtqMf5G86H6TweLcMW8fKEwUaA9d8A8Hgw25MNrZWZ9iOVU41Q==" saltValue="j/Nrrht4fS/v+EvzrnSVZw==" spinCount="100000" sheet="1" objects="1" scenarios="1"/>
  <mergeCells count="2">
    <mergeCell ref="C1:D1"/>
    <mergeCell ref="J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11</vt:i4>
      </vt:variant>
      <vt:variant>
        <vt:lpstr>Plages nommées</vt:lpstr>
      </vt:variant>
      <vt:variant>
        <vt:i4>10</vt:i4>
      </vt:variant>
    </vt:vector>
  </HeadingPairs>
  <TitlesOfParts>
    <vt:vector size="21" baseType="lpstr">
      <vt:lpstr>Données d'Entrées</vt:lpstr>
      <vt:lpstr>NdC Détaillée</vt:lpstr>
      <vt:lpstr>NdC Simplifiée</vt:lpstr>
      <vt:lpstr>Informations</vt:lpstr>
      <vt:lpstr>PRS</vt:lpstr>
      <vt:lpstr>Data</vt:lpstr>
      <vt:lpstr>Profilés</vt:lpstr>
      <vt:lpstr>Cornières</vt:lpstr>
      <vt:lpstr>Tubes_SHS</vt:lpstr>
      <vt:lpstr>Tubes_RHS</vt:lpstr>
      <vt:lpstr>Tubes_CHS</vt:lpstr>
      <vt:lpstr>g0_</vt:lpstr>
      <vt:lpstr>g1_</vt:lpstr>
      <vt:lpstr>g2_</vt:lpstr>
      <vt:lpstr>g3_</vt:lpstr>
      <vt:lpstr>PRS!Prin_PRS</vt:lpstr>
      <vt:lpstr>'Données d''Entrées'!Zone_d_impression</vt:lpstr>
      <vt:lpstr>Informations!Zone_d_impression</vt:lpstr>
      <vt:lpstr>'NdC Détaillée'!Zone_d_impression</vt:lpstr>
      <vt:lpstr>'NdC Simplifiée'!Zone_d_impression</vt:lpstr>
      <vt:lpstr>PRS!Zone_d_impression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Guillaume RIQUE</dc:creator>
  <cp:lastModifiedBy>Guillaume RIQUE</cp:lastModifiedBy>
  <dcterms:created xsi:type="dcterms:W3CDTF">2020-10-09T14:56:26Z</dcterms:created>
  <dcterms:modified xsi:type="dcterms:W3CDTF">2020-10-30T16:01:03Z</dcterms:modified>
</cp:coreProperties>
</file>